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7.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8.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9.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0.xml" ContentType="application/vnd.openxmlformats-officedocument.drawing+xml"/>
  <Override PartName="/xl/charts/chartEx1.xml" ContentType="application/vnd.ms-office.chartex+xml"/>
  <Override PartName="/xl/charts/style15.xml" ContentType="application/vnd.ms-office.chartstyle+xml"/>
  <Override PartName="/xl/charts/colors15.xml" ContentType="application/vnd.ms-office.chartcolorstyle+xml"/>
  <Override PartName="/xl/drawings/drawing11.xml" ContentType="application/vnd.openxmlformats-officedocument.drawing+xml"/>
  <Override PartName="/xl/charts/chart15.xml" ContentType="application/vnd.openxmlformats-officedocument.drawingml.chart+xml"/>
  <Override PartName="/xl/charts/style16.xml" ContentType="application/vnd.ms-office.chartstyle+xml"/>
  <Override PartName="/xl/charts/colors16.xml" ContentType="application/vnd.ms-office.chartcolorstyle+xml"/>
  <Override PartName="/xl/charts/chart16.xml" ContentType="application/vnd.openxmlformats-officedocument.drawingml.chart+xml"/>
  <Override PartName="/xl/charts/style17.xml" ContentType="application/vnd.ms-office.chartstyle+xml"/>
  <Override PartName="/xl/charts/colors17.xml" ContentType="application/vnd.ms-office.chartcolorstyle+xml"/>
  <Override PartName="/xl/charts/chart17.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2.xml" ContentType="application/vnd.openxmlformats-officedocument.drawing+xml"/>
  <Override PartName="/xl/charts/chart18.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3.xml" ContentType="application/vnd.openxmlformats-officedocument.drawing+xml"/>
  <Override PartName="/xl/charts/chart19.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4.xml" ContentType="application/vnd.openxmlformats-officedocument.drawing+xml"/>
  <Override PartName="/xl/charts/chart20.xml" ContentType="application/vnd.openxmlformats-officedocument.drawingml.chart+xml"/>
  <Override PartName="/xl/charts/style21.xml" ContentType="application/vnd.ms-office.chartstyle+xml"/>
  <Override PartName="/xl/charts/colors21.xml" ContentType="application/vnd.ms-office.chartcolorstyle+xml"/>
  <Override PartName="/xl/charts/chartEx2.xml" ContentType="application/vnd.ms-office.chartex+xml"/>
  <Override PartName="/xl/charts/style22.xml" ContentType="application/vnd.ms-office.chartstyle+xml"/>
  <Override PartName="/xl/charts/colors22.xml" ContentType="application/vnd.ms-office.chartcolorstyle+xml"/>
  <Override PartName="/xl/drawings/drawing15.xml" ContentType="application/vnd.openxmlformats-officedocument.drawing+xml"/>
  <Override PartName="/xl/charts/chart21.xml" ContentType="application/vnd.openxmlformats-officedocument.drawingml.chart+xml"/>
  <Override PartName="/xl/charts/style23.xml" ContentType="application/vnd.ms-office.chartstyle+xml"/>
  <Override PartName="/xl/charts/colors23.xml" ContentType="application/vnd.ms-office.chartcolorstyle+xml"/>
  <Override PartName="/xl/charts/chartEx3.xml" ContentType="application/vnd.ms-office.chartex+xml"/>
  <Override PartName="/xl/charts/style24.xml" ContentType="application/vnd.ms-office.chartstyle+xml"/>
  <Override PartName="/xl/charts/colors24.xml" ContentType="application/vnd.ms-office.chartcolorstyle+xml"/>
  <Override PartName="/xl/pivotTables/pivotTable1.xml" ContentType="application/vnd.openxmlformats-officedocument.spreadsheetml.pivotTable+xml"/>
  <Override PartName="/xl/drawings/drawing16.xml" ContentType="application/vnd.openxmlformats-officedocument.drawing+xml"/>
  <Override PartName="/xl/pivotTables/pivotTable2.xml" ContentType="application/vnd.openxmlformats-officedocument.spreadsheetml.pivotTable+xml"/>
  <Override PartName="/xl/drawings/drawing17.xml" ContentType="application/vnd.openxmlformats-officedocument.drawing+xml"/>
  <Override PartName="/xl/charts/chart22.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18.xml" ContentType="application/vnd.openxmlformats-officedocument.drawing+xml"/>
  <Override PartName="/xl/charts/chart23.xml" ContentType="application/vnd.openxmlformats-officedocument.drawingml.chart+xml"/>
  <Override PartName="/xl/charts/style26.xml" ContentType="application/vnd.ms-office.chartstyle+xml"/>
  <Override PartName="/xl/charts/colors2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hidePivotFieldList="1" defaultThemeVersion="166925"/>
  <mc:AlternateContent xmlns:mc="http://schemas.openxmlformats.org/markup-compatibility/2006">
    <mc:Choice Requires="x15">
      <x15ac:absPath xmlns:x15ac="http://schemas.microsoft.com/office/spreadsheetml/2010/11/ac" url="S:\Network Management\Contract Development-Document Templates\Network Service Provider Contract Documents\4. Incorporated Documents\"/>
    </mc:Choice>
  </mc:AlternateContent>
  <xr:revisionPtr revIDLastSave="0" documentId="8_{D3E9F243-F9A9-49D7-B0A9-9E72CADEB708}" xr6:coauthVersionLast="45" xr6:coauthVersionMax="45" xr10:uidLastSave="{00000000-0000-0000-0000-000000000000}"/>
  <bookViews>
    <workbookView xWindow="1950" yWindow="1950" windowWidth="15375" windowHeight="7875" firstSheet="1" activeTab="1" xr2:uid="{7942C50F-72F2-419F-B179-7EB1BE5928DC}"/>
  </bookViews>
  <sheets>
    <sheet name="Background" sheetId="3" state="hidden" r:id="rId1"/>
    <sheet name="Instructions" sheetId="4" r:id="rId2"/>
    <sheet name="Field Definitions" sheetId="5" r:id="rId3"/>
    <sheet name="Client Specific" sheetId="1" r:id="rId4"/>
    <sheet name="Outreach Activites" sheetId="6" r:id="rId5"/>
    <sheet name="Other Funding Sources" sheetId="7" r:id="rId6"/>
    <sheet name="DCF Funded" sheetId="8" r:id="rId7"/>
    <sheet name="G - Entry Validation" sheetId="26" r:id="rId8"/>
    <sheet name="G - # Calls by Month" sheetId="9" r:id="rId9"/>
    <sheet name="G - Outreach by Month" sheetId="11" r:id="rId10"/>
    <sheet name="G - % of Calls by Race" sheetId="12" r:id="rId11"/>
    <sheet name="G - % of Calls by Ethnicity" sheetId="13" r:id="rId12"/>
    <sheet name="G - Child Welfare Involvement" sheetId="28" r:id="rId13"/>
    <sheet name="G - Parental Consent" sheetId="27" r:id="rId14"/>
    <sheet name="G - % Referred to Treatment" sheetId="14" r:id="rId15"/>
    <sheet name="G - % Admitted to CSU" sheetId="15" r:id="rId16"/>
    <sheet name="G - ZIP Code" sheetId="24" r:id="rId17"/>
    <sheet name="G - Age and Sex" sheetId="17" r:id="rId18"/>
    <sheet name="G - Day of Week" sheetId="18" r:id="rId19"/>
    <sheet name="G - Time of Day" sheetId="19" r:id="rId20"/>
    <sheet name="G - Avg Response Time - All" sheetId="20" r:id="rId21"/>
    <sheet name="G - Avg Response Time - Travel" sheetId="25" r:id="rId22"/>
    <sheet name="G - Treatment Referred To" sheetId="21" r:id="rId23"/>
    <sheet name="G - Call Source" sheetId="22" r:id="rId24"/>
    <sheet name="G - Intervention Determined" sheetId="23" r:id="rId25"/>
  </sheets>
  <definedNames>
    <definedName name="_xlnm._FilterDatabase" localSheetId="11" hidden="1">'G - % of Calls by Ethnicity'!$A$1:$C$10</definedName>
    <definedName name="_xlnm._FilterDatabase" localSheetId="10" hidden="1">'G - % of Calls by Race'!$A$1:$C$10</definedName>
    <definedName name="_xlnm._FilterDatabase" localSheetId="20" hidden="1">'G - Avg Response Time - All'!$D$1:$D$68</definedName>
    <definedName name="_xlnm._FilterDatabase" localSheetId="21" hidden="1">'G - Avg Response Time - Travel'!$D$1:$D$68</definedName>
    <definedName name="_xlnm._FilterDatabase" localSheetId="12" hidden="1">'G - Child Welfare Involvement'!$J$1:$N$5</definedName>
    <definedName name="_xlnm._FilterDatabase" localSheetId="7" hidden="1">'G - Entry Validation'!$F$1:$I$5</definedName>
    <definedName name="_xlchart.v5.0" hidden="1">'G - ZIP Code'!$A$1:$B$1</definedName>
    <definedName name="_xlchart.v5.1" hidden="1">'G - ZIP Code'!$A$2:$B$1473</definedName>
    <definedName name="_xlchart.v5.10" hidden="1">'G - Avg Response Time - Travel'!$F$1</definedName>
    <definedName name="_xlchart.v5.11" hidden="1">'G - Avg Response Time - Travel'!$F$2:$F$68</definedName>
    <definedName name="_xlchart.v5.2" hidden="1">'G - ZIP Code'!$C$1</definedName>
    <definedName name="_xlchart.v5.3" hidden="1">'G - ZIP Code'!$C$2:$C$1473</definedName>
    <definedName name="_xlchart.v5.4" hidden="1">'G - Avg Response Time - All'!$D$1:$E$1</definedName>
    <definedName name="_xlchart.v5.5" hidden="1">'G - Avg Response Time - All'!$D$2:$E$68</definedName>
    <definedName name="_xlchart.v5.6" hidden="1">'G - Avg Response Time - All'!$F$1</definedName>
    <definedName name="_xlchart.v5.7" hidden="1">'G - Avg Response Time - All'!$F$2:$F$68</definedName>
    <definedName name="_xlchart.v5.8" hidden="1">'G - Avg Response Time - Travel'!$D$1:$E$1</definedName>
    <definedName name="_xlchart.v5.9" hidden="1">'G - Avg Response Time - Travel'!$D$2:$E$68</definedName>
  </definedNames>
  <calcPr calcId="191029"/>
  <pivotCaches>
    <pivotCache cacheId="6" r:id="rId2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3" i="17" l="1"/>
  <c r="N2" i="17"/>
  <c r="O2" i="17"/>
  <c r="B3" i="12"/>
  <c r="B4" i="12"/>
  <c r="B5" i="12"/>
  <c r="B6" i="12"/>
  <c r="B7" i="12"/>
  <c r="B8" i="12"/>
  <c r="B9" i="12"/>
  <c r="B10" i="12"/>
  <c r="B2" i="12"/>
  <c r="C7" i="12" l="1"/>
  <c r="C3" i="12"/>
  <c r="C9" i="12"/>
  <c r="C5" i="12"/>
  <c r="C6" i="12"/>
  <c r="C10" i="12"/>
  <c r="C8" i="12"/>
  <c r="C4" i="12"/>
  <c r="G2" i="6"/>
  <c r="AJ533" i="1"/>
  <c r="AJ517" i="1"/>
  <c r="AJ469" i="1"/>
  <c r="AJ465" i="1"/>
  <c r="AJ464" i="1"/>
  <c r="AJ462" i="1"/>
  <c r="AJ461" i="1"/>
  <c r="AJ460" i="1"/>
  <c r="AJ458" i="1"/>
  <c r="AJ455" i="1"/>
  <c r="AJ454" i="1"/>
  <c r="AJ452" i="1"/>
  <c r="AJ449" i="1"/>
  <c r="AJ448" i="1"/>
  <c r="AJ447" i="1"/>
  <c r="AJ435" i="1"/>
  <c r="AJ430" i="1"/>
  <c r="AJ428" i="1"/>
  <c r="AJ425" i="1"/>
  <c r="AJ421" i="1"/>
  <c r="AJ420" i="1"/>
  <c r="AJ412" i="1"/>
  <c r="AJ411" i="1"/>
  <c r="AJ409" i="1"/>
  <c r="AJ408" i="1"/>
  <c r="AJ406" i="1"/>
  <c r="AJ405" i="1"/>
  <c r="AJ402" i="1"/>
  <c r="AJ398" i="1"/>
  <c r="AJ395" i="1"/>
  <c r="AJ394" i="1"/>
  <c r="AJ392" i="1"/>
  <c r="AJ390" i="1"/>
  <c r="AJ389" i="1"/>
  <c r="AJ388" i="1"/>
  <c r="AJ384" i="1"/>
  <c r="AJ383" i="1"/>
  <c r="AJ381" i="1"/>
  <c r="AJ380" i="1"/>
  <c r="AJ378" i="1"/>
  <c r="AJ377" i="1"/>
  <c r="AJ376" i="1"/>
  <c r="AJ375" i="1"/>
  <c r="AJ374" i="1"/>
  <c r="AJ373" i="1"/>
  <c r="AJ372" i="1"/>
  <c r="AJ366" i="1"/>
  <c r="AJ364" i="1"/>
  <c r="AJ363" i="1"/>
  <c r="AJ362" i="1"/>
  <c r="AJ361" i="1"/>
  <c r="AJ360" i="1"/>
  <c r="AJ359" i="1"/>
  <c r="AJ358" i="1"/>
  <c r="AJ356" i="1"/>
  <c r="AJ355" i="1"/>
  <c r="AJ351" i="1"/>
  <c r="AJ350" i="1"/>
  <c r="AJ348" i="1"/>
  <c r="AJ347" i="1"/>
  <c r="AJ344" i="1"/>
  <c r="AJ341" i="1"/>
  <c r="AJ340" i="1"/>
  <c r="AJ338" i="1"/>
  <c r="AJ326" i="1"/>
  <c r="AJ319" i="1"/>
  <c r="AJ309" i="1"/>
  <c r="AJ299" i="1"/>
  <c r="AJ296" i="1"/>
  <c r="AJ291" i="1"/>
  <c r="AJ287" i="1"/>
  <c r="AJ283" i="1"/>
  <c r="AJ260" i="1"/>
  <c r="AJ256" i="1"/>
  <c r="AJ248" i="1"/>
  <c r="AJ247" i="1"/>
  <c r="AJ237" i="1"/>
  <c r="AJ231" i="1"/>
  <c r="AJ227" i="1"/>
  <c r="AJ225" i="1"/>
  <c r="AJ224" i="1"/>
  <c r="AJ220" i="1"/>
  <c r="AJ219" i="1"/>
  <c r="AJ217" i="1"/>
  <c r="AJ216" i="1"/>
  <c r="AJ215" i="1"/>
  <c r="AJ211" i="1"/>
  <c r="AJ209" i="1"/>
  <c r="AJ204" i="1"/>
  <c r="AJ195" i="1"/>
  <c r="AJ193" i="1"/>
  <c r="AJ172" i="1"/>
  <c r="AJ166" i="1"/>
  <c r="AJ162" i="1"/>
  <c r="AJ160" i="1"/>
  <c r="AJ153" i="1"/>
  <c r="AJ150" i="1"/>
  <c r="AJ148" i="1"/>
  <c r="AJ146" i="1"/>
  <c r="AJ144" i="1"/>
  <c r="AJ143" i="1"/>
  <c r="AJ141" i="1"/>
  <c r="AJ138" i="1"/>
  <c r="AJ137" i="1"/>
  <c r="AJ136" i="1"/>
  <c r="AJ135" i="1"/>
  <c r="AJ132" i="1"/>
  <c r="AJ131" i="1"/>
  <c r="AJ129" i="1"/>
  <c r="AJ128" i="1"/>
  <c r="AJ126" i="1"/>
  <c r="AJ125" i="1"/>
  <c r="AJ124" i="1"/>
  <c r="AJ123" i="1"/>
  <c r="AJ122" i="1"/>
  <c r="AJ121" i="1"/>
  <c r="AJ120" i="1"/>
  <c r="AJ118" i="1"/>
  <c r="AJ117" i="1"/>
  <c r="AJ116" i="1"/>
  <c r="AJ115" i="1"/>
  <c r="AJ114" i="1"/>
  <c r="AJ112" i="1"/>
  <c r="AJ111" i="1"/>
  <c r="AJ110" i="1"/>
  <c r="AJ109" i="1"/>
  <c r="AJ108" i="1"/>
  <c r="AJ107" i="1"/>
  <c r="AJ106" i="1"/>
  <c r="AJ105" i="1"/>
  <c r="AJ104" i="1"/>
  <c r="AJ103" i="1"/>
  <c r="AJ101" i="1"/>
  <c r="AJ100" i="1"/>
  <c r="AJ96" i="1"/>
  <c r="AJ93" i="1"/>
  <c r="AJ92" i="1"/>
  <c r="AJ90" i="1"/>
  <c r="AJ87" i="1"/>
  <c r="AJ86" i="1"/>
  <c r="AJ85" i="1"/>
  <c r="AJ84" i="1"/>
  <c r="AJ83" i="1"/>
  <c r="AJ82" i="1"/>
  <c r="AJ80" i="1"/>
  <c r="AJ73" i="1"/>
  <c r="AJ68" i="1"/>
  <c r="AJ67" i="1"/>
  <c r="AJ66" i="1"/>
  <c r="AJ57" i="1"/>
  <c r="AJ29" i="1"/>
  <c r="AJ25" i="1"/>
  <c r="AJ24" i="1"/>
  <c r="AJ22" i="1"/>
  <c r="AJ21" i="1"/>
  <c r="AJ20" i="1"/>
  <c r="AJ18" i="1"/>
  <c r="AJ17" i="1"/>
  <c r="AJ2" i="1"/>
  <c r="A13" i="28"/>
  <c r="A12" i="28"/>
  <c r="A11" i="28"/>
  <c r="A10" i="28"/>
  <c r="A9" i="28"/>
  <c r="A8" i="28"/>
  <c r="A7" i="28"/>
  <c r="A6" i="28"/>
  <c r="A5" i="28"/>
  <c r="A4" i="28"/>
  <c r="A3" i="28"/>
  <c r="A2" i="28"/>
  <c r="A13" i="27"/>
  <c r="A12" i="27"/>
  <c r="A11" i="27"/>
  <c r="A10" i="27"/>
  <c r="A9" i="27"/>
  <c r="A8" i="27"/>
  <c r="A7" i="27"/>
  <c r="A6" i="27"/>
  <c r="A5" i="27"/>
  <c r="A4" i="27"/>
  <c r="A3" i="27"/>
  <c r="A2" i="27"/>
  <c r="C3" i="26"/>
  <c r="C7" i="26"/>
  <c r="C11" i="26"/>
  <c r="H4" i="26"/>
  <c r="G3" i="26"/>
  <c r="H2" i="26"/>
  <c r="A13" i="26"/>
  <c r="C13" i="26" s="1"/>
  <c r="A12" i="26"/>
  <c r="C12" i="26" s="1"/>
  <c r="A11" i="26"/>
  <c r="A10" i="26"/>
  <c r="C10" i="26" s="1"/>
  <c r="A9" i="26"/>
  <c r="C9" i="26" s="1"/>
  <c r="A8" i="26"/>
  <c r="C8" i="26" s="1"/>
  <c r="A7" i="26"/>
  <c r="A6" i="26"/>
  <c r="C6" i="26" s="1"/>
  <c r="A5" i="26"/>
  <c r="C5" i="26" s="1"/>
  <c r="A4" i="26"/>
  <c r="C4" i="26" s="1"/>
  <c r="A3" i="26"/>
  <c r="A2" i="26"/>
  <c r="C2" i="26" s="1"/>
  <c r="G112" i="6"/>
  <c r="G113" i="6"/>
  <c r="G114" i="6"/>
  <c r="G115" i="6"/>
  <c r="AK513" i="1"/>
  <c r="AJ513" i="1" s="1"/>
  <c r="AK514" i="1"/>
  <c r="AJ514" i="1" s="1"/>
  <c r="AK515" i="1"/>
  <c r="AJ515" i="1" s="1"/>
  <c r="AK516" i="1"/>
  <c r="AJ516" i="1" s="1"/>
  <c r="AK517" i="1"/>
  <c r="AK518" i="1"/>
  <c r="AJ518" i="1" s="1"/>
  <c r="AK519" i="1"/>
  <c r="AJ519" i="1" s="1"/>
  <c r="AK520" i="1"/>
  <c r="AJ520" i="1" s="1"/>
  <c r="AK521" i="1"/>
  <c r="AJ521" i="1" s="1"/>
  <c r="AK522" i="1"/>
  <c r="AJ522" i="1" s="1"/>
  <c r="AK523" i="1"/>
  <c r="AJ523" i="1" s="1"/>
  <c r="AK524" i="1"/>
  <c r="AJ524" i="1" s="1"/>
  <c r="AK525" i="1"/>
  <c r="AJ525" i="1" s="1"/>
  <c r="AK526" i="1"/>
  <c r="AJ526" i="1" s="1"/>
  <c r="AK527" i="1"/>
  <c r="AJ527" i="1" s="1"/>
  <c r="AK528" i="1"/>
  <c r="AJ528" i="1" s="1"/>
  <c r="AK529" i="1"/>
  <c r="AJ529" i="1" s="1"/>
  <c r="AK530" i="1"/>
  <c r="AJ530" i="1" s="1"/>
  <c r="AK531" i="1"/>
  <c r="AJ531" i="1" s="1"/>
  <c r="AK532" i="1"/>
  <c r="AJ532" i="1" s="1"/>
  <c r="AK533" i="1"/>
  <c r="AK534" i="1"/>
  <c r="AJ534" i="1" s="1"/>
  <c r="AK535" i="1"/>
  <c r="AJ535" i="1" s="1"/>
  <c r="AK536" i="1"/>
  <c r="AJ536" i="1" s="1"/>
  <c r="AK537" i="1"/>
  <c r="AJ537" i="1" s="1"/>
  <c r="AK538" i="1"/>
  <c r="AJ538" i="1" s="1"/>
  <c r="AK539" i="1"/>
  <c r="AJ539" i="1" s="1"/>
  <c r="AK540" i="1"/>
  <c r="AJ540" i="1" s="1"/>
  <c r="AK541" i="1"/>
  <c r="AJ541" i="1" s="1"/>
  <c r="AK542" i="1"/>
  <c r="AJ542" i="1" s="1"/>
  <c r="AK543" i="1"/>
  <c r="AJ543" i="1" s="1"/>
  <c r="AL513" i="1"/>
  <c r="AL514" i="1"/>
  <c r="AL515" i="1"/>
  <c r="AL516" i="1"/>
  <c r="AL517" i="1"/>
  <c r="AL518" i="1"/>
  <c r="AL519" i="1"/>
  <c r="AL520" i="1"/>
  <c r="AL521" i="1"/>
  <c r="AL522" i="1"/>
  <c r="AL523" i="1"/>
  <c r="AL524" i="1"/>
  <c r="AL525" i="1"/>
  <c r="AL526" i="1"/>
  <c r="AL527" i="1"/>
  <c r="AL528" i="1"/>
  <c r="AL529" i="1"/>
  <c r="AL530" i="1"/>
  <c r="AL531" i="1"/>
  <c r="AL532" i="1"/>
  <c r="AL533" i="1"/>
  <c r="AL534" i="1"/>
  <c r="AL535" i="1"/>
  <c r="AL536" i="1"/>
  <c r="AL537" i="1"/>
  <c r="AL538" i="1"/>
  <c r="AL539" i="1"/>
  <c r="AL540" i="1"/>
  <c r="AL541" i="1"/>
  <c r="AL542" i="1"/>
  <c r="AL543" i="1"/>
  <c r="AM513" i="1"/>
  <c r="AM514" i="1"/>
  <c r="AM515" i="1"/>
  <c r="AM516" i="1"/>
  <c r="AM517" i="1"/>
  <c r="AM518" i="1"/>
  <c r="AM519" i="1"/>
  <c r="AM520" i="1"/>
  <c r="AM521" i="1"/>
  <c r="AM522" i="1"/>
  <c r="AM523" i="1"/>
  <c r="AM524" i="1"/>
  <c r="AM525" i="1"/>
  <c r="AM526" i="1"/>
  <c r="AM527" i="1"/>
  <c r="AM528" i="1"/>
  <c r="AM529" i="1"/>
  <c r="AM530" i="1"/>
  <c r="AM531" i="1"/>
  <c r="AM532" i="1"/>
  <c r="AM533" i="1"/>
  <c r="AM534" i="1"/>
  <c r="AM535" i="1"/>
  <c r="AM536" i="1"/>
  <c r="AM537" i="1"/>
  <c r="AM538" i="1"/>
  <c r="AM539" i="1"/>
  <c r="AM540" i="1"/>
  <c r="AM541" i="1"/>
  <c r="AM542" i="1"/>
  <c r="AM543" i="1"/>
  <c r="AN514" i="1"/>
  <c r="AN515" i="1"/>
  <c r="AN516" i="1"/>
  <c r="AO513" i="1"/>
  <c r="AO514" i="1"/>
  <c r="AO515" i="1"/>
  <c r="AO516" i="1"/>
  <c r="AO517" i="1"/>
  <c r="AO518" i="1"/>
  <c r="AO519" i="1"/>
  <c r="AO520" i="1"/>
  <c r="AO521" i="1"/>
  <c r="AO522" i="1"/>
  <c r="AO523" i="1"/>
  <c r="AO524" i="1"/>
  <c r="AO525" i="1"/>
  <c r="AO526" i="1"/>
  <c r="AO527" i="1"/>
  <c r="AO528" i="1"/>
  <c r="AO529" i="1"/>
  <c r="AO530" i="1"/>
  <c r="AO531" i="1"/>
  <c r="AO532" i="1"/>
  <c r="AO533" i="1"/>
  <c r="AO534" i="1"/>
  <c r="AO535" i="1"/>
  <c r="AO536" i="1"/>
  <c r="AO537" i="1"/>
  <c r="AO538" i="1"/>
  <c r="AO539" i="1"/>
  <c r="AO540" i="1"/>
  <c r="AO541" i="1"/>
  <c r="AO542" i="1"/>
  <c r="AO543" i="1"/>
  <c r="AP513" i="1"/>
  <c r="AP514" i="1"/>
  <c r="AP515" i="1"/>
  <c r="AP516" i="1"/>
  <c r="AP517" i="1"/>
  <c r="AP518" i="1"/>
  <c r="AP519" i="1"/>
  <c r="AP520" i="1"/>
  <c r="AP521" i="1"/>
  <c r="AP522" i="1"/>
  <c r="AP523" i="1"/>
  <c r="AP524" i="1"/>
  <c r="AP525" i="1"/>
  <c r="AP526" i="1"/>
  <c r="AP527" i="1"/>
  <c r="AP528" i="1"/>
  <c r="AP529" i="1"/>
  <c r="AP530" i="1"/>
  <c r="AP531" i="1"/>
  <c r="AP532" i="1"/>
  <c r="AP533" i="1"/>
  <c r="AP534" i="1"/>
  <c r="AP535" i="1"/>
  <c r="AP536" i="1"/>
  <c r="AP537" i="1"/>
  <c r="AP538" i="1"/>
  <c r="AP539" i="1"/>
  <c r="AP540" i="1"/>
  <c r="AP541" i="1"/>
  <c r="AP542" i="1"/>
  <c r="AP543" i="1"/>
  <c r="AQ513" i="1"/>
  <c r="AQ514" i="1"/>
  <c r="AQ515" i="1"/>
  <c r="AQ516" i="1"/>
  <c r="AQ517" i="1"/>
  <c r="AQ518" i="1"/>
  <c r="AQ519" i="1"/>
  <c r="AQ520" i="1"/>
  <c r="AQ521" i="1"/>
  <c r="AQ522" i="1"/>
  <c r="AQ523" i="1"/>
  <c r="AQ524" i="1"/>
  <c r="AQ525" i="1"/>
  <c r="AQ526" i="1"/>
  <c r="AQ527" i="1"/>
  <c r="AQ528" i="1"/>
  <c r="AQ529" i="1"/>
  <c r="AQ530" i="1"/>
  <c r="AQ531" i="1"/>
  <c r="AQ532" i="1"/>
  <c r="AQ533" i="1"/>
  <c r="AQ534" i="1"/>
  <c r="AQ535" i="1"/>
  <c r="AQ536" i="1"/>
  <c r="AQ537" i="1"/>
  <c r="AQ538" i="1"/>
  <c r="AQ539" i="1"/>
  <c r="AQ540" i="1"/>
  <c r="AQ541" i="1"/>
  <c r="AQ542" i="1"/>
  <c r="AQ543" i="1"/>
  <c r="AN528" i="1" l="1"/>
  <c r="AN540" i="1"/>
  <c r="AN526" i="1"/>
  <c r="AN522" i="1"/>
  <c r="AN518" i="1"/>
  <c r="AN524" i="1"/>
  <c r="AN543" i="1"/>
  <c r="AN534" i="1"/>
  <c r="AN532" i="1"/>
  <c r="AN539" i="1"/>
  <c r="AN527" i="1"/>
  <c r="AN538" i="1"/>
  <c r="AN531" i="1"/>
  <c r="AN519" i="1"/>
  <c r="AN535" i="1"/>
  <c r="AN530" i="1"/>
  <c r="AN523" i="1"/>
  <c r="AN542" i="1"/>
  <c r="AN536" i="1"/>
  <c r="AN520" i="1"/>
  <c r="AN541" i="1"/>
  <c r="AN537" i="1"/>
  <c r="AN533" i="1"/>
  <c r="AN529" i="1"/>
  <c r="AN525" i="1"/>
  <c r="AN521" i="1"/>
  <c r="AN517" i="1"/>
  <c r="AN513" i="1"/>
  <c r="AK472" i="1" l="1"/>
  <c r="AJ472" i="1" s="1"/>
  <c r="AK473" i="1"/>
  <c r="AJ473" i="1" s="1"/>
  <c r="AK474" i="1"/>
  <c r="AJ474" i="1" s="1"/>
  <c r="AK475" i="1"/>
  <c r="AJ475" i="1" s="1"/>
  <c r="AK476" i="1"/>
  <c r="AJ476" i="1" s="1"/>
  <c r="AK477" i="1"/>
  <c r="AJ477" i="1" s="1"/>
  <c r="AK478" i="1"/>
  <c r="AJ478" i="1" s="1"/>
  <c r="AK479" i="1"/>
  <c r="AJ479" i="1" s="1"/>
  <c r="AK480" i="1"/>
  <c r="AJ480" i="1" s="1"/>
  <c r="AK481" i="1"/>
  <c r="AJ481" i="1" s="1"/>
  <c r="AK482" i="1"/>
  <c r="AJ482" i="1" s="1"/>
  <c r="AK483" i="1"/>
  <c r="AJ483" i="1" s="1"/>
  <c r="AK484" i="1"/>
  <c r="AJ484" i="1" s="1"/>
  <c r="AK485" i="1"/>
  <c r="AJ485" i="1" s="1"/>
  <c r="AK486" i="1"/>
  <c r="AJ486" i="1" s="1"/>
  <c r="AK487" i="1"/>
  <c r="AJ487" i="1" s="1"/>
  <c r="AK488" i="1"/>
  <c r="AJ488" i="1" s="1"/>
  <c r="AK489" i="1"/>
  <c r="AJ489" i="1" s="1"/>
  <c r="AK490" i="1"/>
  <c r="AJ490" i="1" s="1"/>
  <c r="AK491" i="1"/>
  <c r="AJ491" i="1" s="1"/>
  <c r="AK492" i="1"/>
  <c r="AJ492" i="1" s="1"/>
  <c r="AK493" i="1"/>
  <c r="AJ493" i="1" s="1"/>
  <c r="AK494" i="1"/>
  <c r="AJ494" i="1" s="1"/>
  <c r="AK495" i="1"/>
  <c r="AJ495" i="1" s="1"/>
  <c r="AK496" i="1"/>
  <c r="AJ496" i="1" s="1"/>
  <c r="AK497" i="1"/>
  <c r="AJ497" i="1" s="1"/>
  <c r="AK498" i="1"/>
  <c r="AJ498" i="1" s="1"/>
  <c r="AK499" i="1"/>
  <c r="AJ499" i="1" s="1"/>
  <c r="AK500" i="1"/>
  <c r="AJ500" i="1" s="1"/>
  <c r="AK501" i="1"/>
  <c r="AJ501" i="1" s="1"/>
  <c r="AK502" i="1"/>
  <c r="AJ502" i="1" s="1"/>
  <c r="AK503" i="1"/>
  <c r="AJ503" i="1" s="1"/>
  <c r="AK504" i="1"/>
  <c r="AJ504" i="1" s="1"/>
  <c r="AK505" i="1"/>
  <c r="AJ505" i="1" s="1"/>
  <c r="AK506" i="1"/>
  <c r="AJ506" i="1" s="1"/>
  <c r="AK507" i="1"/>
  <c r="AJ507" i="1" s="1"/>
  <c r="AK508" i="1"/>
  <c r="AJ508" i="1" s="1"/>
  <c r="AK509" i="1"/>
  <c r="AJ509" i="1" s="1"/>
  <c r="AK510" i="1"/>
  <c r="AJ510" i="1" s="1"/>
  <c r="AK511" i="1"/>
  <c r="AJ511" i="1" s="1"/>
  <c r="AK512" i="1"/>
  <c r="AJ512" i="1" s="1"/>
  <c r="AL472" i="1"/>
  <c r="AL473" i="1"/>
  <c r="AL474" i="1"/>
  <c r="AL475" i="1"/>
  <c r="AL476" i="1"/>
  <c r="AL477" i="1"/>
  <c r="AL478" i="1"/>
  <c r="AL479" i="1"/>
  <c r="AL480" i="1"/>
  <c r="AL481" i="1"/>
  <c r="AL482" i="1"/>
  <c r="AL483" i="1"/>
  <c r="AL484" i="1"/>
  <c r="AL485" i="1"/>
  <c r="AL486" i="1"/>
  <c r="AL487" i="1"/>
  <c r="AL488" i="1"/>
  <c r="AL489" i="1"/>
  <c r="AL490" i="1"/>
  <c r="AL491" i="1"/>
  <c r="AL492" i="1"/>
  <c r="AL493" i="1"/>
  <c r="AL494" i="1"/>
  <c r="AL495" i="1"/>
  <c r="AL496" i="1"/>
  <c r="AL497" i="1"/>
  <c r="AL498" i="1"/>
  <c r="AL499" i="1"/>
  <c r="AL500" i="1"/>
  <c r="AL501" i="1"/>
  <c r="AL502" i="1"/>
  <c r="AL503" i="1"/>
  <c r="AL504" i="1"/>
  <c r="AL505" i="1"/>
  <c r="AL506" i="1"/>
  <c r="AL507" i="1"/>
  <c r="AL508" i="1"/>
  <c r="AL509" i="1"/>
  <c r="AL510" i="1"/>
  <c r="AL511" i="1"/>
  <c r="AL512" i="1"/>
  <c r="AM472" i="1"/>
  <c r="AM473" i="1"/>
  <c r="AM474" i="1"/>
  <c r="AM475" i="1"/>
  <c r="AM476" i="1"/>
  <c r="AM477" i="1"/>
  <c r="AM478" i="1"/>
  <c r="AM479" i="1"/>
  <c r="AM480" i="1"/>
  <c r="AM481" i="1"/>
  <c r="AM482" i="1"/>
  <c r="AM483" i="1"/>
  <c r="AM484" i="1"/>
  <c r="AM485" i="1"/>
  <c r="AM486" i="1"/>
  <c r="AM487" i="1"/>
  <c r="AM488" i="1"/>
  <c r="AM489" i="1"/>
  <c r="AM490" i="1"/>
  <c r="AM491" i="1"/>
  <c r="AM492" i="1"/>
  <c r="AM493" i="1"/>
  <c r="AM494" i="1"/>
  <c r="AM495" i="1"/>
  <c r="AM496" i="1"/>
  <c r="AM497" i="1"/>
  <c r="AM498" i="1"/>
  <c r="AM499" i="1"/>
  <c r="AM500" i="1"/>
  <c r="AM501" i="1"/>
  <c r="AM502" i="1"/>
  <c r="AM503" i="1"/>
  <c r="AM504" i="1"/>
  <c r="AM505" i="1"/>
  <c r="AM506" i="1"/>
  <c r="AM507" i="1"/>
  <c r="AM508" i="1"/>
  <c r="AM509" i="1"/>
  <c r="AM510" i="1"/>
  <c r="AM511" i="1"/>
  <c r="AM512" i="1"/>
  <c r="AN477" i="1"/>
  <c r="AN481" i="1"/>
  <c r="AN493" i="1"/>
  <c r="AN496" i="1"/>
  <c r="AN497" i="1"/>
  <c r="AN501" i="1"/>
  <c r="AN505" i="1"/>
  <c r="AO472" i="1"/>
  <c r="AO473" i="1"/>
  <c r="AO474" i="1"/>
  <c r="AO475" i="1"/>
  <c r="AO476" i="1"/>
  <c r="AO477" i="1"/>
  <c r="AO478" i="1"/>
  <c r="AO479" i="1"/>
  <c r="AO480" i="1"/>
  <c r="AO481" i="1"/>
  <c r="AO482" i="1"/>
  <c r="AO483" i="1"/>
  <c r="AO484" i="1"/>
  <c r="AO485" i="1"/>
  <c r="AO486" i="1"/>
  <c r="AO487" i="1"/>
  <c r="AO488" i="1"/>
  <c r="AO489" i="1"/>
  <c r="AO490" i="1"/>
  <c r="AO491" i="1"/>
  <c r="AO492" i="1"/>
  <c r="AO493" i="1"/>
  <c r="AO494" i="1"/>
  <c r="AO495" i="1"/>
  <c r="AO496" i="1"/>
  <c r="AO497" i="1"/>
  <c r="AO498" i="1"/>
  <c r="AO499" i="1"/>
  <c r="AO500" i="1"/>
  <c r="AO501" i="1"/>
  <c r="AO502" i="1"/>
  <c r="AO503" i="1"/>
  <c r="AO504" i="1"/>
  <c r="AO505" i="1"/>
  <c r="AO506" i="1"/>
  <c r="AO507" i="1"/>
  <c r="AO508" i="1"/>
  <c r="AO509" i="1"/>
  <c r="AO510" i="1"/>
  <c r="AO511" i="1"/>
  <c r="AO512" i="1"/>
  <c r="AP472" i="1"/>
  <c r="AP473" i="1"/>
  <c r="AP474" i="1"/>
  <c r="AP475" i="1"/>
  <c r="AP476" i="1"/>
  <c r="AP477" i="1"/>
  <c r="AP478" i="1"/>
  <c r="AP479" i="1"/>
  <c r="AP480" i="1"/>
  <c r="AP481" i="1"/>
  <c r="AP482" i="1"/>
  <c r="AP483" i="1"/>
  <c r="AP484" i="1"/>
  <c r="AP485" i="1"/>
  <c r="AP486" i="1"/>
  <c r="AP487" i="1"/>
  <c r="AP488" i="1"/>
  <c r="AP489" i="1"/>
  <c r="AP490" i="1"/>
  <c r="AP491" i="1"/>
  <c r="AP492" i="1"/>
  <c r="AP493" i="1"/>
  <c r="AP494" i="1"/>
  <c r="AP495" i="1"/>
  <c r="AP496" i="1"/>
  <c r="AP497" i="1"/>
  <c r="AP498" i="1"/>
  <c r="AP499" i="1"/>
  <c r="AP500" i="1"/>
  <c r="AP501" i="1"/>
  <c r="AP502" i="1"/>
  <c r="AP503" i="1"/>
  <c r="AP504" i="1"/>
  <c r="AP505" i="1"/>
  <c r="AP506" i="1"/>
  <c r="AP507" i="1"/>
  <c r="AP508" i="1"/>
  <c r="AP509" i="1"/>
  <c r="AP510" i="1"/>
  <c r="AP511" i="1"/>
  <c r="AP512" i="1"/>
  <c r="AQ472" i="1"/>
  <c r="AQ473" i="1"/>
  <c r="AQ474" i="1"/>
  <c r="AQ475" i="1"/>
  <c r="AQ476" i="1"/>
  <c r="AQ477" i="1"/>
  <c r="AQ478" i="1"/>
  <c r="AQ479" i="1"/>
  <c r="AQ480" i="1"/>
  <c r="AQ481" i="1"/>
  <c r="AQ482" i="1"/>
  <c r="AQ483" i="1"/>
  <c r="AQ484" i="1"/>
  <c r="AQ485" i="1"/>
  <c r="AQ486" i="1"/>
  <c r="AQ487" i="1"/>
  <c r="AQ488" i="1"/>
  <c r="AQ489" i="1"/>
  <c r="AQ490" i="1"/>
  <c r="AQ491" i="1"/>
  <c r="AQ492" i="1"/>
  <c r="AQ493" i="1"/>
  <c r="AQ494" i="1"/>
  <c r="AQ495" i="1"/>
  <c r="AQ496" i="1"/>
  <c r="AQ497" i="1"/>
  <c r="AQ498" i="1"/>
  <c r="AQ499" i="1"/>
  <c r="AQ500" i="1"/>
  <c r="AQ501" i="1"/>
  <c r="AQ502" i="1"/>
  <c r="AQ503" i="1"/>
  <c r="AQ504" i="1"/>
  <c r="AQ505" i="1"/>
  <c r="AQ506" i="1"/>
  <c r="AQ507" i="1"/>
  <c r="AQ508" i="1"/>
  <c r="AQ509" i="1"/>
  <c r="AQ510" i="1"/>
  <c r="AQ511" i="1"/>
  <c r="AQ512" i="1"/>
  <c r="AN476" i="1" l="1"/>
  <c r="AN484" i="1"/>
  <c r="AN509" i="1"/>
  <c r="AN472" i="1"/>
  <c r="AN500" i="1"/>
  <c r="AN492" i="1"/>
  <c r="AN480" i="1"/>
  <c r="AN488" i="1"/>
  <c r="AN499" i="1"/>
  <c r="AN483" i="1"/>
  <c r="AN503" i="1"/>
  <c r="AN487" i="1"/>
  <c r="AN511" i="1"/>
  <c r="AN491" i="1"/>
  <c r="AN485" i="1"/>
  <c r="AN475" i="1"/>
  <c r="AN507" i="1"/>
  <c r="AN495" i="1"/>
  <c r="AN489" i="1"/>
  <c r="AN479" i="1"/>
  <c r="AN473" i="1"/>
  <c r="AN504" i="1"/>
  <c r="AN508" i="1"/>
  <c r="AN512" i="1"/>
  <c r="AN510" i="1"/>
  <c r="AN506" i="1"/>
  <c r="AN502" i="1"/>
  <c r="AN498" i="1"/>
  <c r="AN494" i="1"/>
  <c r="AN490" i="1"/>
  <c r="AN486" i="1"/>
  <c r="AN482" i="1"/>
  <c r="AN478" i="1"/>
  <c r="AN474" i="1"/>
  <c r="G100" i="6" l="1"/>
  <c r="G101" i="6"/>
  <c r="G102" i="6"/>
  <c r="G103" i="6"/>
  <c r="G104" i="6"/>
  <c r="G105" i="6"/>
  <c r="G106" i="6"/>
  <c r="G107" i="6"/>
  <c r="G108" i="6"/>
  <c r="G109" i="6"/>
  <c r="G110" i="6"/>
  <c r="G111" i="6"/>
  <c r="AK446" i="1"/>
  <c r="AJ446" i="1" s="1"/>
  <c r="AK447" i="1"/>
  <c r="AN447" i="1" s="1"/>
  <c r="AK448" i="1"/>
  <c r="AK449" i="1"/>
  <c r="AK450" i="1"/>
  <c r="AJ450" i="1" s="1"/>
  <c r="AK451" i="1"/>
  <c r="AJ451" i="1" s="1"/>
  <c r="AK452" i="1"/>
  <c r="AN452" i="1" s="1"/>
  <c r="AK453" i="1"/>
  <c r="AJ453" i="1" s="1"/>
  <c r="AK454" i="1"/>
  <c r="AN454" i="1" s="1"/>
  <c r="AK455" i="1"/>
  <c r="AN455" i="1" s="1"/>
  <c r="AK456" i="1"/>
  <c r="AJ456" i="1" s="1"/>
  <c r="AK457" i="1"/>
  <c r="AJ457" i="1" s="1"/>
  <c r="AK458" i="1"/>
  <c r="AN458" i="1" s="1"/>
  <c r="AK459" i="1"/>
  <c r="AJ459" i="1" s="1"/>
  <c r="AK460" i="1"/>
  <c r="AN460" i="1" s="1"/>
  <c r="AK461" i="1"/>
  <c r="AN461" i="1" s="1"/>
  <c r="AK462" i="1"/>
  <c r="AN462" i="1" s="1"/>
  <c r="AK463" i="1"/>
  <c r="AJ463" i="1" s="1"/>
  <c r="AK464" i="1"/>
  <c r="AN464" i="1" s="1"/>
  <c r="AK465" i="1"/>
  <c r="AN465" i="1" s="1"/>
  <c r="AK466" i="1"/>
  <c r="AJ466" i="1" s="1"/>
  <c r="AK467" i="1"/>
  <c r="AJ467" i="1" s="1"/>
  <c r="AK468" i="1"/>
  <c r="AJ468" i="1" s="1"/>
  <c r="AK469" i="1"/>
  <c r="AN469" i="1" s="1"/>
  <c r="AK470" i="1"/>
  <c r="AJ470" i="1" s="1"/>
  <c r="AK471" i="1"/>
  <c r="AJ471" i="1" s="1"/>
  <c r="AL446" i="1"/>
  <c r="AL447" i="1"/>
  <c r="AL448" i="1"/>
  <c r="AL449" i="1"/>
  <c r="AL450" i="1"/>
  <c r="AL451" i="1"/>
  <c r="AL452" i="1"/>
  <c r="AL453" i="1"/>
  <c r="AL454" i="1"/>
  <c r="AL455" i="1"/>
  <c r="AL456" i="1"/>
  <c r="AL457" i="1"/>
  <c r="AL458" i="1"/>
  <c r="AL459" i="1"/>
  <c r="AL460" i="1"/>
  <c r="AL461" i="1"/>
  <c r="AL462" i="1"/>
  <c r="AL463" i="1"/>
  <c r="AL464" i="1"/>
  <c r="AL465" i="1"/>
  <c r="AL466" i="1"/>
  <c r="AL467" i="1"/>
  <c r="AL468" i="1"/>
  <c r="AL469" i="1"/>
  <c r="AL470" i="1"/>
  <c r="AL471" i="1"/>
  <c r="AM446" i="1"/>
  <c r="AM447" i="1"/>
  <c r="AM448" i="1"/>
  <c r="AM449" i="1"/>
  <c r="AM450" i="1"/>
  <c r="AM451" i="1"/>
  <c r="AM452" i="1"/>
  <c r="AM453" i="1"/>
  <c r="AM454" i="1"/>
  <c r="AM455" i="1"/>
  <c r="AM456" i="1"/>
  <c r="AM457" i="1"/>
  <c r="AM458" i="1"/>
  <c r="AM459" i="1"/>
  <c r="AM460" i="1"/>
  <c r="AM461" i="1"/>
  <c r="AM462" i="1"/>
  <c r="AM463" i="1"/>
  <c r="AM464" i="1"/>
  <c r="AM465" i="1"/>
  <c r="AM466" i="1"/>
  <c r="AM467" i="1"/>
  <c r="AM468" i="1"/>
  <c r="AM469" i="1"/>
  <c r="AM470" i="1"/>
  <c r="AM471" i="1"/>
  <c r="AN448" i="1"/>
  <c r="AN449" i="1"/>
  <c r="AO446" i="1"/>
  <c r="AO447" i="1"/>
  <c r="AO448" i="1"/>
  <c r="AO449" i="1"/>
  <c r="AO450" i="1"/>
  <c r="AO451" i="1"/>
  <c r="AO452" i="1"/>
  <c r="AO453" i="1"/>
  <c r="AO454" i="1"/>
  <c r="AO455" i="1"/>
  <c r="AO456" i="1"/>
  <c r="AO457" i="1"/>
  <c r="AO458" i="1"/>
  <c r="AO459" i="1"/>
  <c r="AO460" i="1"/>
  <c r="AO461" i="1"/>
  <c r="AO462" i="1"/>
  <c r="AO463" i="1"/>
  <c r="AO464" i="1"/>
  <c r="AO465" i="1"/>
  <c r="AO466" i="1"/>
  <c r="AO467" i="1"/>
  <c r="AO468" i="1"/>
  <c r="AO469" i="1"/>
  <c r="AO470" i="1"/>
  <c r="AO471" i="1"/>
  <c r="AP446" i="1"/>
  <c r="AP447" i="1"/>
  <c r="AP448" i="1"/>
  <c r="AP449" i="1"/>
  <c r="AP450" i="1"/>
  <c r="AP451" i="1"/>
  <c r="AP452" i="1"/>
  <c r="AP453" i="1"/>
  <c r="AP454" i="1"/>
  <c r="AP455" i="1"/>
  <c r="AP456" i="1"/>
  <c r="AP457" i="1"/>
  <c r="AP458" i="1"/>
  <c r="AP459" i="1"/>
  <c r="AP460" i="1"/>
  <c r="AP461" i="1"/>
  <c r="AP462" i="1"/>
  <c r="AP463" i="1"/>
  <c r="AP464" i="1"/>
  <c r="AP465" i="1"/>
  <c r="AP466" i="1"/>
  <c r="AP467" i="1"/>
  <c r="AP468" i="1"/>
  <c r="AP469" i="1"/>
  <c r="AP470" i="1"/>
  <c r="AP471" i="1"/>
  <c r="AQ446" i="1"/>
  <c r="AQ447" i="1"/>
  <c r="AQ448" i="1"/>
  <c r="AQ449" i="1"/>
  <c r="AQ450" i="1"/>
  <c r="AQ451" i="1"/>
  <c r="AQ452" i="1"/>
  <c r="AQ453" i="1"/>
  <c r="AQ454" i="1"/>
  <c r="AQ455" i="1"/>
  <c r="AQ456" i="1"/>
  <c r="AQ457" i="1"/>
  <c r="AQ458" i="1"/>
  <c r="AQ459" i="1"/>
  <c r="AQ460" i="1"/>
  <c r="AQ461" i="1"/>
  <c r="AQ462" i="1"/>
  <c r="AQ463" i="1"/>
  <c r="AQ464" i="1"/>
  <c r="AQ465" i="1"/>
  <c r="AQ466" i="1"/>
  <c r="AQ467" i="1"/>
  <c r="AQ468" i="1"/>
  <c r="AQ469" i="1"/>
  <c r="AQ470" i="1"/>
  <c r="AQ471" i="1"/>
  <c r="AN457" i="1" l="1"/>
  <c r="AN453" i="1"/>
  <c r="AN456" i="1"/>
  <c r="AN468" i="1"/>
  <c r="AN471" i="1"/>
  <c r="AN467" i="1"/>
  <c r="AN463" i="1"/>
  <c r="AN459" i="1"/>
  <c r="AN451" i="1"/>
  <c r="AN470" i="1"/>
  <c r="AN466" i="1"/>
  <c r="AN450" i="1"/>
  <c r="AN446" i="1"/>
  <c r="AK422" i="1" l="1"/>
  <c r="AJ422" i="1" s="1"/>
  <c r="AK423" i="1"/>
  <c r="AJ423" i="1" s="1"/>
  <c r="AK424" i="1"/>
  <c r="AJ424" i="1" s="1"/>
  <c r="AK425" i="1"/>
  <c r="AK426" i="1"/>
  <c r="AJ426" i="1" s="1"/>
  <c r="AK427" i="1"/>
  <c r="AJ427" i="1" s="1"/>
  <c r="AK428" i="1"/>
  <c r="AK429" i="1"/>
  <c r="AJ429" i="1" s="1"/>
  <c r="AK430" i="1"/>
  <c r="AK431" i="1"/>
  <c r="AJ431" i="1" s="1"/>
  <c r="AK432" i="1"/>
  <c r="AJ432" i="1" s="1"/>
  <c r="AK433" i="1"/>
  <c r="AJ433" i="1" s="1"/>
  <c r="AK434" i="1"/>
  <c r="AJ434" i="1" s="1"/>
  <c r="AK435" i="1"/>
  <c r="AK436" i="1"/>
  <c r="AJ436" i="1" s="1"/>
  <c r="AK437" i="1"/>
  <c r="AJ437" i="1" s="1"/>
  <c r="AK438" i="1"/>
  <c r="AJ438" i="1" s="1"/>
  <c r="AK439" i="1"/>
  <c r="AJ439" i="1" s="1"/>
  <c r="AK440" i="1"/>
  <c r="AJ440" i="1" s="1"/>
  <c r="AK441" i="1"/>
  <c r="AJ441" i="1" s="1"/>
  <c r="AK442" i="1"/>
  <c r="AJ442" i="1" s="1"/>
  <c r="AK443" i="1"/>
  <c r="AJ443" i="1" s="1"/>
  <c r="AK444" i="1"/>
  <c r="AJ444" i="1" s="1"/>
  <c r="AK445" i="1"/>
  <c r="AJ445" i="1" s="1"/>
  <c r="AL422" i="1"/>
  <c r="AL423" i="1"/>
  <c r="AL424" i="1"/>
  <c r="AL425" i="1"/>
  <c r="AL426" i="1"/>
  <c r="AL427" i="1"/>
  <c r="AL428" i="1"/>
  <c r="AL429" i="1"/>
  <c r="AL430" i="1"/>
  <c r="AL431" i="1"/>
  <c r="AL432" i="1"/>
  <c r="AL433" i="1"/>
  <c r="AL434" i="1"/>
  <c r="AL435" i="1"/>
  <c r="AL436" i="1"/>
  <c r="AL437" i="1"/>
  <c r="AL438" i="1"/>
  <c r="AL439" i="1"/>
  <c r="AL440" i="1"/>
  <c r="AL441" i="1"/>
  <c r="AL442" i="1"/>
  <c r="AL443" i="1"/>
  <c r="AL444" i="1"/>
  <c r="AL445" i="1"/>
  <c r="AM422" i="1"/>
  <c r="AM423" i="1"/>
  <c r="AM424" i="1"/>
  <c r="AM425" i="1"/>
  <c r="AM426" i="1"/>
  <c r="AM427" i="1"/>
  <c r="AM428" i="1"/>
  <c r="AM429" i="1"/>
  <c r="AM430" i="1"/>
  <c r="AM431" i="1"/>
  <c r="AM432" i="1"/>
  <c r="AM433" i="1"/>
  <c r="AM434" i="1"/>
  <c r="AM435" i="1"/>
  <c r="AM436" i="1"/>
  <c r="AM437" i="1"/>
  <c r="AM438" i="1"/>
  <c r="AM439" i="1"/>
  <c r="AM440" i="1"/>
  <c r="AM441" i="1"/>
  <c r="AM442" i="1"/>
  <c r="AM443" i="1"/>
  <c r="AM444" i="1"/>
  <c r="AM445" i="1"/>
  <c r="AN422" i="1"/>
  <c r="AN423" i="1"/>
  <c r="AN424" i="1"/>
  <c r="AN425" i="1"/>
  <c r="AN426" i="1"/>
  <c r="AN427" i="1"/>
  <c r="AN428" i="1"/>
  <c r="AN429" i="1"/>
  <c r="AN430" i="1"/>
  <c r="AN431" i="1"/>
  <c r="AN432" i="1"/>
  <c r="AN433" i="1"/>
  <c r="AN434" i="1"/>
  <c r="AN435" i="1"/>
  <c r="AN436" i="1"/>
  <c r="AN437" i="1"/>
  <c r="AN438" i="1"/>
  <c r="AN439" i="1"/>
  <c r="AN440" i="1"/>
  <c r="AN441" i="1"/>
  <c r="AN442" i="1"/>
  <c r="AN443" i="1"/>
  <c r="AN444" i="1"/>
  <c r="AN445" i="1"/>
  <c r="AO422" i="1"/>
  <c r="AO423" i="1"/>
  <c r="AO424" i="1"/>
  <c r="AO425" i="1"/>
  <c r="AO426" i="1"/>
  <c r="AO427" i="1"/>
  <c r="AO428" i="1"/>
  <c r="AO429" i="1"/>
  <c r="AO430" i="1"/>
  <c r="AO431" i="1"/>
  <c r="AO432" i="1"/>
  <c r="AO433" i="1"/>
  <c r="AO434" i="1"/>
  <c r="AO435" i="1"/>
  <c r="AO436" i="1"/>
  <c r="AO437" i="1"/>
  <c r="AO438" i="1"/>
  <c r="AO439" i="1"/>
  <c r="AO440" i="1"/>
  <c r="AO441" i="1"/>
  <c r="AO442" i="1"/>
  <c r="AO443" i="1"/>
  <c r="AO444" i="1"/>
  <c r="AO445" i="1"/>
  <c r="AP422" i="1"/>
  <c r="AP423" i="1"/>
  <c r="AP424" i="1"/>
  <c r="AP425" i="1"/>
  <c r="AP426" i="1"/>
  <c r="AP427" i="1"/>
  <c r="AP428" i="1"/>
  <c r="AP429" i="1"/>
  <c r="AP430" i="1"/>
  <c r="AP431" i="1"/>
  <c r="AP432" i="1"/>
  <c r="AP433" i="1"/>
  <c r="AP434" i="1"/>
  <c r="AP435" i="1"/>
  <c r="AP436" i="1"/>
  <c r="AP437" i="1"/>
  <c r="AP438" i="1"/>
  <c r="AP439" i="1"/>
  <c r="AP440" i="1"/>
  <c r="AP441" i="1"/>
  <c r="AP442" i="1"/>
  <c r="AP443" i="1"/>
  <c r="AP444" i="1"/>
  <c r="AP445" i="1"/>
  <c r="AQ422" i="1"/>
  <c r="AQ423" i="1"/>
  <c r="AQ424" i="1"/>
  <c r="AQ425" i="1"/>
  <c r="AQ426" i="1"/>
  <c r="AQ427" i="1"/>
  <c r="AQ428" i="1"/>
  <c r="AQ429" i="1"/>
  <c r="AQ430" i="1"/>
  <c r="AQ431" i="1"/>
  <c r="AQ432" i="1"/>
  <c r="AQ433" i="1"/>
  <c r="AQ434" i="1"/>
  <c r="AQ435" i="1"/>
  <c r="AQ436" i="1"/>
  <c r="AQ437" i="1"/>
  <c r="AQ438" i="1"/>
  <c r="AQ439" i="1"/>
  <c r="AQ440" i="1"/>
  <c r="AQ441" i="1"/>
  <c r="AQ442" i="1"/>
  <c r="AQ443" i="1"/>
  <c r="AQ444" i="1"/>
  <c r="AQ445" i="1"/>
  <c r="G95" i="6" l="1"/>
  <c r="G96" i="6"/>
  <c r="G97" i="6"/>
  <c r="G98" i="6"/>
  <c r="G99" i="6"/>
  <c r="AK396" i="1"/>
  <c r="AJ396" i="1" s="1"/>
  <c r="AK397" i="1"/>
  <c r="AJ397" i="1" s="1"/>
  <c r="AK398" i="1"/>
  <c r="AK399" i="1"/>
  <c r="AJ399" i="1" s="1"/>
  <c r="AK400" i="1"/>
  <c r="AJ400" i="1" s="1"/>
  <c r="AK401" i="1"/>
  <c r="AJ401" i="1" s="1"/>
  <c r="AK402" i="1"/>
  <c r="AN402" i="1" s="1"/>
  <c r="AK403" i="1"/>
  <c r="AJ403" i="1" s="1"/>
  <c r="AK404" i="1"/>
  <c r="AJ404" i="1" s="1"/>
  <c r="AK405" i="1"/>
  <c r="AN405" i="1" s="1"/>
  <c r="AK406" i="1"/>
  <c r="AN406" i="1" s="1"/>
  <c r="AK407" i="1"/>
  <c r="AJ407" i="1" s="1"/>
  <c r="AK408" i="1"/>
  <c r="AN408" i="1" s="1"/>
  <c r="AK409" i="1"/>
  <c r="AN409" i="1" s="1"/>
  <c r="AK410" i="1"/>
  <c r="AJ410" i="1" s="1"/>
  <c r="AK411" i="1"/>
  <c r="AN411" i="1" s="1"/>
  <c r="AK412" i="1"/>
  <c r="AN412" i="1" s="1"/>
  <c r="AK413" i="1"/>
  <c r="AJ413" i="1" s="1"/>
  <c r="AK414" i="1"/>
  <c r="AJ414" i="1" s="1"/>
  <c r="AK415" i="1"/>
  <c r="AJ415" i="1" s="1"/>
  <c r="AK416" i="1"/>
  <c r="AJ416" i="1" s="1"/>
  <c r="AK417" i="1"/>
  <c r="AJ417" i="1" s="1"/>
  <c r="AK418" i="1"/>
  <c r="AJ418" i="1" s="1"/>
  <c r="AK419" i="1"/>
  <c r="AJ419" i="1" s="1"/>
  <c r="AK420" i="1"/>
  <c r="AN420" i="1" s="1"/>
  <c r="AK421" i="1"/>
  <c r="AN421" i="1" s="1"/>
  <c r="AL396" i="1"/>
  <c r="AL397" i="1"/>
  <c r="AL398" i="1"/>
  <c r="AL399" i="1"/>
  <c r="AL400" i="1"/>
  <c r="AL401" i="1"/>
  <c r="AL402" i="1"/>
  <c r="AL403" i="1"/>
  <c r="AL404" i="1"/>
  <c r="AL405" i="1"/>
  <c r="AL406" i="1"/>
  <c r="AL407" i="1"/>
  <c r="AL408" i="1"/>
  <c r="AL409" i="1"/>
  <c r="AL410" i="1"/>
  <c r="AL411" i="1"/>
  <c r="AL412" i="1"/>
  <c r="AL413" i="1"/>
  <c r="AL414" i="1"/>
  <c r="AL415" i="1"/>
  <c r="AL416" i="1"/>
  <c r="AL417" i="1"/>
  <c r="AL418" i="1"/>
  <c r="AL419" i="1"/>
  <c r="AL420" i="1"/>
  <c r="AL421" i="1"/>
  <c r="AM396" i="1"/>
  <c r="AM397" i="1"/>
  <c r="AM398" i="1"/>
  <c r="AM399" i="1"/>
  <c r="AM400" i="1"/>
  <c r="AM401" i="1"/>
  <c r="AM402" i="1"/>
  <c r="AM403" i="1"/>
  <c r="AM404" i="1"/>
  <c r="AM405" i="1"/>
  <c r="AM406" i="1"/>
  <c r="AM407" i="1"/>
  <c r="AM408" i="1"/>
  <c r="AM409" i="1"/>
  <c r="AM410" i="1"/>
  <c r="AM411" i="1"/>
  <c r="AM412" i="1"/>
  <c r="AM413" i="1"/>
  <c r="AM414" i="1"/>
  <c r="AM415" i="1"/>
  <c r="AM416" i="1"/>
  <c r="AM417" i="1"/>
  <c r="AM418" i="1"/>
  <c r="AM419" i="1"/>
  <c r="AM420" i="1"/>
  <c r="AM421" i="1"/>
  <c r="AN398" i="1"/>
  <c r="AN419" i="1"/>
  <c r="AO396" i="1"/>
  <c r="AO397" i="1"/>
  <c r="AO398" i="1"/>
  <c r="AO399" i="1"/>
  <c r="AO400" i="1"/>
  <c r="AO401" i="1"/>
  <c r="AO402" i="1"/>
  <c r="AO403" i="1"/>
  <c r="AO404" i="1"/>
  <c r="AO405" i="1"/>
  <c r="AO406" i="1"/>
  <c r="AO407" i="1"/>
  <c r="AO408" i="1"/>
  <c r="AO409" i="1"/>
  <c r="AO410" i="1"/>
  <c r="AO411" i="1"/>
  <c r="AO412" i="1"/>
  <c r="AO413" i="1"/>
  <c r="AO414" i="1"/>
  <c r="AO415" i="1"/>
  <c r="AO416" i="1"/>
  <c r="AO417" i="1"/>
  <c r="AO418" i="1"/>
  <c r="AO419" i="1"/>
  <c r="AO420" i="1"/>
  <c r="AO421" i="1"/>
  <c r="AP396" i="1"/>
  <c r="AP397" i="1"/>
  <c r="AP398" i="1"/>
  <c r="AP399" i="1"/>
  <c r="AP400" i="1"/>
  <c r="AP401" i="1"/>
  <c r="AP402" i="1"/>
  <c r="AP403" i="1"/>
  <c r="AP404" i="1"/>
  <c r="AP405" i="1"/>
  <c r="AP406" i="1"/>
  <c r="AP407" i="1"/>
  <c r="AP408" i="1"/>
  <c r="AP409" i="1"/>
  <c r="AP410" i="1"/>
  <c r="AP411" i="1"/>
  <c r="AP412" i="1"/>
  <c r="AP413" i="1"/>
  <c r="AP414" i="1"/>
  <c r="AP415" i="1"/>
  <c r="AP416" i="1"/>
  <c r="AP417" i="1"/>
  <c r="AP418" i="1"/>
  <c r="AP419" i="1"/>
  <c r="AP420" i="1"/>
  <c r="AP421" i="1"/>
  <c r="AQ396" i="1"/>
  <c r="AQ397" i="1"/>
  <c r="AQ398" i="1"/>
  <c r="AQ399" i="1"/>
  <c r="AQ400" i="1"/>
  <c r="AQ401" i="1"/>
  <c r="AQ402" i="1"/>
  <c r="AQ403" i="1"/>
  <c r="AQ404" i="1"/>
  <c r="AQ405" i="1"/>
  <c r="AQ406" i="1"/>
  <c r="AQ407" i="1"/>
  <c r="AQ408" i="1"/>
  <c r="AQ409" i="1"/>
  <c r="AQ410" i="1"/>
  <c r="AQ411" i="1"/>
  <c r="AQ412" i="1"/>
  <c r="AQ413" i="1"/>
  <c r="AQ414" i="1"/>
  <c r="AQ415" i="1"/>
  <c r="AQ416" i="1"/>
  <c r="AQ417" i="1"/>
  <c r="AQ418" i="1"/>
  <c r="AQ419" i="1"/>
  <c r="AQ420" i="1"/>
  <c r="AQ421" i="1"/>
  <c r="AN418" i="1" l="1"/>
  <c r="AN410" i="1"/>
  <c r="AN414" i="1"/>
  <c r="AN399" i="1"/>
  <c r="AN404" i="1"/>
  <c r="AN396" i="1"/>
  <c r="AN403" i="1"/>
  <c r="AN407" i="1"/>
  <c r="AN416" i="1"/>
  <c r="AN400" i="1"/>
  <c r="AN415" i="1"/>
  <c r="AN417" i="1"/>
  <c r="AN413" i="1"/>
  <c r="AN401" i="1"/>
  <c r="AN397" i="1"/>
  <c r="G92" i="6" l="1"/>
  <c r="G93" i="6"/>
  <c r="G94" i="6"/>
  <c r="AK353" i="1"/>
  <c r="AJ353" i="1" s="1"/>
  <c r="AK354" i="1"/>
  <c r="AJ354" i="1" s="1"/>
  <c r="AK355" i="1"/>
  <c r="AK356" i="1"/>
  <c r="AN356" i="1" s="1"/>
  <c r="AK357" i="1"/>
  <c r="AJ357" i="1" s="1"/>
  <c r="AK358" i="1"/>
  <c r="AN358" i="1" s="1"/>
  <c r="AK359" i="1"/>
  <c r="AN359" i="1" s="1"/>
  <c r="AK360" i="1"/>
  <c r="AN360" i="1" s="1"/>
  <c r="AK361" i="1"/>
  <c r="AN361" i="1" s="1"/>
  <c r="AK362" i="1"/>
  <c r="AN362" i="1" s="1"/>
  <c r="AK363" i="1"/>
  <c r="AN363" i="1" s="1"/>
  <c r="AK364" i="1"/>
  <c r="AN364" i="1" s="1"/>
  <c r="AK365" i="1"/>
  <c r="AJ365" i="1" s="1"/>
  <c r="AK366" i="1"/>
  <c r="AN366" i="1" s="1"/>
  <c r="AK367" i="1"/>
  <c r="AJ367" i="1" s="1"/>
  <c r="AK368" i="1"/>
  <c r="AJ368" i="1" s="1"/>
  <c r="AK369" i="1"/>
  <c r="AJ369" i="1" s="1"/>
  <c r="AK370" i="1"/>
  <c r="AJ370" i="1" s="1"/>
  <c r="AK371" i="1"/>
  <c r="AJ371" i="1" s="1"/>
  <c r="AK372" i="1"/>
  <c r="AN372" i="1" s="1"/>
  <c r="AK373" i="1"/>
  <c r="AN373" i="1" s="1"/>
  <c r="AK374" i="1"/>
  <c r="AN374" i="1" s="1"/>
  <c r="AK375" i="1"/>
  <c r="AN375" i="1" s="1"/>
  <c r="AK376" i="1"/>
  <c r="AN376" i="1" s="1"/>
  <c r="AK377" i="1"/>
  <c r="AN377" i="1" s="1"/>
  <c r="AK378" i="1"/>
  <c r="AN378" i="1" s="1"/>
  <c r="AK379" i="1"/>
  <c r="AJ379" i="1" s="1"/>
  <c r="AK380" i="1"/>
  <c r="AN380" i="1" s="1"/>
  <c r="AK381" i="1"/>
  <c r="AN381" i="1" s="1"/>
  <c r="AK382" i="1"/>
  <c r="AJ382" i="1" s="1"/>
  <c r="AK383" i="1"/>
  <c r="AK384" i="1"/>
  <c r="AN384" i="1" s="1"/>
  <c r="AK385" i="1"/>
  <c r="AJ385" i="1" s="1"/>
  <c r="AK386" i="1"/>
  <c r="AJ386" i="1" s="1"/>
  <c r="AK387" i="1"/>
  <c r="AJ387" i="1" s="1"/>
  <c r="AK388" i="1"/>
  <c r="AN388" i="1" s="1"/>
  <c r="AK389" i="1"/>
  <c r="AN389" i="1" s="1"/>
  <c r="AK390" i="1"/>
  <c r="AN390" i="1" s="1"/>
  <c r="AK391" i="1"/>
  <c r="AJ391" i="1" s="1"/>
  <c r="AK392" i="1"/>
  <c r="AN392" i="1" s="1"/>
  <c r="AK393" i="1"/>
  <c r="AJ393" i="1" s="1"/>
  <c r="AK394" i="1"/>
  <c r="AN394" i="1" s="1"/>
  <c r="AK395" i="1"/>
  <c r="AN395" i="1" s="1"/>
  <c r="AL353" i="1"/>
  <c r="AL354" i="1"/>
  <c r="AL355" i="1"/>
  <c r="AL356" i="1"/>
  <c r="AL357" i="1"/>
  <c r="AL358" i="1"/>
  <c r="AL359" i="1"/>
  <c r="AL360" i="1"/>
  <c r="AL361" i="1"/>
  <c r="AL362" i="1"/>
  <c r="AL363" i="1"/>
  <c r="AL364" i="1"/>
  <c r="AL365" i="1"/>
  <c r="AL366" i="1"/>
  <c r="AL367" i="1"/>
  <c r="AL368" i="1"/>
  <c r="AL369" i="1"/>
  <c r="AL370" i="1"/>
  <c r="AL371" i="1"/>
  <c r="AL372" i="1"/>
  <c r="AL373" i="1"/>
  <c r="AL374" i="1"/>
  <c r="AL375" i="1"/>
  <c r="AL376" i="1"/>
  <c r="AL377" i="1"/>
  <c r="AL378" i="1"/>
  <c r="AL379" i="1"/>
  <c r="AL380" i="1"/>
  <c r="AL381" i="1"/>
  <c r="AL382" i="1"/>
  <c r="AL383" i="1"/>
  <c r="AL384" i="1"/>
  <c r="AL385" i="1"/>
  <c r="AL386" i="1"/>
  <c r="AL387" i="1"/>
  <c r="AL388" i="1"/>
  <c r="AL389" i="1"/>
  <c r="AL390" i="1"/>
  <c r="AL391" i="1"/>
  <c r="AL392" i="1"/>
  <c r="AL393" i="1"/>
  <c r="AL394" i="1"/>
  <c r="AL395" i="1"/>
  <c r="AM353" i="1"/>
  <c r="AM354" i="1"/>
  <c r="AM355" i="1"/>
  <c r="AM356" i="1"/>
  <c r="AM357" i="1"/>
  <c r="AM358" i="1"/>
  <c r="AM359" i="1"/>
  <c r="AM360" i="1"/>
  <c r="AM361" i="1"/>
  <c r="AM362" i="1"/>
  <c r="AM363" i="1"/>
  <c r="AM364" i="1"/>
  <c r="AM365" i="1"/>
  <c r="AM366" i="1"/>
  <c r="AM367" i="1"/>
  <c r="AM368" i="1"/>
  <c r="AM369" i="1"/>
  <c r="AM370" i="1"/>
  <c r="AM371" i="1"/>
  <c r="AM372" i="1"/>
  <c r="AM373" i="1"/>
  <c r="AM374" i="1"/>
  <c r="AM375" i="1"/>
  <c r="AM376" i="1"/>
  <c r="AM377" i="1"/>
  <c r="AM378" i="1"/>
  <c r="AM379" i="1"/>
  <c r="AM380" i="1"/>
  <c r="AM381" i="1"/>
  <c r="AM382" i="1"/>
  <c r="AM383" i="1"/>
  <c r="AM384" i="1"/>
  <c r="AM385" i="1"/>
  <c r="AM386" i="1"/>
  <c r="AM387" i="1"/>
  <c r="AM388" i="1"/>
  <c r="AM389" i="1"/>
  <c r="AM390" i="1"/>
  <c r="AM391" i="1"/>
  <c r="AM392" i="1"/>
  <c r="AM393" i="1"/>
  <c r="AM394" i="1"/>
  <c r="AM395" i="1"/>
  <c r="AN354" i="1"/>
  <c r="AN355" i="1"/>
  <c r="AN367" i="1"/>
  <c r="AN383" i="1"/>
  <c r="AO353" i="1"/>
  <c r="AO354" i="1"/>
  <c r="AO355" i="1"/>
  <c r="AO356" i="1"/>
  <c r="AO357" i="1"/>
  <c r="AO358" i="1"/>
  <c r="AO359" i="1"/>
  <c r="AO360" i="1"/>
  <c r="AO361" i="1"/>
  <c r="AO362" i="1"/>
  <c r="AO363" i="1"/>
  <c r="AO364" i="1"/>
  <c r="AO365" i="1"/>
  <c r="AO366" i="1"/>
  <c r="AO367" i="1"/>
  <c r="AO368" i="1"/>
  <c r="AO369" i="1"/>
  <c r="AO370" i="1"/>
  <c r="AO371" i="1"/>
  <c r="AO372" i="1"/>
  <c r="AO373" i="1"/>
  <c r="AO374" i="1"/>
  <c r="AO375" i="1"/>
  <c r="AO376" i="1"/>
  <c r="AO377" i="1"/>
  <c r="AO378" i="1"/>
  <c r="AO379" i="1"/>
  <c r="AO380" i="1"/>
  <c r="AO381" i="1"/>
  <c r="AO382" i="1"/>
  <c r="AO383" i="1"/>
  <c r="AO384" i="1"/>
  <c r="AO385" i="1"/>
  <c r="AO386" i="1"/>
  <c r="AO387" i="1"/>
  <c r="AO388" i="1"/>
  <c r="AO389" i="1"/>
  <c r="AO390" i="1"/>
  <c r="AO391" i="1"/>
  <c r="AO392" i="1"/>
  <c r="AO393" i="1"/>
  <c r="AO394" i="1"/>
  <c r="AO395" i="1"/>
  <c r="AP353" i="1"/>
  <c r="AP354" i="1"/>
  <c r="AP355" i="1"/>
  <c r="AP356" i="1"/>
  <c r="AP357" i="1"/>
  <c r="AP358" i="1"/>
  <c r="AP359" i="1"/>
  <c r="AP360" i="1"/>
  <c r="AP361" i="1"/>
  <c r="AP362" i="1"/>
  <c r="AP363" i="1"/>
  <c r="AP364" i="1"/>
  <c r="AP365" i="1"/>
  <c r="AP366" i="1"/>
  <c r="AP367" i="1"/>
  <c r="AP368" i="1"/>
  <c r="AP369" i="1"/>
  <c r="AP370" i="1"/>
  <c r="AP371" i="1"/>
  <c r="AP372" i="1"/>
  <c r="AP373" i="1"/>
  <c r="AP374" i="1"/>
  <c r="AP375" i="1"/>
  <c r="AP376" i="1"/>
  <c r="AP377" i="1"/>
  <c r="AP378" i="1"/>
  <c r="AP379" i="1"/>
  <c r="AP380" i="1"/>
  <c r="AP381" i="1"/>
  <c r="AP382" i="1"/>
  <c r="AP383" i="1"/>
  <c r="AP384" i="1"/>
  <c r="AP385" i="1"/>
  <c r="AP386" i="1"/>
  <c r="AP387" i="1"/>
  <c r="AP388" i="1"/>
  <c r="AP389" i="1"/>
  <c r="AP390" i="1"/>
  <c r="AP391" i="1"/>
  <c r="AP392" i="1"/>
  <c r="AP393" i="1"/>
  <c r="AP394" i="1"/>
  <c r="AP395" i="1"/>
  <c r="AQ353" i="1"/>
  <c r="AQ354" i="1"/>
  <c r="AQ355" i="1"/>
  <c r="AQ356" i="1"/>
  <c r="AQ357" i="1"/>
  <c r="AQ358" i="1"/>
  <c r="AQ359" i="1"/>
  <c r="AQ360" i="1"/>
  <c r="AQ361" i="1"/>
  <c r="AQ362" i="1"/>
  <c r="AQ363" i="1"/>
  <c r="AQ364" i="1"/>
  <c r="AQ365" i="1"/>
  <c r="AQ366" i="1"/>
  <c r="AQ367" i="1"/>
  <c r="AQ368" i="1"/>
  <c r="AQ369" i="1"/>
  <c r="AQ370" i="1"/>
  <c r="AQ371" i="1"/>
  <c r="AQ372" i="1"/>
  <c r="AQ373" i="1"/>
  <c r="AQ374" i="1"/>
  <c r="AQ375" i="1"/>
  <c r="AQ376" i="1"/>
  <c r="AQ377" i="1"/>
  <c r="AQ378" i="1"/>
  <c r="AQ379" i="1"/>
  <c r="AQ380" i="1"/>
  <c r="AQ381" i="1"/>
  <c r="AQ382" i="1"/>
  <c r="AQ383" i="1"/>
  <c r="AQ384" i="1"/>
  <c r="AQ385" i="1"/>
  <c r="AQ386" i="1"/>
  <c r="AQ387" i="1"/>
  <c r="AQ388" i="1"/>
  <c r="AQ389" i="1"/>
  <c r="AQ390" i="1"/>
  <c r="AQ391" i="1"/>
  <c r="AQ392" i="1"/>
  <c r="AQ393" i="1"/>
  <c r="AQ394" i="1"/>
  <c r="AQ395" i="1"/>
  <c r="AN368" i="1" l="1"/>
  <c r="AN379" i="1"/>
  <c r="AN382" i="1"/>
  <c r="AN386" i="1"/>
  <c r="AN371" i="1"/>
  <c r="AN387" i="1"/>
  <c r="AN370" i="1"/>
  <c r="AN391" i="1"/>
  <c r="AN393" i="1"/>
  <c r="AN385" i="1"/>
  <c r="AN369" i="1"/>
  <c r="AN365" i="1"/>
  <c r="AN357" i="1"/>
  <c r="AN353" i="1"/>
  <c r="G87" i="6" l="1"/>
  <c r="G88" i="6"/>
  <c r="G89" i="6"/>
  <c r="G90" i="6"/>
  <c r="G91" i="6"/>
  <c r="AK322" i="1"/>
  <c r="AJ322" i="1" s="1"/>
  <c r="AK323" i="1"/>
  <c r="AJ323" i="1" s="1"/>
  <c r="AK324" i="1"/>
  <c r="AJ324" i="1" s="1"/>
  <c r="AK325" i="1"/>
  <c r="AJ325" i="1" s="1"/>
  <c r="AK326" i="1"/>
  <c r="AN326" i="1" s="1"/>
  <c r="AK327" i="1"/>
  <c r="AJ327" i="1" s="1"/>
  <c r="AK328" i="1"/>
  <c r="AJ328" i="1" s="1"/>
  <c r="AK329" i="1"/>
  <c r="AJ329" i="1" s="1"/>
  <c r="AK330" i="1"/>
  <c r="AJ330" i="1" s="1"/>
  <c r="AK331" i="1"/>
  <c r="AJ331" i="1" s="1"/>
  <c r="AK332" i="1"/>
  <c r="AJ332" i="1" s="1"/>
  <c r="AK333" i="1"/>
  <c r="AJ333" i="1" s="1"/>
  <c r="AK334" i="1"/>
  <c r="AJ334" i="1" s="1"/>
  <c r="AK335" i="1"/>
  <c r="AJ335" i="1" s="1"/>
  <c r="AK336" i="1"/>
  <c r="AJ336" i="1" s="1"/>
  <c r="AK337" i="1"/>
  <c r="AJ337" i="1" s="1"/>
  <c r="AK338" i="1"/>
  <c r="AN338" i="1" s="1"/>
  <c r="AK339" i="1"/>
  <c r="AJ339" i="1" s="1"/>
  <c r="AK340" i="1"/>
  <c r="AN340" i="1" s="1"/>
  <c r="AK341" i="1"/>
  <c r="AN341" i="1" s="1"/>
  <c r="AK342" i="1"/>
  <c r="AJ342" i="1" s="1"/>
  <c r="AK343" i="1"/>
  <c r="AJ343" i="1" s="1"/>
  <c r="AK344" i="1"/>
  <c r="AN344" i="1" s="1"/>
  <c r="AK345" i="1"/>
  <c r="AJ345" i="1" s="1"/>
  <c r="AK346" i="1"/>
  <c r="AJ346" i="1" s="1"/>
  <c r="AK347" i="1"/>
  <c r="AN347" i="1" s="1"/>
  <c r="AK348" i="1"/>
  <c r="AN348" i="1" s="1"/>
  <c r="AK349" i="1"/>
  <c r="AJ349" i="1" s="1"/>
  <c r="AK350" i="1"/>
  <c r="AN350" i="1" s="1"/>
  <c r="AK351" i="1"/>
  <c r="AN351" i="1" s="1"/>
  <c r="AK352" i="1"/>
  <c r="AJ352" i="1" s="1"/>
  <c r="AL322" i="1"/>
  <c r="AL323" i="1"/>
  <c r="AL324" i="1"/>
  <c r="AL325" i="1"/>
  <c r="AL326" i="1"/>
  <c r="AL327" i="1"/>
  <c r="AL328" i="1"/>
  <c r="AL329" i="1"/>
  <c r="AL330" i="1"/>
  <c r="AL331" i="1"/>
  <c r="AL332" i="1"/>
  <c r="AL333" i="1"/>
  <c r="AL334" i="1"/>
  <c r="AL335" i="1"/>
  <c r="AL336" i="1"/>
  <c r="AL337" i="1"/>
  <c r="AL338" i="1"/>
  <c r="AL339" i="1"/>
  <c r="AL340" i="1"/>
  <c r="AL341" i="1"/>
  <c r="AL342" i="1"/>
  <c r="AL343" i="1"/>
  <c r="AL344" i="1"/>
  <c r="AL345" i="1"/>
  <c r="AL346" i="1"/>
  <c r="AL347" i="1"/>
  <c r="AL348" i="1"/>
  <c r="AL349" i="1"/>
  <c r="AL350" i="1"/>
  <c r="AL351" i="1"/>
  <c r="AL352" i="1"/>
  <c r="AM322" i="1"/>
  <c r="AM323" i="1"/>
  <c r="AM324" i="1"/>
  <c r="AM325" i="1"/>
  <c r="AM326" i="1"/>
  <c r="AM327" i="1"/>
  <c r="AM328" i="1"/>
  <c r="AM329" i="1"/>
  <c r="AM330" i="1"/>
  <c r="AM331" i="1"/>
  <c r="AM332" i="1"/>
  <c r="AM333" i="1"/>
  <c r="AM334" i="1"/>
  <c r="AM335" i="1"/>
  <c r="AM336" i="1"/>
  <c r="AM337" i="1"/>
  <c r="AM338" i="1"/>
  <c r="AM339" i="1"/>
  <c r="AM340" i="1"/>
  <c r="AM341" i="1"/>
  <c r="AM342" i="1"/>
  <c r="AM343" i="1"/>
  <c r="AM344" i="1"/>
  <c r="AM345" i="1"/>
  <c r="AM346" i="1"/>
  <c r="AM347" i="1"/>
  <c r="AM348" i="1"/>
  <c r="AM349" i="1"/>
  <c r="AM350" i="1"/>
  <c r="AM351" i="1"/>
  <c r="AM352" i="1"/>
  <c r="AN323" i="1"/>
  <c r="AN324" i="1"/>
  <c r="AN325" i="1"/>
  <c r="AO322" i="1"/>
  <c r="AO323" i="1"/>
  <c r="AO324" i="1"/>
  <c r="AO325" i="1"/>
  <c r="AO326" i="1"/>
  <c r="AO327" i="1"/>
  <c r="AO328" i="1"/>
  <c r="AO329" i="1"/>
  <c r="AO330" i="1"/>
  <c r="AO331" i="1"/>
  <c r="AO332" i="1"/>
  <c r="AO333" i="1"/>
  <c r="AO334" i="1"/>
  <c r="AO335" i="1"/>
  <c r="AO336" i="1"/>
  <c r="AO337" i="1"/>
  <c r="AO338" i="1"/>
  <c r="AO339" i="1"/>
  <c r="AO340" i="1"/>
  <c r="AO341" i="1"/>
  <c r="AO342" i="1"/>
  <c r="AO343" i="1"/>
  <c r="AO344" i="1"/>
  <c r="AO345" i="1"/>
  <c r="AO346" i="1"/>
  <c r="AO347" i="1"/>
  <c r="AO348" i="1"/>
  <c r="AO349" i="1"/>
  <c r="AO350" i="1"/>
  <c r="AO351" i="1"/>
  <c r="AO352" i="1"/>
  <c r="AP322" i="1"/>
  <c r="AP323" i="1"/>
  <c r="AP324" i="1"/>
  <c r="AP325" i="1"/>
  <c r="AP326" i="1"/>
  <c r="AP327" i="1"/>
  <c r="AP328" i="1"/>
  <c r="AP329" i="1"/>
  <c r="AP330" i="1"/>
  <c r="AP331" i="1"/>
  <c r="AP332" i="1"/>
  <c r="AP333" i="1"/>
  <c r="AP334" i="1"/>
  <c r="AP335" i="1"/>
  <c r="AP336" i="1"/>
  <c r="AP337" i="1"/>
  <c r="AP338" i="1"/>
  <c r="AP339" i="1"/>
  <c r="AP340" i="1"/>
  <c r="AP341" i="1"/>
  <c r="AP342" i="1"/>
  <c r="AP343" i="1"/>
  <c r="AP344" i="1"/>
  <c r="AP345" i="1"/>
  <c r="AP346" i="1"/>
  <c r="AP347" i="1"/>
  <c r="AP348" i="1"/>
  <c r="AP349" i="1"/>
  <c r="AP350" i="1"/>
  <c r="AP351" i="1"/>
  <c r="AP352" i="1"/>
  <c r="AQ322" i="1"/>
  <c r="AQ323" i="1"/>
  <c r="AQ324" i="1"/>
  <c r="AQ325" i="1"/>
  <c r="AQ326" i="1"/>
  <c r="AQ327" i="1"/>
  <c r="AQ328" i="1"/>
  <c r="AQ329" i="1"/>
  <c r="AQ330" i="1"/>
  <c r="AQ331" i="1"/>
  <c r="AQ332" i="1"/>
  <c r="AQ333" i="1"/>
  <c r="AQ334" i="1"/>
  <c r="AQ335" i="1"/>
  <c r="AQ336" i="1"/>
  <c r="AQ337" i="1"/>
  <c r="AQ338" i="1"/>
  <c r="AQ339" i="1"/>
  <c r="AQ340" i="1"/>
  <c r="AQ341" i="1"/>
  <c r="AQ342" i="1"/>
  <c r="AQ343" i="1"/>
  <c r="AQ344" i="1"/>
  <c r="AQ345" i="1"/>
  <c r="AQ346" i="1"/>
  <c r="AQ347" i="1"/>
  <c r="AQ348" i="1"/>
  <c r="AQ349" i="1"/>
  <c r="AQ350" i="1"/>
  <c r="AQ351" i="1"/>
  <c r="AQ352" i="1"/>
  <c r="AN332" i="1" l="1"/>
  <c r="AN352" i="1"/>
  <c r="AN345" i="1"/>
  <c r="AN337" i="1"/>
  <c r="AN336" i="1"/>
  <c r="AN331" i="1"/>
  <c r="AN339" i="1"/>
  <c r="AN343" i="1"/>
  <c r="AN327" i="1"/>
  <c r="AN335" i="1"/>
  <c r="AN329" i="1"/>
  <c r="AN349" i="1"/>
  <c r="AN333" i="1"/>
  <c r="AN328" i="1"/>
  <c r="AN346" i="1"/>
  <c r="AN342" i="1"/>
  <c r="AN334" i="1"/>
  <c r="AN330" i="1"/>
  <c r="AN322" i="1"/>
  <c r="AK292" i="1" l="1"/>
  <c r="AJ292" i="1" s="1"/>
  <c r="AK293" i="1"/>
  <c r="AJ293" i="1" s="1"/>
  <c r="AK294" i="1"/>
  <c r="AJ294" i="1" s="1"/>
  <c r="AK295" i="1"/>
  <c r="AJ295" i="1" s="1"/>
  <c r="AK296" i="1"/>
  <c r="AN296" i="1" s="1"/>
  <c r="AK297" i="1"/>
  <c r="AJ297" i="1" s="1"/>
  <c r="AK298" i="1"/>
  <c r="AJ298" i="1" s="1"/>
  <c r="AK299" i="1"/>
  <c r="AN299" i="1" s="1"/>
  <c r="AK300" i="1"/>
  <c r="AJ300" i="1" s="1"/>
  <c r="AK301" i="1"/>
  <c r="AJ301" i="1" s="1"/>
  <c r="AK302" i="1"/>
  <c r="AJ302" i="1" s="1"/>
  <c r="AK303" i="1"/>
  <c r="AJ303" i="1" s="1"/>
  <c r="AK304" i="1"/>
  <c r="AJ304" i="1" s="1"/>
  <c r="AK305" i="1"/>
  <c r="AJ305" i="1" s="1"/>
  <c r="AK306" i="1"/>
  <c r="AJ306" i="1" s="1"/>
  <c r="AK307" i="1"/>
  <c r="AJ307" i="1" s="1"/>
  <c r="AK308" i="1"/>
  <c r="AJ308" i="1" s="1"/>
  <c r="AK309" i="1"/>
  <c r="AN309" i="1" s="1"/>
  <c r="AK310" i="1"/>
  <c r="AJ310" i="1" s="1"/>
  <c r="AK311" i="1"/>
  <c r="AJ311" i="1" s="1"/>
  <c r="AK312" i="1"/>
  <c r="AJ312" i="1" s="1"/>
  <c r="AK313" i="1"/>
  <c r="AJ313" i="1" s="1"/>
  <c r="AK314" i="1"/>
  <c r="AJ314" i="1" s="1"/>
  <c r="AK315" i="1"/>
  <c r="AJ315" i="1" s="1"/>
  <c r="AK316" i="1"/>
  <c r="AJ316" i="1" s="1"/>
  <c r="AK317" i="1"/>
  <c r="AJ317" i="1" s="1"/>
  <c r="AK318" i="1"/>
  <c r="AJ318" i="1" s="1"/>
  <c r="AK319" i="1"/>
  <c r="AN319" i="1" s="1"/>
  <c r="AK320" i="1"/>
  <c r="AJ320" i="1" s="1"/>
  <c r="AK321" i="1"/>
  <c r="AJ321" i="1" s="1"/>
  <c r="AL292" i="1"/>
  <c r="AL293" i="1"/>
  <c r="AL294" i="1"/>
  <c r="AL295" i="1"/>
  <c r="AL296" i="1"/>
  <c r="AL297" i="1"/>
  <c r="AL298" i="1"/>
  <c r="AL299" i="1"/>
  <c r="AL300" i="1"/>
  <c r="AL301" i="1"/>
  <c r="AL302" i="1"/>
  <c r="AL303" i="1"/>
  <c r="AL304" i="1"/>
  <c r="AL305" i="1"/>
  <c r="AL306" i="1"/>
  <c r="AL307" i="1"/>
  <c r="AL308" i="1"/>
  <c r="AL309" i="1"/>
  <c r="AL310" i="1"/>
  <c r="AL311" i="1"/>
  <c r="AL312" i="1"/>
  <c r="AL313" i="1"/>
  <c r="AL314" i="1"/>
  <c r="AL315" i="1"/>
  <c r="AL316" i="1"/>
  <c r="AL317" i="1"/>
  <c r="AL318" i="1"/>
  <c r="AL319" i="1"/>
  <c r="AL320" i="1"/>
  <c r="AL321" i="1"/>
  <c r="AM292" i="1"/>
  <c r="AM293" i="1"/>
  <c r="AM294" i="1"/>
  <c r="AM295" i="1"/>
  <c r="AM296" i="1"/>
  <c r="AM297" i="1"/>
  <c r="AM298" i="1"/>
  <c r="AM299" i="1"/>
  <c r="AM300" i="1"/>
  <c r="AM301" i="1"/>
  <c r="AM302" i="1"/>
  <c r="AM303" i="1"/>
  <c r="AM304" i="1"/>
  <c r="AM305" i="1"/>
  <c r="AM306" i="1"/>
  <c r="AM307" i="1"/>
  <c r="AM308" i="1"/>
  <c r="AM309" i="1"/>
  <c r="AM310" i="1"/>
  <c r="AM311" i="1"/>
  <c r="AM312" i="1"/>
  <c r="AM313" i="1"/>
  <c r="AM314" i="1"/>
  <c r="AM315" i="1"/>
  <c r="AM316" i="1"/>
  <c r="AM317" i="1"/>
  <c r="AM318" i="1"/>
  <c r="AM319" i="1"/>
  <c r="AM320" i="1"/>
  <c r="AM321" i="1"/>
  <c r="AN294" i="1"/>
  <c r="AN295" i="1"/>
  <c r="AO292" i="1"/>
  <c r="AO293" i="1"/>
  <c r="AO294" i="1"/>
  <c r="AO295" i="1"/>
  <c r="AO296" i="1"/>
  <c r="AO297" i="1"/>
  <c r="AO298" i="1"/>
  <c r="AO299" i="1"/>
  <c r="AO300" i="1"/>
  <c r="AO301" i="1"/>
  <c r="AO302" i="1"/>
  <c r="AO303" i="1"/>
  <c r="AO304" i="1"/>
  <c r="AO305" i="1"/>
  <c r="AO306" i="1"/>
  <c r="AO307" i="1"/>
  <c r="AO308" i="1"/>
  <c r="AO309" i="1"/>
  <c r="AO310" i="1"/>
  <c r="AO311" i="1"/>
  <c r="AO312" i="1"/>
  <c r="AO313" i="1"/>
  <c r="AO314" i="1"/>
  <c r="AO315" i="1"/>
  <c r="AO316" i="1"/>
  <c r="AO317" i="1"/>
  <c r="AO318" i="1"/>
  <c r="AO319" i="1"/>
  <c r="AO320" i="1"/>
  <c r="AO321" i="1"/>
  <c r="AP292" i="1"/>
  <c r="AP293" i="1"/>
  <c r="AP294" i="1"/>
  <c r="AP295" i="1"/>
  <c r="AP296" i="1"/>
  <c r="AP297" i="1"/>
  <c r="AP298" i="1"/>
  <c r="AP299" i="1"/>
  <c r="AP300" i="1"/>
  <c r="AP301" i="1"/>
  <c r="AP302" i="1"/>
  <c r="AP303" i="1"/>
  <c r="AP304" i="1"/>
  <c r="AP305" i="1"/>
  <c r="AP306" i="1"/>
  <c r="AP307" i="1"/>
  <c r="AP308" i="1"/>
  <c r="AP309" i="1"/>
  <c r="AP310" i="1"/>
  <c r="AP311" i="1"/>
  <c r="AP312" i="1"/>
  <c r="AP313" i="1"/>
  <c r="AP314" i="1"/>
  <c r="AP315" i="1"/>
  <c r="AP316" i="1"/>
  <c r="AP317" i="1"/>
  <c r="AP318" i="1"/>
  <c r="AP319" i="1"/>
  <c r="AP320" i="1"/>
  <c r="AP321" i="1"/>
  <c r="AQ292" i="1"/>
  <c r="AQ293" i="1"/>
  <c r="AQ294" i="1"/>
  <c r="AQ295" i="1"/>
  <c r="AQ296" i="1"/>
  <c r="AQ297" i="1"/>
  <c r="AQ298" i="1"/>
  <c r="AQ299" i="1"/>
  <c r="AQ300" i="1"/>
  <c r="AQ301" i="1"/>
  <c r="AQ302" i="1"/>
  <c r="AQ303" i="1"/>
  <c r="AQ304" i="1"/>
  <c r="AQ305" i="1"/>
  <c r="AQ306" i="1"/>
  <c r="AQ307" i="1"/>
  <c r="AQ308" i="1"/>
  <c r="AQ309" i="1"/>
  <c r="AQ310" i="1"/>
  <c r="AQ311" i="1"/>
  <c r="AQ312" i="1"/>
  <c r="AQ313" i="1"/>
  <c r="AQ314" i="1"/>
  <c r="AQ315" i="1"/>
  <c r="AQ316" i="1"/>
  <c r="AQ317" i="1"/>
  <c r="AQ318" i="1"/>
  <c r="AQ319" i="1"/>
  <c r="AQ320" i="1"/>
  <c r="AQ321" i="1"/>
  <c r="AN306" i="1" l="1"/>
  <c r="AN314" i="1"/>
  <c r="AN311" i="1"/>
  <c r="AN303" i="1"/>
  <c r="AN310" i="1"/>
  <c r="AN298" i="1"/>
  <c r="AN302" i="1"/>
  <c r="AN318" i="1"/>
  <c r="AN315" i="1"/>
  <c r="AN307" i="1"/>
  <c r="AN321" i="1"/>
  <c r="AN317" i="1"/>
  <c r="AN313" i="1"/>
  <c r="AN305" i="1"/>
  <c r="AN301" i="1"/>
  <c r="AN297" i="1"/>
  <c r="AN293" i="1"/>
  <c r="AN320" i="1"/>
  <c r="AN316" i="1"/>
  <c r="AN312" i="1"/>
  <c r="AN308" i="1"/>
  <c r="AN304" i="1"/>
  <c r="AN300" i="1"/>
  <c r="AN292" i="1"/>
  <c r="G85" i="6" l="1"/>
  <c r="G86" i="6"/>
  <c r="AK261" i="1"/>
  <c r="AJ261" i="1" s="1"/>
  <c r="AK262" i="1"/>
  <c r="AJ262" i="1" s="1"/>
  <c r="AK263" i="1"/>
  <c r="AJ263" i="1" s="1"/>
  <c r="AK264" i="1"/>
  <c r="AJ264" i="1" s="1"/>
  <c r="AK265" i="1"/>
  <c r="AJ265" i="1" s="1"/>
  <c r="AK266" i="1"/>
  <c r="AJ266" i="1" s="1"/>
  <c r="AK267" i="1"/>
  <c r="AJ267" i="1" s="1"/>
  <c r="AK268" i="1"/>
  <c r="AJ268" i="1" s="1"/>
  <c r="AK269" i="1"/>
  <c r="AJ269" i="1" s="1"/>
  <c r="AK270" i="1"/>
  <c r="AJ270" i="1" s="1"/>
  <c r="AK271" i="1"/>
  <c r="AJ271" i="1" s="1"/>
  <c r="AK272" i="1"/>
  <c r="AJ272" i="1" s="1"/>
  <c r="AK273" i="1"/>
  <c r="AJ273" i="1" s="1"/>
  <c r="AK274" i="1"/>
  <c r="AJ274" i="1" s="1"/>
  <c r="AK275" i="1"/>
  <c r="AJ275" i="1" s="1"/>
  <c r="AK276" i="1"/>
  <c r="AJ276" i="1" s="1"/>
  <c r="AK277" i="1"/>
  <c r="AJ277" i="1" s="1"/>
  <c r="AK278" i="1"/>
  <c r="AJ278" i="1" s="1"/>
  <c r="AK279" i="1"/>
  <c r="AJ279" i="1" s="1"/>
  <c r="AK280" i="1"/>
  <c r="AJ280" i="1" s="1"/>
  <c r="AK281" i="1"/>
  <c r="AJ281" i="1" s="1"/>
  <c r="AK282" i="1"/>
  <c r="AJ282" i="1" s="1"/>
  <c r="AK283" i="1"/>
  <c r="AN283" i="1" s="1"/>
  <c r="AK284" i="1"/>
  <c r="AJ284" i="1" s="1"/>
  <c r="AK285" i="1"/>
  <c r="AJ285" i="1" s="1"/>
  <c r="AK286" i="1"/>
  <c r="AJ286" i="1" s="1"/>
  <c r="AK287" i="1"/>
  <c r="AN287" i="1" s="1"/>
  <c r="AK288" i="1"/>
  <c r="AJ288" i="1" s="1"/>
  <c r="AK289" i="1"/>
  <c r="AJ289" i="1" s="1"/>
  <c r="AK290" i="1"/>
  <c r="AJ290" i="1" s="1"/>
  <c r="AK291" i="1"/>
  <c r="AN291" i="1" s="1"/>
  <c r="AL261" i="1"/>
  <c r="AL262" i="1"/>
  <c r="AL263" i="1"/>
  <c r="AL264" i="1"/>
  <c r="AL265" i="1"/>
  <c r="AL266" i="1"/>
  <c r="AL267" i="1"/>
  <c r="AL268" i="1"/>
  <c r="AL269" i="1"/>
  <c r="AL270" i="1"/>
  <c r="AL271" i="1"/>
  <c r="AL272" i="1"/>
  <c r="AL273" i="1"/>
  <c r="AL274" i="1"/>
  <c r="AL275" i="1"/>
  <c r="AL276" i="1"/>
  <c r="AL277" i="1"/>
  <c r="AL278" i="1"/>
  <c r="AL279" i="1"/>
  <c r="AL280" i="1"/>
  <c r="AL281" i="1"/>
  <c r="AL282" i="1"/>
  <c r="AL283" i="1"/>
  <c r="AL284" i="1"/>
  <c r="AL285" i="1"/>
  <c r="AL286" i="1"/>
  <c r="AL287" i="1"/>
  <c r="AL288" i="1"/>
  <c r="AL289" i="1"/>
  <c r="AL290" i="1"/>
  <c r="AL291" i="1"/>
  <c r="AM261" i="1"/>
  <c r="AM262" i="1"/>
  <c r="AM263" i="1"/>
  <c r="AM264" i="1"/>
  <c r="AM265" i="1"/>
  <c r="AM266" i="1"/>
  <c r="AM267" i="1"/>
  <c r="AM268" i="1"/>
  <c r="AM269" i="1"/>
  <c r="AM270" i="1"/>
  <c r="AM271" i="1"/>
  <c r="AM272" i="1"/>
  <c r="AM273" i="1"/>
  <c r="AM274" i="1"/>
  <c r="AM275" i="1"/>
  <c r="AM276" i="1"/>
  <c r="AM277" i="1"/>
  <c r="AM278" i="1"/>
  <c r="AM279" i="1"/>
  <c r="AM280" i="1"/>
  <c r="AM281" i="1"/>
  <c r="AM282" i="1"/>
  <c r="AM283" i="1"/>
  <c r="AM284" i="1"/>
  <c r="AM285" i="1"/>
  <c r="AM286" i="1"/>
  <c r="AM287" i="1"/>
  <c r="AM288" i="1"/>
  <c r="AM289" i="1"/>
  <c r="AM290" i="1"/>
  <c r="AM291" i="1"/>
  <c r="AN262" i="1"/>
  <c r="AN263" i="1"/>
  <c r="AN264" i="1"/>
  <c r="AO261" i="1"/>
  <c r="AO262" i="1"/>
  <c r="AO263" i="1"/>
  <c r="AO264" i="1"/>
  <c r="AO265" i="1"/>
  <c r="AO266" i="1"/>
  <c r="AO267" i="1"/>
  <c r="AO268" i="1"/>
  <c r="AO269" i="1"/>
  <c r="AO270" i="1"/>
  <c r="AO271" i="1"/>
  <c r="AO272" i="1"/>
  <c r="AO273" i="1"/>
  <c r="AO274" i="1"/>
  <c r="AO275" i="1"/>
  <c r="AO276" i="1"/>
  <c r="AO277" i="1"/>
  <c r="AO278" i="1"/>
  <c r="AO279" i="1"/>
  <c r="AO280" i="1"/>
  <c r="AO281" i="1"/>
  <c r="AO282" i="1"/>
  <c r="AO283" i="1"/>
  <c r="AO284" i="1"/>
  <c r="AO285" i="1"/>
  <c r="AO286" i="1"/>
  <c r="AO287" i="1"/>
  <c r="AO288" i="1"/>
  <c r="AO289" i="1"/>
  <c r="AO290" i="1"/>
  <c r="AO291" i="1"/>
  <c r="AP261" i="1"/>
  <c r="AP262" i="1"/>
  <c r="AP263" i="1"/>
  <c r="AP264" i="1"/>
  <c r="AP265" i="1"/>
  <c r="AP266" i="1"/>
  <c r="AP267" i="1"/>
  <c r="AP268" i="1"/>
  <c r="AP269" i="1"/>
  <c r="AP270" i="1"/>
  <c r="AP271" i="1"/>
  <c r="AP272" i="1"/>
  <c r="AP273" i="1"/>
  <c r="AP274" i="1"/>
  <c r="AP275" i="1"/>
  <c r="AP276" i="1"/>
  <c r="AP277" i="1"/>
  <c r="AP278" i="1"/>
  <c r="AP279" i="1"/>
  <c r="AP280" i="1"/>
  <c r="AP281" i="1"/>
  <c r="AP282" i="1"/>
  <c r="AP283" i="1"/>
  <c r="AP284" i="1"/>
  <c r="AP285" i="1"/>
  <c r="AP286" i="1"/>
  <c r="AP287" i="1"/>
  <c r="AP288" i="1"/>
  <c r="AP289" i="1"/>
  <c r="AP290" i="1"/>
  <c r="AP291" i="1"/>
  <c r="AQ261" i="1"/>
  <c r="AQ262" i="1"/>
  <c r="AQ263" i="1"/>
  <c r="AQ264" i="1"/>
  <c r="AQ265" i="1"/>
  <c r="AQ266" i="1"/>
  <c r="AQ267" i="1"/>
  <c r="AQ268" i="1"/>
  <c r="AQ269" i="1"/>
  <c r="AQ270" i="1"/>
  <c r="AQ271" i="1"/>
  <c r="AQ272" i="1"/>
  <c r="AQ273" i="1"/>
  <c r="AQ274" i="1"/>
  <c r="AQ275" i="1"/>
  <c r="AQ276" i="1"/>
  <c r="AQ277" i="1"/>
  <c r="AQ278" i="1"/>
  <c r="AQ279" i="1"/>
  <c r="AQ280" i="1"/>
  <c r="AQ281" i="1"/>
  <c r="AQ282" i="1"/>
  <c r="AQ283" i="1"/>
  <c r="AQ284" i="1"/>
  <c r="AQ285" i="1"/>
  <c r="AQ286" i="1"/>
  <c r="AQ287" i="1"/>
  <c r="AQ288" i="1"/>
  <c r="AQ289" i="1"/>
  <c r="AQ290" i="1"/>
  <c r="AQ291" i="1"/>
  <c r="AN274" i="1" l="1"/>
  <c r="AN288" i="1"/>
  <c r="AN268" i="1"/>
  <c r="AN280" i="1"/>
  <c r="AN276" i="1"/>
  <c r="AN290" i="1"/>
  <c r="AN270" i="1"/>
  <c r="AN282" i="1"/>
  <c r="AN266" i="1"/>
  <c r="AN275" i="1"/>
  <c r="AN267" i="1"/>
  <c r="AN286" i="1"/>
  <c r="AN279" i="1"/>
  <c r="AN278" i="1"/>
  <c r="AN271" i="1"/>
  <c r="AN284" i="1"/>
  <c r="AN272" i="1"/>
  <c r="AN289" i="1"/>
  <c r="AN285" i="1"/>
  <c r="AN281" i="1"/>
  <c r="AN277" i="1"/>
  <c r="AN273" i="1"/>
  <c r="AN269" i="1"/>
  <c r="AN265" i="1"/>
  <c r="AN261" i="1"/>
  <c r="AK218" i="1" l="1"/>
  <c r="AJ218" i="1" s="1"/>
  <c r="AK219" i="1"/>
  <c r="AN219" i="1" s="1"/>
  <c r="AK220" i="1"/>
  <c r="AN220" i="1" s="1"/>
  <c r="AK221" i="1"/>
  <c r="AJ221" i="1" s="1"/>
  <c r="AK222" i="1"/>
  <c r="AJ222" i="1" s="1"/>
  <c r="AK223" i="1"/>
  <c r="AJ223" i="1" s="1"/>
  <c r="AK224" i="1"/>
  <c r="AK225" i="1"/>
  <c r="AN225" i="1" s="1"/>
  <c r="AK226" i="1"/>
  <c r="AJ226" i="1" s="1"/>
  <c r="AK227" i="1"/>
  <c r="AN227" i="1" s="1"/>
  <c r="AK228" i="1"/>
  <c r="AJ228" i="1" s="1"/>
  <c r="AK229" i="1"/>
  <c r="AJ229" i="1" s="1"/>
  <c r="AK230" i="1"/>
  <c r="AJ230" i="1" s="1"/>
  <c r="AK231" i="1"/>
  <c r="AN231" i="1" s="1"/>
  <c r="AK232" i="1"/>
  <c r="AJ232" i="1" s="1"/>
  <c r="AK233" i="1"/>
  <c r="AJ233" i="1" s="1"/>
  <c r="AK234" i="1"/>
  <c r="AJ234" i="1" s="1"/>
  <c r="AK235" i="1"/>
  <c r="AJ235" i="1" s="1"/>
  <c r="AK236" i="1"/>
  <c r="AJ236" i="1" s="1"/>
  <c r="AK237" i="1"/>
  <c r="AN237" i="1" s="1"/>
  <c r="AK238" i="1"/>
  <c r="AJ238" i="1" s="1"/>
  <c r="AK239" i="1"/>
  <c r="AJ239" i="1" s="1"/>
  <c r="AK240" i="1"/>
  <c r="AJ240" i="1" s="1"/>
  <c r="AK241" i="1"/>
  <c r="AJ241" i="1" s="1"/>
  <c r="AK242" i="1"/>
  <c r="AJ242" i="1" s="1"/>
  <c r="AK243" i="1"/>
  <c r="AJ243" i="1" s="1"/>
  <c r="AK244" i="1"/>
  <c r="AJ244" i="1" s="1"/>
  <c r="AK245" i="1"/>
  <c r="AJ245" i="1" s="1"/>
  <c r="AK246" i="1"/>
  <c r="AJ246" i="1" s="1"/>
  <c r="AK247" i="1"/>
  <c r="AN247" i="1" s="1"/>
  <c r="AK248" i="1"/>
  <c r="AN248" i="1" s="1"/>
  <c r="AK249" i="1"/>
  <c r="AJ249" i="1" s="1"/>
  <c r="AK250" i="1"/>
  <c r="AJ250" i="1" s="1"/>
  <c r="AK251" i="1"/>
  <c r="AJ251" i="1" s="1"/>
  <c r="AK252" i="1"/>
  <c r="AJ252" i="1" s="1"/>
  <c r="AK253" i="1"/>
  <c r="AJ253" i="1" s="1"/>
  <c r="AK254" i="1"/>
  <c r="AJ254" i="1" s="1"/>
  <c r="AK255" i="1"/>
  <c r="AJ255" i="1" s="1"/>
  <c r="AK256" i="1"/>
  <c r="AN256" i="1" s="1"/>
  <c r="AK257" i="1"/>
  <c r="AJ257" i="1" s="1"/>
  <c r="AK258" i="1"/>
  <c r="AJ258" i="1" s="1"/>
  <c r="AK259" i="1"/>
  <c r="AJ259" i="1" s="1"/>
  <c r="AK260" i="1"/>
  <c r="AN260" i="1" s="1"/>
  <c r="AL218" i="1"/>
  <c r="AL219" i="1"/>
  <c r="AL220" i="1"/>
  <c r="AL221" i="1"/>
  <c r="AL222" i="1"/>
  <c r="AL223" i="1"/>
  <c r="AL224" i="1"/>
  <c r="AL225" i="1"/>
  <c r="AL226" i="1"/>
  <c r="AL227" i="1"/>
  <c r="AL228" i="1"/>
  <c r="AL229" i="1"/>
  <c r="AL230" i="1"/>
  <c r="AL231" i="1"/>
  <c r="AL232" i="1"/>
  <c r="AL233" i="1"/>
  <c r="AL234" i="1"/>
  <c r="AL235" i="1"/>
  <c r="AL236" i="1"/>
  <c r="AL237" i="1"/>
  <c r="AL238" i="1"/>
  <c r="AL239" i="1"/>
  <c r="AL240" i="1"/>
  <c r="AL241" i="1"/>
  <c r="AL242" i="1"/>
  <c r="AL243" i="1"/>
  <c r="AL244" i="1"/>
  <c r="AL245" i="1"/>
  <c r="AL246" i="1"/>
  <c r="AL247" i="1"/>
  <c r="AL248" i="1"/>
  <c r="AL249" i="1"/>
  <c r="AL250" i="1"/>
  <c r="AL251" i="1"/>
  <c r="AL252" i="1"/>
  <c r="AL253" i="1"/>
  <c r="AL254" i="1"/>
  <c r="AL255" i="1"/>
  <c r="AL256" i="1"/>
  <c r="AL257" i="1"/>
  <c r="AL258" i="1"/>
  <c r="AL259" i="1"/>
  <c r="AL260" i="1"/>
  <c r="AM218" i="1"/>
  <c r="AM219" i="1"/>
  <c r="AM220" i="1"/>
  <c r="AM221" i="1"/>
  <c r="AM222" i="1"/>
  <c r="AM223" i="1"/>
  <c r="AM224" i="1"/>
  <c r="AM225" i="1"/>
  <c r="AM226" i="1"/>
  <c r="AM227" i="1"/>
  <c r="AM228" i="1"/>
  <c r="AM229" i="1"/>
  <c r="AM230" i="1"/>
  <c r="AM231" i="1"/>
  <c r="AM232" i="1"/>
  <c r="AM233" i="1"/>
  <c r="AM234" i="1"/>
  <c r="AM235" i="1"/>
  <c r="AM236" i="1"/>
  <c r="AM237" i="1"/>
  <c r="AM238" i="1"/>
  <c r="AM239" i="1"/>
  <c r="AM240" i="1"/>
  <c r="AM241" i="1"/>
  <c r="AM242" i="1"/>
  <c r="AM243" i="1"/>
  <c r="AM244" i="1"/>
  <c r="AM245" i="1"/>
  <c r="AM246" i="1"/>
  <c r="AM247" i="1"/>
  <c r="AM248" i="1"/>
  <c r="AM249" i="1"/>
  <c r="AM250" i="1"/>
  <c r="AM251" i="1"/>
  <c r="AM252" i="1"/>
  <c r="AM253" i="1"/>
  <c r="AM254" i="1"/>
  <c r="AM255" i="1"/>
  <c r="AM256" i="1"/>
  <c r="AM257" i="1"/>
  <c r="AM258" i="1"/>
  <c r="AM259" i="1"/>
  <c r="AM260" i="1"/>
  <c r="AN224" i="1"/>
  <c r="AN228" i="1"/>
  <c r="AN236" i="1"/>
  <c r="AN244" i="1"/>
  <c r="AO218" i="1"/>
  <c r="AO219" i="1"/>
  <c r="AO220" i="1"/>
  <c r="AO221" i="1"/>
  <c r="AO222" i="1"/>
  <c r="AO223" i="1"/>
  <c r="AO224" i="1"/>
  <c r="AO225" i="1"/>
  <c r="AO226" i="1"/>
  <c r="AO227" i="1"/>
  <c r="AO228" i="1"/>
  <c r="AO229" i="1"/>
  <c r="AO230" i="1"/>
  <c r="AO231" i="1"/>
  <c r="AO232" i="1"/>
  <c r="AO233" i="1"/>
  <c r="AO234" i="1"/>
  <c r="AO235" i="1"/>
  <c r="AO236" i="1"/>
  <c r="AO237" i="1"/>
  <c r="AO238" i="1"/>
  <c r="AO239" i="1"/>
  <c r="AO240" i="1"/>
  <c r="AO241" i="1"/>
  <c r="AO242" i="1"/>
  <c r="AO243" i="1"/>
  <c r="AO244" i="1"/>
  <c r="AO245" i="1"/>
  <c r="AO246" i="1"/>
  <c r="AO247" i="1"/>
  <c r="AO248" i="1"/>
  <c r="AO249" i="1"/>
  <c r="AO250" i="1"/>
  <c r="AO251" i="1"/>
  <c r="AO252" i="1"/>
  <c r="AO253" i="1"/>
  <c r="AO254" i="1"/>
  <c r="AO255" i="1"/>
  <c r="AO256" i="1"/>
  <c r="AO257" i="1"/>
  <c r="AO258" i="1"/>
  <c r="AO259" i="1"/>
  <c r="AO260" i="1"/>
  <c r="AP218" i="1"/>
  <c r="AP219" i="1"/>
  <c r="AP220" i="1"/>
  <c r="AP221" i="1"/>
  <c r="AP222" i="1"/>
  <c r="AP223" i="1"/>
  <c r="AP224" i="1"/>
  <c r="AP225" i="1"/>
  <c r="AP226" i="1"/>
  <c r="AP227" i="1"/>
  <c r="AP228" i="1"/>
  <c r="AP229" i="1"/>
  <c r="AP230" i="1"/>
  <c r="AP231" i="1"/>
  <c r="AP232" i="1"/>
  <c r="AP233" i="1"/>
  <c r="AP234" i="1"/>
  <c r="AP235" i="1"/>
  <c r="AP236" i="1"/>
  <c r="AP237" i="1"/>
  <c r="AP238" i="1"/>
  <c r="AP239" i="1"/>
  <c r="AP240" i="1"/>
  <c r="AP241" i="1"/>
  <c r="AP242" i="1"/>
  <c r="AP243" i="1"/>
  <c r="AP244" i="1"/>
  <c r="AP245" i="1"/>
  <c r="AP246" i="1"/>
  <c r="AP247" i="1"/>
  <c r="AP248" i="1"/>
  <c r="AP249" i="1"/>
  <c r="AP250" i="1"/>
  <c r="AP251" i="1"/>
  <c r="AP252" i="1"/>
  <c r="AP253" i="1"/>
  <c r="AP254" i="1"/>
  <c r="AP255" i="1"/>
  <c r="AP256" i="1"/>
  <c r="AP257" i="1"/>
  <c r="AP258" i="1"/>
  <c r="AP259" i="1"/>
  <c r="AP260" i="1"/>
  <c r="AQ218" i="1"/>
  <c r="AQ219" i="1"/>
  <c r="AQ220" i="1"/>
  <c r="AQ221" i="1"/>
  <c r="AQ222" i="1"/>
  <c r="AQ223" i="1"/>
  <c r="AQ224" i="1"/>
  <c r="AQ225" i="1"/>
  <c r="AQ226" i="1"/>
  <c r="AQ227" i="1"/>
  <c r="AQ228" i="1"/>
  <c r="AQ229" i="1"/>
  <c r="AQ230" i="1"/>
  <c r="AQ231" i="1"/>
  <c r="AQ232" i="1"/>
  <c r="AQ233" i="1"/>
  <c r="AQ234" i="1"/>
  <c r="AQ235" i="1"/>
  <c r="AQ236" i="1"/>
  <c r="AQ237" i="1"/>
  <c r="AQ238" i="1"/>
  <c r="AQ239" i="1"/>
  <c r="AQ240" i="1"/>
  <c r="AQ241" i="1"/>
  <c r="AQ242" i="1"/>
  <c r="AQ243" i="1"/>
  <c r="AQ244" i="1"/>
  <c r="AQ245" i="1"/>
  <c r="AQ246" i="1"/>
  <c r="AQ247" i="1"/>
  <c r="AQ248" i="1"/>
  <c r="AQ249" i="1"/>
  <c r="AQ250" i="1"/>
  <c r="AQ251" i="1"/>
  <c r="AQ252" i="1"/>
  <c r="AQ253" i="1"/>
  <c r="AQ254" i="1"/>
  <c r="AQ255" i="1"/>
  <c r="AQ256" i="1"/>
  <c r="AQ257" i="1"/>
  <c r="AQ258" i="1"/>
  <c r="AQ259" i="1"/>
  <c r="AQ260" i="1"/>
  <c r="AN232" i="1" l="1"/>
  <c r="AN252" i="1"/>
  <c r="AN253" i="1"/>
  <c r="AN233" i="1"/>
  <c r="AN245" i="1"/>
  <c r="AN229" i="1"/>
  <c r="AN221" i="1"/>
  <c r="AN241" i="1"/>
  <c r="AN249" i="1"/>
  <c r="AN257" i="1"/>
  <c r="AN240" i="1"/>
  <c r="AN259" i="1"/>
  <c r="AN255" i="1"/>
  <c r="AN251" i="1"/>
  <c r="AN243" i="1"/>
  <c r="AN239" i="1"/>
  <c r="AN235" i="1"/>
  <c r="AN223" i="1"/>
  <c r="AN258" i="1"/>
  <c r="AN254" i="1"/>
  <c r="AN250" i="1"/>
  <c r="AN246" i="1"/>
  <c r="AN242" i="1"/>
  <c r="AN238" i="1"/>
  <c r="AN234" i="1"/>
  <c r="AN230" i="1"/>
  <c r="AN226" i="1"/>
  <c r="AN222" i="1"/>
  <c r="AN218" i="1"/>
  <c r="G27" i="6" l="1"/>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AK196" i="1"/>
  <c r="AJ196" i="1" s="1"/>
  <c r="AK197" i="1"/>
  <c r="AJ197" i="1" s="1"/>
  <c r="AK198" i="1"/>
  <c r="AJ198" i="1" s="1"/>
  <c r="AK199" i="1"/>
  <c r="AJ199" i="1" s="1"/>
  <c r="AK200" i="1"/>
  <c r="AJ200" i="1" s="1"/>
  <c r="AK201" i="1"/>
  <c r="AJ201" i="1" s="1"/>
  <c r="AK202" i="1"/>
  <c r="AJ202" i="1" s="1"/>
  <c r="AK203" i="1"/>
  <c r="AJ203" i="1" s="1"/>
  <c r="AK204" i="1"/>
  <c r="AN204" i="1" s="1"/>
  <c r="AK205" i="1"/>
  <c r="AJ205" i="1" s="1"/>
  <c r="AK206" i="1"/>
  <c r="AJ206" i="1" s="1"/>
  <c r="AK207" i="1"/>
  <c r="AJ207" i="1" s="1"/>
  <c r="AK208" i="1"/>
  <c r="AJ208" i="1" s="1"/>
  <c r="AK209" i="1"/>
  <c r="AN209" i="1" s="1"/>
  <c r="AK210" i="1"/>
  <c r="AJ210" i="1" s="1"/>
  <c r="AK211" i="1"/>
  <c r="AN211" i="1" s="1"/>
  <c r="AK212" i="1"/>
  <c r="AJ212" i="1" s="1"/>
  <c r="AK213" i="1"/>
  <c r="AJ213" i="1" s="1"/>
  <c r="AK214" i="1"/>
  <c r="AJ214" i="1" s="1"/>
  <c r="AK215" i="1"/>
  <c r="AN215" i="1" s="1"/>
  <c r="AK216" i="1"/>
  <c r="AN216" i="1" s="1"/>
  <c r="AK217" i="1"/>
  <c r="AN217" i="1" s="1"/>
  <c r="AL196" i="1"/>
  <c r="AL197" i="1"/>
  <c r="AL198" i="1"/>
  <c r="AL199" i="1"/>
  <c r="AL200" i="1"/>
  <c r="AL201" i="1"/>
  <c r="AL202" i="1"/>
  <c r="AL203" i="1"/>
  <c r="AL204" i="1"/>
  <c r="AL205" i="1"/>
  <c r="AL206" i="1"/>
  <c r="AL207" i="1"/>
  <c r="AL208" i="1"/>
  <c r="AL209" i="1"/>
  <c r="AL210" i="1"/>
  <c r="AL211" i="1"/>
  <c r="AL212" i="1"/>
  <c r="AL213" i="1"/>
  <c r="AL214" i="1"/>
  <c r="AL215" i="1"/>
  <c r="AL216" i="1"/>
  <c r="AL217" i="1"/>
  <c r="AM196" i="1"/>
  <c r="AM197" i="1"/>
  <c r="AM198" i="1"/>
  <c r="AM199" i="1"/>
  <c r="AM200" i="1"/>
  <c r="AM201" i="1"/>
  <c r="AM202" i="1"/>
  <c r="AM203" i="1"/>
  <c r="AM204" i="1"/>
  <c r="AM205" i="1"/>
  <c r="AM206" i="1"/>
  <c r="AM207" i="1"/>
  <c r="AM208" i="1"/>
  <c r="AM209" i="1"/>
  <c r="AM210" i="1"/>
  <c r="AM211" i="1"/>
  <c r="AM212" i="1"/>
  <c r="AM213" i="1"/>
  <c r="AM214" i="1"/>
  <c r="AM215" i="1"/>
  <c r="AM216" i="1"/>
  <c r="AM217" i="1"/>
  <c r="AN198" i="1"/>
  <c r="AO196" i="1"/>
  <c r="AO197" i="1"/>
  <c r="AO198" i="1"/>
  <c r="AO199" i="1"/>
  <c r="AO200" i="1"/>
  <c r="AO201" i="1"/>
  <c r="AO202" i="1"/>
  <c r="AO203" i="1"/>
  <c r="AO204" i="1"/>
  <c r="AO205" i="1"/>
  <c r="AO206" i="1"/>
  <c r="AO207" i="1"/>
  <c r="AO208" i="1"/>
  <c r="AO209" i="1"/>
  <c r="AO210" i="1"/>
  <c r="AO211" i="1"/>
  <c r="AO212" i="1"/>
  <c r="AO213" i="1"/>
  <c r="AO214" i="1"/>
  <c r="AO215" i="1"/>
  <c r="AO216" i="1"/>
  <c r="AO217" i="1"/>
  <c r="AP196" i="1"/>
  <c r="AP197" i="1"/>
  <c r="AP198" i="1"/>
  <c r="AP199" i="1"/>
  <c r="AP200" i="1"/>
  <c r="AP201" i="1"/>
  <c r="AP202" i="1"/>
  <c r="AP203" i="1"/>
  <c r="AP204" i="1"/>
  <c r="AP205" i="1"/>
  <c r="AP206" i="1"/>
  <c r="AP207" i="1"/>
  <c r="AP208" i="1"/>
  <c r="AP209" i="1"/>
  <c r="AP210" i="1"/>
  <c r="AP211" i="1"/>
  <c r="AP212" i="1"/>
  <c r="AP213" i="1"/>
  <c r="AP214" i="1"/>
  <c r="AP215" i="1"/>
  <c r="AP216" i="1"/>
  <c r="AP217" i="1"/>
  <c r="AQ196" i="1"/>
  <c r="AQ197" i="1"/>
  <c r="AQ198" i="1"/>
  <c r="AQ199" i="1"/>
  <c r="AQ200" i="1"/>
  <c r="AQ201" i="1"/>
  <c r="AQ202" i="1"/>
  <c r="AQ203" i="1"/>
  <c r="AQ204" i="1"/>
  <c r="AQ205" i="1"/>
  <c r="AQ206" i="1"/>
  <c r="AQ207" i="1"/>
  <c r="AQ208" i="1"/>
  <c r="AQ209" i="1"/>
  <c r="AQ210" i="1"/>
  <c r="AQ211" i="1"/>
  <c r="AQ212" i="1"/>
  <c r="AQ213" i="1"/>
  <c r="AQ214" i="1"/>
  <c r="AQ215" i="1"/>
  <c r="AQ216" i="1"/>
  <c r="AQ217" i="1"/>
  <c r="AN200" i="1" l="1"/>
  <c r="AN199" i="1"/>
  <c r="AN202" i="1"/>
  <c r="AN208" i="1"/>
  <c r="AN196" i="1"/>
  <c r="AN214" i="1"/>
  <c r="AN203" i="1"/>
  <c r="AN212" i="1"/>
  <c r="AN206" i="1"/>
  <c r="AN207" i="1"/>
  <c r="AN210" i="1"/>
  <c r="AN213" i="1"/>
  <c r="AN205" i="1"/>
  <c r="AN201" i="1"/>
  <c r="AN197" i="1"/>
  <c r="AK100" i="1" l="1"/>
  <c r="AK101" i="1"/>
  <c r="AK102" i="1"/>
  <c r="AJ102" i="1" s="1"/>
  <c r="AK103" i="1"/>
  <c r="AK104" i="1"/>
  <c r="AK105" i="1"/>
  <c r="AK106" i="1"/>
  <c r="AK107" i="1"/>
  <c r="AK108" i="1"/>
  <c r="AK109" i="1"/>
  <c r="AK110" i="1"/>
  <c r="AK111" i="1"/>
  <c r="AK112" i="1"/>
  <c r="AK113" i="1"/>
  <c r="AJ113" i="1" s="1"/>
  <c r="AK114" i="1"/>
  <c r="AK115" i="1"/>
  <c r="AK116" i="1"/>
  <c r="AK117" i="1"/>
  <c r="AK118" i="1"/>
  <c r="AK119" i="1"/>
  <c r="AJ119" i="1" s="1"/>
  <c r="AK120" i="1"/>
  <c r="AK121" i="1"/>
  <c r="AK122" i="1"/>
  <c r="AK123" i="1"/>
  <c r="AK124" i="1"/>
  <c r="AK125" i="1"/>
  <c r="AK126" i="1"/>
  <c r="AK127" i="1"/>
  <c r="AJ127" i="1" s="1"/>
  <c r="AK128" i="1"/>
  <c r="AK129" i="1"/>
  <c r="AK130" i="1"/>
  <c r="AJ130" i="1" s="1"/>
  <c r="AK131" i="1"/>
  <c r="AK132" i="1"/>
  <c r="AK133" i="1"/>
  <c r="AJ133" i="1" s="1"/>
  <c r="AK134" i="1"/>
  <c r="AJ134" i="1" s="1"/>
  <c r="AK135" i="1"/>
  <c r="AK136" i="1"/>
  <c r="AK137" i="1"/>
  <c r="AK138" i="1"/>
  <c r="AK139" i="1"/>
  <c r="AJ139" i="1" s="1"/>
  <c r="AK140" i="1"/>
  <c r="AJ140" i="1" s="1"/>
  <c r="AK141" i="1"/>
  <c r="AK142" i="1"/>
  <c r="AJ142" i="1" s="1"/>
  <c r="AK143" i="1"/>
  <c r="AK144" i="1"/>
  <c r="AK145" i="1"/>
  <c r="AJ145" i="1" s="1"/>
  <c r="AK146" i="1"/>
  <c r="AK147" i="1"/>
  <c r="AJ147" i="1" s="1"/>
  <c r="AK148" i="1"/>
  <c r="AK149" i="1"/>
  <c r="AJ149" i="1" s="1"/>
  <c r="AK150" i="1"/>
  <c r="AK151" i="1"/>
  <c r="AJ151" i="1" s="1"/>
  <c r="AK152" i="1"/>
  <c r="AJ152" i="1" s="1"/>
  <c r="AK153" i="1"/>
  <c r="AK154" i="1"/>
  <c r="AJ154" i="1" s="1"/>
  <c r="AK155" i="1"/>
  <c r="AJ155" i="1" s="1"/>
  <c r="AK156" i="1"/>
  <c r="AJ156" i="1" s="1"/>
  <c r="AK157" i="1"/>
  <c r="AJ157" i="1" s="1"/>
  <c r="AK158" i="1"/>
  <c r="AJ158" i="1" s="1"/>
  <c r="AK159" i="1"/>
  <c r="AJ159" i="1" s="1"/>
  <c r="AK160" i="1"/>
  <c r="AK161" i="1"/>
  <c r="AJ161" i="1" s="1"/>
  <c r="AK162" i="1"/>
  <c r="AK163" i="1"/>
  <c r="AJ163" i="1" s="1"/>
  <c r="AK164" i="1"/>
  <c r="AJ164" i="1" s="1"/>
  <c r="AK165" i="1"/>
  <c r="AJ165" i="1" s="1"/>
  <c r="AK166" i="1"/>
  <c r="AK167" i="1"/>
  <c r="AJ167" i="1" s="1"/>
  <c r="AK168" i="1"/>
  <c r="AJ168" i="1" s="1"/>
  <c r="AK169" i="1"/>
  <c r="AJ169" i="1" s="1"/>
  <c r="AK170" i="1"/>
  <c r="AJ170" i="1" s="1"/>
  <c r="AK171" i="1"/>
  <c r="AJ171" i="1" s="1"/>
  <c r="AK172" i="1"/>
  <c r="AK173" i="1"/>
  <c r="AJ173" i="1" s="1"/>
  <c r="AK174" i="1"/>
  <c r="AJ174" i="1" s="1"/>
  <c r="AK175" i="1"/>
  <c r="AJ175" i="1" s="1"/>
  <c r="AK176" i="1"/>
  <c r="AJ176" i="1" s="1"/>
  <c r="AK177" i="1"/>
  <c r="AJ177" i="1" s="1"/>
  <c r="AK178" i="1"/>
  <c r="AJ178" i="1" s="1"/>
  <c r="AK179" i="1"/>
  <c r="AJ179" i="1" s="1"/>
  <c r="AK180" i="1"/>
  <c r="AJ180" i="1" s="1"/>
  <c r="AK181" i="1"/>
  <c r="AJ181" i="1" s="1"/>
  <c r="AK182" i="1"/>
  <c r="AJ182" i="1" s="1"/>
  <c r="AK183" i="1"/>
  <c r="AJ183" i="1" s="1"/>
  <c r="AK184" i="1"/>
  <c r="AJ184" i="1" s="1"/>
  <c r="AK185" i="1"/>
  <c r="AJ185" i="1" s="1"/>
  <c r="AK186" i="1"/>
  <c r="AJ186" i="1" s="1"/>
  <c r="AK187" i="1"/>
  <c r="AJ187" i="1" s="1"/>
  <c r="AK188" i="1"/>
  <c r="AJ188" i="1" s="1"/>
  <c r="AK189" i="1"/>
  <c r="AJ189" i="1" s="1"/>
  <c r="AK190" i="1"/>
  <c r="AJ190" i="1" s="1"/>
  <c r="AK191" i="1"/>
  <c r="AJ191" i="1" s="1"/>
  <c r="AK192" i="1"/>
  <c r="AJ192" i="1" s="1"/>
  <c r="AK193" i="1"/>
  <c r="AK194" i="1"/>
  <c r="AJ194" i="1" s="1"/>
  <c r="AK195" i="1"/>
  <c r="AL100" i="1"/>
  <c r="AL101" i="1"/>
  <c r="AL102" i="1"/>
  <c r="AL103" i="1"/>
  <c r="AL104" i="1"/>
  <c r="AL105" i="1"/>
  <c r="AL106" i="1"/>
  <c r="AL107" i="1"/>
  <c r="AL108" i="1"/>
  <c r="AL109" i="1"/>
  <c r="AL110" i="1"/>
  <c r="AL111" i="1"/>
  <c r="AL112" i="1"/>
  <c r="AL113" i="1"/>
  <c r="AL114" i="1"/>
  <c r="AL115" i="1"/>
  <c r="AL116" i="1"/>
  <c r="AL117" i="1"/>
  <c r="AL118" i="1"/>
  <c r="AL119" i="1"/>
  <c r="AL120" i="1"/>
  <c r="AL121" i="1"/>
  <c r="AL122" i="1"/>
  <c r="AL123" i="1"/>
  <c r="AL124" i="1"/>
  <c r="AL125" i="1"/>
  <c r="AL126" i="1"/>
  <c r="AL127" i="1"/>
  <c r="AL128" i="1"/>
  <c r="AL129" i="1"/>
  <c r="AL130" i="1"/>
  <c r="AL131" i="1"/>
  <c r="AL132" i="1"/>
  <c r="AL133" i="1"/>
  <c r="AL134" i="1"/>
  <c r="AL135" i="1"/>
  <c r="AL136" i="1"/>
  <c r="AL137" i="1"/>
  <c r="AL138" i="1"/>
  <c r="AL139" i="1"/>
  <c r="AL140" i="1"/>
  <c r="AL141" i="1"/>
  <c r="AL142" i="1"/>
  <c r="AL143" i="1"/>
  <c r="AL144" i="1"/>
  <c r="AL145" i="1"/>
  <c r="AL146" i="1"/>
  <c r="AL147" i="1"/>
  <c r="AL148" i="1"/>
  <c r="AL149" i="1"/>
  <c r="AL150" i="1"/>
  <c r="AL151" i="1"/>
  <c r="AL152" i="1"/>
  <c r="AL153" i="1"/>
  <c r="AL154" i="1"/>
  <c r="AL155" i="1"/>
  <c r="AL156" i="1"/>
  <c r="AL157" i="1"/>
  <c r="AL158" i="1"/>
  <c r="AL159" i="1"/>
  <c r="AL160" i="1"/>
  <c r="AL161" i="1"/>
  <c r="AL162" i="1"/>
  <c r="AL163" i="1"/>
  <c r="AL164" i="1"/>
  <c r="AL165" i="1"/>
  <c r="AL166" i="1"/>
  <c r="AL167" i="1"/>
  <c r="AL168" i="1"/>
  <c r="AL169" i="1"/>
  <c r="AL170" i="1"/>
  <c r="AL171" i="1"/>
  <c r="AL172" i="1"/>
  <c r="AL173" i="1"/>
  <c r="AL174" i="1"/>
  <c r="AL175" i="1"/>
  <c r="AL176" i="1"/>
  <c r="AL177" i="1"/>
  <c r="AL178" i="1"/>
  <c r="AL179" i="1"/>
  <c r="AL180" i="1"/>
  <c r="AL181" i="1"/>
  <c r="AL182" i="1"/>
  <c r="AL183" i="1"/>
  <c r="AL184" i="1"/>
  <c r="AL185" i="1"/>
  <c r="AL186" i="1"/>
  <c r="AL187" i="1"/>
  <c r="AL188" i="1"/>
  <c r="AL189" i="1"/>
  <c r="AL190" i="1"/>
  <c r="AL191" i="1"/>
  <c r="AL192" i="1"/>
  <c r="AL193" i="1"/>
  <c r="AL194" i="1"/>
  <c r="AL195" i="1"/>
  <c r="AM100" i="1"/>
  <c r="AM101" i="1"/>
  <c r="AM102" i="1"/>
  <c r="AM103" i="1"/>
  <c r="AM104" i="1"/>
  <c r="AM105" i="1"/>
  <c r="AM106" i="1"/>
  <c r="AM107" i="1"/>
  <c r="AM108" i="1"/>
  <c r="AM109" i="1"/>
  <c r="AM110" i="1"/>
  <c r="AM111" i="1"/>
  <c r="AM112" i="1"/>
  <c r="AM113" i="1"/>
  <c r="AM114" i="1"/>
  <c r="AM115" i="1"/>
  <c r="AM116" i="1"/>
  <c r="AM117" i="1"/>
  <c r="AM118" i="1"/>
  <c r="AM119" i="1"/>
  <c r="AM120" i="1"/>
  <c r="AM121" i="1"/>
  <c r="AM122" i="1"/>
  <c r="AM123" i="1"/>
  <c r="AM124" i="1"/>
  <c r="AM125" i="1"/>
  <c r="AM126" i="1"/>
  <c r="AM127" i="1"/>
  <c r="AM128" i="1"/>
  <c r="AM129" i="1"/>
  <c r="AM130" i="1"/>
  <c r="AM131" i="1"/>
  <c r="AM132" i="1"/>
  <c r="AM133" i="1"/>
  <c r="AM134" i="1"/>
  <c r="AM135" i="1"/>
  <c r="AM136" i="1"/>
  <c r="AM137" i="1"/>
  <c r="AM138" i="1"/>
  <c r="AM139" i="1"/>
  <c r="AM140" i="1"/>
  <c r="AM141" i="1"/>
  <c r="AM142" i="1"/>
  <c r="AM143" i="1"/>
  <c r="AM144" i="1"/>
  <c r="AM145" i="1"/>
  <c r="AM146" i="1"/>
  <c r="AM147" i="1"/>
  <c r="AM148" i="1"/>
  <c r="AM149" i="1"/>
  <c r="AM150" i="1"/>
  <c r="AM151" i="1"/>
  <c r="AM152" i="1"/>
  <c r="AM153" i="1"/>
  <c r="AM154" i="1"/>
  <c r="AM155" i="1"/>
  <c r="AM156" i="1"/>
  <c r="AM157" i="1"/>
  <c r="AM158" i="1"/>
  <c r="AM159" i="1"/>
  <c r="AM160" i="1"/>
  <c r="AM161" i="1"/>
  <c r="AM162" i="1"/>
  <c r="AM163" i="1"/>
  <c r="AM164" i="1"/>
  <c r="AM165" i="1"/>
  <c r="AM166" i="1"/>
  <c r="AM167" i="1"/>
  <c r="AM168" i="1"/>
  <c r="AM169" i="1"/>
  <c r="AM170" i="1"/>
  <c r="AM171" i="1"/>
  <c r="AM172" i="1"/>
  <c r="AM173" i="1"/>
  <c r="AM174" i="1"/>
  <c r="AM175" i="1"/>
  <c r="AM176" i="1"/>
  <c r="AM177" i="1"/>
  <c r="AM178" i="1"/>
  <c r="AM179" i="1"/>
  <c r="AM180" i="1"/>
  <c r="AM181" i="1"/>
  <c r="AM182" i="1"/>
  <c r="AM183" i="1"/>
  <c r="AM184" i="1"/>
  <c r="AM185" i="1"/>
  <c r="AM186" i="1"/>
  <c r="AM187" i="1"/>
  <c r="AM188" i="1"/>
  <c r="AM189" i="1"/>
  <c r="AM190" i="1"/>
  <c r="AM191" i="1"/>
  <c r="AM192" i="1"/>
  <c r="AM193" i="1"/>
  <c r="AM194" i="1"/>
  <c r="AM195" i="1"/>
  <c r="AN100" i="1"/>
  <c r="AN101" i="1"/>
  <c r="AN102" i="1"/>
  <c r="AN103" i="1"/>
  <c r="AN104" i="1"/>
  <c r="AN105" i="1"/>
  <c r="AN106" i="1"/>
  <c r="AN107" i="1"/>
  <c r="AN108" i="1"/>
  <c r="AN109" i="1"/>
  <c r="AN110" i="1"/>
  <c r="AN111" i="1"/>
  <c r="AN112" i="1"/>
  <c r="AN113" i="1"/>
  <c r="AN114" i="1"/>
  <c r="AN115" i="1"/>
  <c r="AN116" i="1"/>
  <c r="AN117" i="1"/>
  <c r="AN118" i="1"/>
  <c r="AN119" i="1"/>
  <c r="AN120" i="1"/>
  <c r="AN121" i="1"/>
  <c r="AN122" i="1"/>
  <c r="AN123" i="1"/>
  <c r="AN124" i="1"/>
  <c r="AN125" i="1"/>
  <c r="AN126" i="1"/>
  <c r="AN127" i="1"/>
  <c r="AN128" i="1"/>
  <c r="AN129" i="1"/>
  <c r="AN130" i="1"/>
  <c r="AN131" i="1"/>
  <c r="AN132" i="1"/>
  <c r="AN133" i="1"/>
  <c r="AN134" i="1"/>
  <c r="AN135" i="1"/>
  <c r="AN136" i="1"/>
  <c r="AN137" i="1"/>
  <c r="AN138" i="1"/>
  <c r="AN139" i="1"/>
  <c r="AN140" i="1"/>
  <c r="AN141" i="1"/>
  <c r="AN142" i="1"/>
  <c r="AN143" i="1"/>
  <c r="AN144" i="1"/>
  <c r="AN145" i="1"/>
  <c r="AN146" i="1"/>
  <c r="AN147" i="1"/>
  <c r="AN148" i="1"/>
  <c r="AN149" i="1"/>
  <c r="AN150" i="1"/>
  <c r="AN151" i="1"/>
  <c r="AN152" i="1"/>
  <c r="AN153" i="1"/>
  <c r="AN154" i="1"/>
  <c r="AN155" i="1"/>
  <c r="AN156" i="1"/>
  <c r="AN157" i="1"/>
  <c r="AN158" i="1"/>
  <c r="AN159" i="1"/>
  <c r="AN160" i="1"/>
  <c r="AN161" i="1"/>
  <c r="AN162" i="1"/>
  <c r="AN163" i="1"/>
  <c r="AN164" i="1"/>
  <c r="AN165" i="1"/>
  <c r="AN166" i="1"/>
  <c r="AN167" i="1"/>
  <c r="AN168" i="1"/>
  <c r="AN169" i="1"/>
  <c r="AN170" i="1"/>
  <c r="AN171" i="1"/>
  <c r="AN172" i="1"/>
  <c r="AN173" i="1"/>
  <c r="AN174" i="1"/>
  <c r="AN175" i="1"/>
  <c r="AN176" i="1"/>
  <c r="AN177" i="1"/>
  <c r="AN178" i="1"/>
  <c r="AN179" i="1"/>
  <c r="AN180" i="1"/>
  <c r="AN181" i="1"/>
  <c r="AN182" i="1"/>
  <c r="AN183" i="1"/>
  <c r="AN184" i="1"/>
  <c r="AN185" i="1"/>
  <c r="AN186" i="1"/>
  <c r="AN187" i="1"/>
  <c r="AN188" i="1"/>
  <c r="AN189" i="1"/>
  <c r="AN190" i="1"/>
  <c r="AN191" i="1"/>
  <c r="AN192" i="1"/>
  <c r="AN193" i="1"/>
  <c r="AN194" i="1"/>
  <c r="AN195" i="1"/>
  <c r="AO100" i="1"/>
  <c r="AO101" i="1"/>
  <c r="AO102" i="1"/>
  <c r="AO103" i="1"/>
  <c r="AO104" i="1"/>
  <c r="AO105" i="1"/>
  <c r="AO106" i="1"/>
  <c r="AO107" i="1"/>
  <c r="AO108" i="1"/>
  <c r="AO109" i="1"/>
  <c r="AO110" i="1"/>
  <c r="AO111" i="1"/>
  <c r="AO112" i="1"/>
  <c r="AO113" i="1"/>
  <c r="AO114" i="1"/>
  <c r="AO115" i="1"/>
  <c r="AO116" i="1"/>
  <c r="AO117" i="1"/>
  <c r="AO118" i="1"/>
  <c r="AO119" i="1"/>
  <c r="AO120" i="1"/>
  <c r="AO121" i="1"/>
  <c r="AO122" i="1"/>
  <c r="AO123" i="1"/>
  <c r="AO124" i="1"/>
  <c r="AO125" i="1"/>
  <c r="AO126" i="1"/>
  <c r="AO127" i="1"/>
  <c r="AO128" i="1"/>
  <c r="AO129" i="1"/>
  <c r="AO130" i="1"/>
  <c r="AO131" i="1"/>
  <c r="AO132" i="1"/>
  <c r="AO133" i="1"/>
  <c r="AO134" i="1"/>
  <c r="AO135" i="1"/>
  <c r="AO136" i="1"/>
  <c r="AO137" i="1"/>
  <c r="AO138" i="1"/>
  <c r="AO139" i="1"/>
  <c r="AO140" i="1"/>
  <c r="AO141" i="1"/>
  <c r="AO142" i="1"/>
  <c r="AO143" i="1"/>
  <c r="AO144" i="1"/>
  <c r="AO145" i="1"/>
  <c r="AO146" i="1"/>
  <c r="AO147" i="1"/>
  <c r="AO148" i="1"/>
  <c r="AO149" i="1"/>
  <c r="AO150" i="1"/>
  <c r="AO151" i="1"/>
  <c r="AO152" i="1"/>
  <c r="AO153" i="1"/>
  <c r="AO154" i="1"/>
  <c r="AO155" i="1"/>
  <c r="AO156" i="1"/>
  <c r="AO157" i="1"/>
  <c r="AO158" i="1"/>
  <c r="AO159" i="1"/>
  <c r="AO160" i="1"/>
  <c r="AO161" i="1"/>
  <c r="AO162" i="1"/>
  <c r="AO163" i="1"/>
  <c r="AO164" i="1"/>
  <c r="AO165" i="1"/>
  <c r="AO166" i="1"/>
  <c r="AO167" i="1"/>
  <c r="AO168" i="1"/>
  <c r="AO169" i="1"/>
  <c r="AO170" i="1"/>
  <c r="AO171" i="1"/>
  <c r="AO172" i="1"/>
  <c r="AO173" i="1"/>
  <c r="AO174" i="1"/>
  <c r="AO175" i="1"/>
  <c r="AO176" i="1"/>
  <c r="AO177" i="1"/>
  <c r="AO178" i="1"/>
  <c r="AO179" i="1"/>
  <c r="AO180" i="1"/>
  <c r="AO181" i="1"/>
  <c r="AO182" i="1"/>
  <c r="AO183" i="1"/>
  <c r="AO184" i="1"/>
  <c r="AO185" i="1"/>
  <c r="AO186" i="1"/>
  <c r="AO187" i="1"/>
  <c r="AO188" i="1"/>
  <c r="AO189" i="1"/>
  <c r="AO190" i="1"/>
  <c r="AO191" i="1"/>
  <c r="AO192" i="1"/>
  <c r="AO193" i="1"/>
  <c r="AO194" i="1"/>
  <c r="AO195" i="1"/>
  <c r="AP100" i="1"/>
  <c r="AP101" i="1"/>
  <c r="AP102" i="1"/>
  <c r="AP103" i="1"/>
  <c r="AP104" i="1"/>
  <c r="AP105" i="1"/>
  <c r="AP106" i="1"/>
  <c r="AP107" i="1"/>
  <c r="AP108" i="1"/>
  <c r="AP109" i="1"/>
  <c r="AP110" i="1"/>
  <c r="AP111" i="1"/>
  <c r="AP112" i="1"/>
  <c r="AP113" i="1"/>
  <c r="AP114" i="1"/>
  <c r="AP115" i="1"/>
  <c r="AP116" i="1"/>
  <c r="AP117" i="1"/>
  <c r="AP118" i="1"/>
  <c r="AP119" i="1"/>
  <c r="AP120" i="1"/>
  <c r="AP121" i="1"/>
  <c r="AP122" i="1"/>
  <c r="AP123" i="1"/>
  <c r="AP124" i="1"/>
  <c r="AP125" i="1"/>
  <c r="AP126" i="1"/>
  <c r="AP127" i="1"/>
  <c r="AP128" i="1"/>
  <c r="AP129" i="1"/>
  <c r="AP130" i="1"/>
  <c r="AP131" i="1"/>
  <c r="AP132" i="1"/>
  <c r="AP133" i="1"/>
  <c r="AP134" i="1"/>
  <c r="AP135" i="1"/>
  <c r="AP136" i="1"/>
  <c r="AP137" i="1"/>
  <c r="AP138" i="1"/>
  <c r="AP139" i="1"/>
  <c r="AP140" i="1"/>
  <c r="AP141" i="1"/>
  <c r="AP142" i="1"/>
  <c r="AP143" i="1"/>
  <c r="AP144" i="1"/>
  <c r="AP145" i="1"/>
  <c r="AP146" i="1"/>
  <c r="AP147" i="1"/>
  <c r="AP148" i="1"/>
  <c r="AP149" i="1"/>
  <c r="AP150" i="1"/>
  <c r="AP151" i="1"/>
  <c r="AP152" i="1"/>
  <c r="AP153" i="1"/>
  <c r="AP154" i="1"/>
  <c r="AP155" i="1"/>
  <c r="AP156" i="1"/>
  <c r="AP157" i="1"/>
  <c r="AP158" i="1"/>
  <c r="AP159" i="1"/>
  <c r="AP160" i="1"/>
  <c r="AP161" i="1"/>
  <c r="AP162" i="1"/>
  <c r="AP163" i="1"/>
  <c r="AP164" i="1"/>
  <c r="AP165" i="1"/>
  <c r="AP166" i="1"/>
  <c r="AP167" i="1"/>
  <c r="AP168" i="1"/>
  <c r="AP169" i="1"/>
  <c r="AP170" i="1"/>
  <c r="AP171" i="1"/>
  <c r="AP172" i="1"/>
  <c r="AP173" i="1"/>
  <c r="AP174" i="1"/>
  <c r="AP175" i="1"/>
  <c r="AP176" i="1"/>
  <c r="AP177" i="1"/>
  <c r="AP178" i="1"/>
  <c r="AP179" i="1"/>
  <c r="AP180" i="1"/>
  <c r="AP181" i="1"/>
  <c r="AP182" i="1"/>
  <c r="AP183" i="1"/>
  <c r="AP184" i="1"/>
  <c r="AP185" i="1"/>
  <c r="AP186" i="1"/>
  <c r="AP187" i="1"/>
  <c r="AP188" i="1"/>
  <c r="AP189" i="1"/>
  <c r="AP190" i="1"/>
  <c r="AP191" i="1"/>
  <c r="AP192" i="1"/>
  <c r="AP193" i="1"/>
  <c r="AP194" i="1"/>
  <c r="AP195" i="1"/>
  <c r="AQ100" i="1"/>
  <c r="AQ101" i="1"/>
  <c r="AQ102" i="1"/>
  <c r="AQ103" i="1"/>
  <c r="AQ104" i="1"/>
  <c r="AQ105" i="1"/>
  <c r="AQ106" i="1"/>
  <c r="AQ107" i="1"/>
  <c r="AQ108" i="1"/>
  <c r="AQ109" i="1"/>
  <c r="AQ110" i="1"/>
  <c r="AQ111" i="1"/>
  <c r="AQ112" i="1"/>
  <c r="AQ113" i="1"/>
  <c r="AQ114" i="1"/>
  <c r="AQ115" i="1"/>
  <c r="AQ116" i="1"/>
  <c r="AQ117" i="1"/>
  <c r="AQ118" i="1"/>
  <c r="AQ119" i="1"/>
  <c r="AQ120" i="1"/>
  <c r="AQ121" i="1"/>
  <c r="AQ122" i="1"/>
  <c r="AQ123" i="1"/>
  <c r="AQ124" i="1"/>
  <c r="AQ125" i="1"/>
  <c r="AQ126" i="1"/>
  <c r="AQ127" i="1"/>
  <c r="AQ128" i="1"/>
  <c r="AQ129" i="1"/>
  <c r="AQ130" i="1"/>
  <c r="AQ131" i="1"/>
  <c r="AQ132" i="1"/>
  <c r="AQ133" i="1"/>
  <c r="AQ134" i="1"/>
  <c r="AQ135" i="1"/>
  <c r="AQ136" i="1"/>
  <c r="AQ137" i="1"/>
  <c r="AQ138" i="1"/>
  <c r="AQ139" i="1"/>
  <c r="AQ140" i="1"/>
  <c r="AQ141" i="1"/>
  <c r="AQ142" i="1"/>
  <c r="AQ143" i="1"/>
  <c r="AQ144" i="1"/>
  <c r="AQ145" i="1"/>
  <c r="AQ146" i="1"/>
  <c r="AQ147" i="1"/>
  <c r="AQ148" i="1"/>
  <c r="AQ149" i="1"/>
  <c r="AQ150" i="1"/>
  <c r="AQ151" i="1"/>
  <c r="AQ152" i="1"/>
  <c r="AQ153" i="1"/>
  <c r="AQ154" i="1"/>
  <c r="AQ155" i="1"/>
  <c r="AQ156" i="1"/>
  <c r="AQ157" i="1"/>
  <c r="AQ158" i="1"/>
  <c r="AQ159" i="1"/>
  <c r="AQ160" i="1"/>
  <c r="AQ161" i="1"/>
  <c r="AQ162" i="1"/>
  <c r="AQ163" i="1"/>
  <c r="AQ164" i="1"/>
  <c r="AQ165" i="1"/>
  <c r="AQ166" i="1"/>
  <c r="AQ167" i="1"/>
  <c r="AQ168" i="1"/>
  <c r="AQ169" i="1"/>
  <c r="AQ170" i="1"/>
  <c r="AQ171" i="1"/>
  <c r="AQ172" i="1"/>
  <c r="AQ173" i="1"/>
  <c r="AQ174" i="1"/>
  <c r="AQ175" i="1"/>
  <c r="AQ176" i="1"/>
  <c r="AQ177" i="1"/>
  <c r="AQ178" i="1"/>
  <c r="AQ179" i="1"/>
  <c r="AQ180" i="1"/>
  <c r="AQ181" i="1"/>
  <c r="AQ182" i="1"/>
  <c r="AQ183" i="1"/>
  <c r="AQ184" i="1"/>
  <c r="AQ185" i="1"/>
  <c r="AQ186" i="1"/>
  <c r="AQ187" i="1"/>
  <c r="AQ188" i="1"/>
  <c r="AQ189" i="1"/>
  <c r="AQ190" i="1"/>
  <c r="AQ191" i="1"/>
  <c r="AQ192" i="1"/>
  <c r="AQ193" i="1"/>
  <c r="AQ194" i="1"/>
  <c r="AQ195" i="1"/>
  <c r="G25" i="6" l="1"/>
  <c r="G26" i="6"/>
  <c r="AK98" i="1"/>
  <c r="AJ98" i="1" s="1"/>
  <c r="AK99" i="1"/>
  <c r="AJ99" i="1" s="1"/>
  <c r="AL98" i="1"/>
  <c r="AL99" i="1"/>
  <c r="AM98" i="1"/>
  <c r="AM99" i="1"/>
  <c r="AO98" i="1"/>
  <c r="AO99" i="1"/>
  <c r="AP98" i="1"/>
  <c r="AP99" i="1"/>
  <c r="AQ98" i="1"/>
  <c r="AQ99" i="1"/>
  <c r="AN98" i="1" l="1"/>
  <c r="AN99" i="1"/>
  <c r="H3" i="26" l="1"/>
  <c r="I3" i="26" s="1"/>
  <c r="H5" i="26" l="1"/>
  <c r="G24" i="6" l="1"/>
  <c r="AK64" i="1" l="1"/>
  <c r="AJ64" i="1" s="1"/>
  <c r="AK65" i="1"/>
  <c r="AJ65" i="1" s="1"/>
  <c r="AK66" i="1"/>
  <c r="AK67" i="1"/>
  <c r="AK68" i="1"/>
  <c r="AK69" i="1"/>
  <c r="AJ69" i="1" s="1"/>
  <c r="AK70" i="1"/>
  <c r="AJ70" i="1" s="1"/>
  <c r="AK71" i="1"/>
  <c r="AJ71" i="1" s="1"/>
  <c r="AK72" i="1"/>
  <c r="AJ72" i="1" s="1"/>
  <c r="AK73" i="1"/>
  <c r="AK74" i="1"/>
  <c r="AJ74" i="1" s="1"/>
  <c r="AK75" i="1"/>
  <c r="AJ75" i="1" s="1"/>
  <c r="AK76" i="1"/>
  <c r="AJ76" i="1" s="1"/>
  <c r="AK77" i="1"/>
  <c r="AJ77" i="1" s="1"/>
  <c r="AK78" i="1"/>
  <c r="AJ78" i="1" s="1"/>
  <c r="AK79" i="1"/>
  <c r="AJ79" i="1" s="1"/>
  <c r="AK80" i="1"/>
  <c r="AK81" i="1"/>
  <c r="AJ81" i="1" s="1"/>
  <c r="AK82" i="1"/>
  <c r="AK83" i="1"/>
  <c r="AN83" i="1" s="1"/>
  <c r="AK84" i="1"/>
  <c r="AK85" i="1"/>
  <c r="AK86" i="1"/>
  <c r="AK87" i="1"/>
  <c r="AK88" i="1"/>
  <c r="AJ88" i="1" s="1"/>
  <c r="AK89" i="1"/>
  <c r="AJ89" i="1" s="1"/>
  <c r="AK90" i="1"/>
  <c r="AK91" i="1"/>
  <c r="AJ91" i="1" s="1"/>
  <c r="AK92" i="1"/>
  <c r="AK93" i="1"/>
  <c r="AK94" i="1"/>
  <c r="AJ94" i="1" s="1"/>
  <c r="AK95" i="1"/>
  <c r="AJ95" i="1" s="1"/>
  <c r="AK96" i="1"/>
  <c r="AK97" i="1"/>
  <c r="AJ97" i="1" s="1"/>
  <c r="AL64" i="1"/>
  <c r="AL65" i="1"/>
  <c r="AL66" i="1"/>
  <c r="AL67" i="1"/>
  <c r="AL68" i="1"/>
  <c r="AL69" i="1"/>
  <c r="AL70" i="1"/>
  <c r="AL71" i="1"/>
  <c r="AL72" i="1"/>
  <c r="AL73" i="1"/>
  <c r="AL74" i="1"/>
  <c r="AL75" i="1"/>
  <c r="AL76" i="1"/>
  <c r="AL77" i="1"/>
  <c r="AL78" i="1"/>
  <c r="AL79" i="1"/>
  <c r="AL80" i="1"/>
  <c r="AL81" i="1"/>
  <c r="AL82" i="1"/>
  <c r="AL83" i="1"/>
  <c r="AL84" i="1"/>
  <c r="AL85" i="1"/>
  <c r="AL86" i="1"/>
  <c r="AL87" i="1"/>
  <c r="AL88" i="1"/>
  <c r="AL89" i="1"/>
  <c r="AL90" i="1"/>
  <c r="AL91" i="1"/>
  <c r="AL92" i="1"/>
  <c r="AL93" i="1"/>
  <c r="AL94" i="1"/>
  <c r="AL95" i="1"/>
  <c r="AL96" i="1"/>
  <c r="AL97" i="1"/>
  <c r="AM64" i="1"/>
  <c r="AM65" i="1"/>
  <c r="AM66" i="1"/>
  <c r="AM67" i="1"/>
  <c r="AM68" i="1"/>
  <c r="AM69" i="1"/>
  <c r="AM70" i="1"/>
  <c r="AM71" i="1"/>
  <c r="AM72" i="1"/>
  <c r="AM73" i="1"/>
  <c r="AM74" i="1"/>
  <c r="AM75" i="1"/>
  <c r="AM76" i="1"/>
  <c r="AM77" i="1"/>
  <c r="AM78" i="1"/>
  <c r="AM79" i="1"/>
  <c r="AM80" i="1"/>
  <c r="AM81" i="1"/>
  <c r="AM82" i="1"/>
  <c r="AM83" i="1"/>
  <c r="AM84" i="1"/>
  <c r="AM85" i="1"/>
  <c r="AM86" i="1"/>
  <c r="AM87" i="1"/>
  <c r="AM88" i="1"/>
  <c r="AM89" i="1"/>
  <c r="AM90" i="1"/>
  <c r="AM91" i="1"/>
  <c r="AM92" i="1"/>
  <c r="AM93" i="1"/>
  <c r="AM94" i="1"/>
  <c r="AM95" i="1"/>
  <c r="AM96" i="1"/>
  <c r="AM97" i="1"/>
  <c r="AN64" i="1"/>
  <c r="AN67" i="1"/>
  <c r="AN68" i="1"/>
  <c r="AN72" i="1"/>
  <c r="AO64" i="1"/>
  <c r="AO65" i="1"/>
  <c r="AO66" i="1"/>
  <c r="AO67" i="1"/>
  <c r="AO68" i="1"/>
  <c r="AO69" i="1"/>
  <c r="AO70" i="1"/>
  <c r="AO71" i="1"/>
  <c r="AO72" i="1"/>
  <c r="AO73" i="1"/>
  <c r="AO74" i="1"/>
  <c r="AO75" i="1"/>
  <c r="AO76" i="1"/>
  <c r="AO77" i="1"/>
  <c r="AO78" i="1"/>
  <c r="AO79" i="1"/>
  <c r="AO80" i="1"/>
  <c r="AO81" i="1"/>
  <c r="AO82" i="1"/>
  <c r="AO83" i="1"/>
  <c r="AO84" i="1"/>
  <c r="AO85" i="1"/>
  <c r="AO86" i="1"/>
  <c r="AO87" i="1"/>
  <c r="AO88" i="1"/>
  <c r="AO89" i="1"/>
  <c r="AO90" i="1"/>
  <c r="AO91" i="1"/>
  <c r="AO92" i="1"/>
  <c r="AO93" i="1"/>
  <c r="AO94" i="1"/>
  <c r="AO95" i="1"/>
  <c r="AO96" i="1"/>
  <c r="AO97" i="1"/>
  <c r="AP64" i="1"/>
  <c r="AP65" i="1"/>
  <c r="AP66" i="1"/>
  <c r="AP67" i="1"/>
  <c r="AP68" i="1"/>
  <c r="AP69" i="1"/>
  <c r="AP70" i="1"/>
  <c r="AP71" i="1"/>
  <c r="AP72" i="1"/>
  <c r="AP73" i="1"/>
  <c r="AP74" i="1"/>
  <c r="AP75" i="1"/>
  <c r="AP76" i="1"/>
  <c r="AP77" i="1"/>
  <c r="AP78" i="1"/>
  <c r="AP79" i="1"/>
  <c r="AP80" i="1"/>
  <c r="AP81" i="1"/>
  <c r="AP82" i="1"/>
  <c r="AP83" i="1"/>
  <c r="AP84" i="1"/>
  <c r="AP85" i="1"/>
  <c r="AP86" i="1"/>
  <c r="AP87" i="1"/>
  <c r="AP88" i="1"/>
  <c r="AP89" i="1"/>
  <c r="AP90" i="1"/>
  <c r="AP91" i="1"/>
  <c r="AP92" i="1"/>
  <c r="AP93" i="1"/>
  <c r="AP94" i="1"/>
  <c r="AP95" i="1"/>
  <c r="AP96" i="1"/>
  <c r="AP97" i="1"/>
  <c r="AQ64" i="1"/>
  <c r="AQ65" i="1"/>
  <c r="AQ66" i="1"/>
  <c r="AQ67" i="1"/>
  <c r="AQ68" i="1"/>
  <c r="AQ69" i="1"/>
  <c r="AQ70" i="1"/>
  <c r="AQ71" i="1"/>
  <c r="AQ72" i="1"/>
  <c r="AQ73" i="1"/>
  <c r="AQ74" i="1"/>
  <c r="AQ75" i="1"/>
  <c r="AQ76" i="1"/>
  <c r="AQ77" i="1"/>
  <c r="AQ78" i="1"/>
  <c r="AQ79" i="1"/>
  <c r="AQ80" i="1"/>
  <c r="AQ81" i="1"/>
  <c r="AQ82" i="1"/>
  <c r="AQ83" i="1"/>
  <c r="AQ84" i="1"/>
  <c r="AQ85" i="1"/>
  <c r="AQ86" i="1"/>
  <c r="AQ87" i="1"/>
  <c r="AQ88" i="1"/>
  <c r="AQ89" i="1"/>
  <c r="AQ90" i="1"/>
  <c r="AQ91" i="1"/>
  <c r="AQ92" i="1"/>
  <c r="AQ93" i="1"/>
  <c r="AQ94" i="1"/>
  <c r="AQ95" i="1"/>
  <c r="AQ96" i="1"/>
  <c r="AQ97" i="1"/>
  <c r="AN76" i="1" l="1"/>
  <c r="AN75" i="1"/>
  <c r="AN71" i="1"/>
  <c r="AN91" i="1"/>
  <c r="AN95" i="1"/>
  <c r="AN74" i="1"/>
  <c r="AN97" i="1"/>
  <c r="AN92" i="1"/>
  <c r="AN80" i="1"/>
  <c r="AN88" i="1"/>
  <c r="AN96" i="1"/>
  <c r="AN84" i="1"/>
  <c r="AN87" i="1"/>
  <c r="AN79" i="1"/>
  <c r="AN86" i="1"/>
  <c r="AN70" i="1"/>
  <c r="AN90" i="1"/>
  <c r="AN78" i="1"/>
  <c r="AN82" i="1"/>
  <c r="AN66" i="1"/>
  <c r="AN94" i="1"/>
  <c r="AN93" i="1"/>
  <c r="AN89" i="1"/>
  <c r="AN85" i="1"/>
  <c r="AN81" i="1"/>
  <c r="AN77" i="1"/>
  <c r="AN73" i="1"/>
  <c r="AN69" i="1"/>
  <c r="AN65" i="1"/>
  <c r="AL2" i="1" l="1"/>
  <c r="AL3" i="1"/>
  <c r="AL4" i="1"/>
  <c r="AL5" i="1"/>
  <c r="AL6" i="1"/>
  <c r="AL7" i="1"/>
  <c r="AL8" i="1"/>
  <c r="AL9" i="1"/>
  <c r="AL10" i="1"/>
  <c r="AL11" i="1"/>
  <c r="AL12" i="1"/>
  <c r="AL13" i="1"/>
  <c r="AL14" i="1"/>
  <c r="AL15" i="1"/>
  <c r="AL16" i="1"/>
  <c r="AL17" i="1"/>
  <c r="AL18" i="1"/>
  <c r="AL19" i="1"/>
  <c r="AL20" i="1"/>
  <c r="AL21" i="1"/>
  <c r="AL22" i="1"/>
  <c r="AL23" i="1"/>
  <c r="AL24" i="1"/>
  <c r="AL25" i="1"/>
  <c r="AL26" i="1"/>
  <c r="AL27" i="1"/>
  <c r="AL28" i="1"/>
  <c r="AL29" i="1"/>
  <c r="AL30" i="1"/>
  <c r="AL31" i="1"/>
  <c r="AL32" i="1"/>
  <c r="AL33" i="1"/>
  <c r="AL34" i="1"/>
  <c r="AL35" i="1"/>
  <c r="AL36" i="1"/>
  <c r="AL37" i="1"/>
  <c r="AL38" i="1"/>
  <c r="AL39" i="1"/>
  <c r="AL40" i="1"/>
  <c r="AL41" i="1"/>
  <c r="AL42" i="1"/>
  <c r="AL43" i="1"/>
  <c r="AL44" i="1"/>
  <c r="AL45" i="1"/>
  <c r="AL46" i="1"/>
  <c r="AL47" i="1"/>
  <c r="AL48" i="1"/>
  <c r="AL49" i="1"/>
  <c r="AL50" i="1"/>
  <c r="AL51" i="1"/>
  <c r="AL52" i="1"/>
  <c r="AL53" i="1"/>
  <c r="AL54" i="1"/>
  <c r="AL55" i="1"/>
  <c r="AL56" i="1"/>
  <c r="AL57" i="1"/>
  <c r="AL58" i="1"/>
  <c r="AL59" i="1"/>
  <c r="AL60" i="1"/>
  <c r="AL61" i="1"/>
  <c r="AL62" i="1"/>
  <c r="AL63" i="1"/>
  <c r="A13" i="25" l="1"/>
  <c r="B13" i="25" s="1"/>
  <c r="A12" i="25"/>
  <c r="B12" i="25" s="1"/>
  <c r="A11" i="25"/>
  <c r="B11" i="25" s="1"/>
  <c r="A10" i="25"/>
  <c r="B10" i="25" s="1"/>
  <c r="A9" i="25"/>
  <c r="B9" i="25" s="1"/>
  <c r="A8" i="25"/>
  <c r="B8" i="25" s="1"/>
  <c r="A7" i="25"/>
  <c r="B7" i="25" s="1"/>
  <c r="A6" i="25"/>
  <c r="B6" i="25" s="1"/>
  <c r="A5" i="25"/>
  <c r="B5" i="25" s="1"/>
  <c r="A4" i="25"/>
  <c r="B4" i="25" s="1"/>
  <c r="A3" i="25"/>
  <c r="B3" i="25" s="1"/>
  <c r="A2" i="25"/>
  <c r="B2" i="25" s="1"/>
  <c r="C5" i="23" l="1"/>
  <c r="B2" i="23"/>
  <c r="B3" i="23"/>
  <c r="B4" i="23"/>
  <c r="B5" i="23"/>
  <c r="C3" i="22"/>
  <c r="C4" i="22"/>
  <c r="C5" i="22"/>
  <c r="C2" i="22"/>
  <c r="B2" i="22"/>
  <c r="B3" i="22"/>
  <c r="B4" i="22"/>
  <c r="B5" i="22"/>
  <c r="AQ2" i="1"/>
  <c r="AQ3" i="1"/>
  <c r="AQ4" i="1"/>
  <c r="AQ5" i="1"/>
  <c r="AQ6" i="1"/>
  <c r="AQ7" i="1"/>
  <c r="AQ8" i="1"/>
  <c r="AQ9" i="1"/>
  <c r="AQ10" i="1"/>
  <c r="AQ11" i="1"/>
  <c r="AQ12" i="1"/>
  <c r="AQ13" i="1"/>
  <c r="AQ14" i="1"/>
  <c r="AQ15" i="1"/>
  <c r="AQ16" i="1"/>
  <c r="AQ17" i="1"/>
  <c r="AQ18" i="1"/>
  <c r="AQ19" i="1"/>
  <c r="AQ20" i="1"/>
  <c r="AQ21" i="1"/>
  <c r="AQ22" i="1"/>
  <c r="AQ23" i="1"/>
  <c r="AQ24" i="1"/>
  <c r="AQ25" i="1"/>
  <c r="AQ26" i="1"/>
  <c r="AQ27" i="1"/>
  <c r="AQ28" i="1"/>
  <c r="AQ29" i="1"/>
  <c r="AQ30" i="1"/>
  <c r="AQ31" i="1"/>
  <c r="AQ32" i="1"/>
  <c r="AQ33" i="1"/>
  <c r="AQ34" i="1"/>
  <c r="AQ35" i="1"/>
  <c r="AQ36" i="1"/>
  <c r="AQ37" i="1"/>
  <c r="AQ38" i="1"/>
  <c r="AQ39" i="1"/>
  <c r="AQ40" i="1"/>
  <c r="AQ41" i="1"/>
  <c r="AQ42" i="1"/>
  <c r="AQ43" i="1"/>
  <c r="AQ44" i="1"/>
  <c r="AQ45" i="1"/>
  <c r="AQ46" i="1"/>
  <c r="AQ47" i="1"/>
  <c r="AQ48" i="1"/>
  <c r="AQ49" i="1"/>
  <c r="AQ50" i="1"/>
  <c r="AQ51" i="1"/>
  <c r="AQ52" i="1"/>
  <c r="AQ53" i="1"/>
  <c r="AQ54" i="1"/>
  <c r="AQ55" i="1"/>
  <c r="AQ56" i="1"/>
  <c r="AQ57" i="1"/>
  <c r="AQ58" i="1"/>
  <c r="AQ59" i="1"/>
  <c r="AQ60" i="1"/>
  <c r="AQ61" i="1"/>
  <c r="AQ62" i="1"/>
  <c r="AQ63" i="1"/>
  <c r="AP2" i="1"/>
  <c r="AP3" i="1"/>
  <c r="AP4" i="1"/>
  <c r="AP5" i="1"/>
  <c r="AP6" i="1"/>
  <c r="AP7" i="1"/>
  <c r="AP8" i="1"/>
  <c r="AP9" i="1"/>
  <c r="AP10" i="1"/>
  <c r="AP11" i="1"/>
  <c r="AP12" i="1"/>
  <c r="AP13" i="1"/>
  <c r="AP14" i="1"/>
  <c r="AP15" i="1"/>
  <c r="AP16" i="1"/>
  <c r="AP17" i="1"/>
  <c r="AP18" i="1"/>
  <c r="AP19" i="1"/>
  <c r="AP20" i="1"/>
  <c r="AP21" i="1"/>
  <c r="AP22" i="1"/>
  <c r="AP23" i="1"/>
  <c r="AP24" i="1"/>
  <c r="AP25" i="1"/>
  <c r="AP26" i="1"/>
  <c r="AP27" i="1"/>
  <c r="AP28" i="1"/>
  <c r="AP29" i="1"/>
  <c r="AP30" i="1"/>
  <c r="AP31" i="1"/>
  <c r="AP32" i="1"/>
  <c r="AP33" i="1"/>
  <c r="AP34" i="1"/>
  <c r="AP35" i="1"/>
  <c r="AP36" i="1"/>
  <c r="AP37" i="1"/>
  <c r="AP38" i="1"/>
  <c r="AP39" i="1"/>
  <c r="AP40" i="1"/>
  <c r="AP41" i="1"/>
  <c r="AP42" i="1"/>
  <c r="AP43" i="1"/>
  <c r="AP44" i="1"/>
  <c r="AP45" i="1"/>
  <c r="AP46" i="1"/>
  <c r="AP47" i="1"/>
  <c r="AP48" i="1"/>
  <c r="AP49" i="1"/>
  <c r="AP50" i="1"/>
  <c r="AP51" i="1"/>
  <c r="AP52" i="1"/>
  <c r="AP53" i="1"/>
  <c r="AP54" i="1"/>
  <c r="AP55" i="1"/>
  <c r="AP56" i="1"/>
  <c r="AP57" i="1"/>
  <c r="AP58" i="1"/>
  <c r="AP59" i="1"/>
  <c r="AP60" i="1"/>
  <c r="AP61" i="1"/>
  <c r="AP62" i="1"/>
  <c r="AP63" i="1"/>
  <c r="C7" i="24"/>
  <c r="C3" i="24"/>
  <c r="C4" i="24"/>
  <c r="C5" i="24"/>
  <c r="C6" i="24"/>
  <c r="C8" i="24"/>
  <c r="C9" i="24"/>
  <c r="C10" i="24"/>
  <c r="C11" i="24"/>
  <c r="C12" i="24"/>
  <c r="C13" i="24"/>
  <c r="C14" i="24"/>
  <c r="C15" i="24"/>
  <c r="C16" i="24"/>
  <c r="C17" i="24"/>
  <c r="C18" i="24"/>
  <c r="C19" i="24"/>
  <c r="C20" i="24"/>
  <c r="C21" i="24"/>
  <c r="C22" i="24"/>
  <c r="C23" i="24"/>
  <c r="C24" i="24"/>
  <c r="C25" i="24"/>
  <c r="C26" i="24"/>
  <c r="C27" i="24"/>
  <c r="C28" i="24"/>
  <c r="C29" i="24"/>
  <c r="C30" i="24"/>
  <c r="C31" i="24"/>
  <c r="C32" i="24"/>
  <c r="C33" i="24"/>
  <c r="C34" i="24"/>
  <c r="C35" i="24"/>
  <c r="C36" i="24"/>
  <c r="C37" i="24"/>
  <c r="C38" i="24"/>
  <c r="C39" i="24"/>
  <c r="C40" i="24"/>
  <c r="C41" i="24"/>
  <c r="C42" i="24"/>
  <c r="C43" i="24"/>
  <c r="C44" i="24"/>
  <c r="C45" i="24"/>
  <c r="C46" i="24"/>
  <c r="C47" i="24"/>
  <c r="C48" i="24"/>
  <c r="C49" i="24"/>
  <c r="C50" i="24"/>
  <c r="C51" i="24"/>
  <c r="C52" i="24"/>
  <c r="C53" i="24"/>
  <c r="C54" i="24"/>
  <c r="C55" i="24"/>
  <c r="C56" i="24"/>
  <c r="C57" i="24"/>
  <c r="C58" i="24"/>
  <c r="C59" i="24"/>
  <c r="C60" i="24"/>
  <c r="C61" i="24"/>
  <c r="C62" i="24"/>
  <c r="C63" i="24"/>
  <c r="C64" i="24"/>
  <c r="C65" i="24"/>
  <c r="C66" i="24"/>
  <c r="C67" i="24"/>
  <c r="C68" i="24"/>
  <c r="C69" i="24"/>
  <c r="C70" i="24"/>
  <c r="C71" i="24"/>
  <c r="C72" i="24"/>
  <c r="C73" i="24"/>
  <c r="C74" i="24"/>
  <c r="C75" i="24"/>
  <c r="C76" i="24"/>
  <c r="C77" i="24"/>
  <c r="C78" i="24"/>
  <c r="C79" i="24"/>
  <c r="C80" i="24"/>
  <c r="C81" i="24"/>
  <c r="C82" i="24"/>
  <c r="C83" i="24"/>
  <c r="C84" i="24"/>
  <c r="C85" i="24"/>
  <c r="C86" i="24"/>
  <c r="C87" i="24"/>
  <c r="C88" i="24"/>
  <c r="C89" i="24"/>
  <c r="C90" i="24"/>
  <c r="C91" i="24"/>
  <c r="C92" i="24"/>
  <c r="C93" i="24"/>
  <c r="C94" i="24"/>
  <c r="C95" i="24"/>
  <c r="C96" i="24"/>
  <c r="C97" i="24"/>
  <c r="C98" i="24"/>
  <c r="C99" i="24"/>
  <c r="C100" i="24"/>
  <c r="C101" i="24"/>
  <c r="C102" i="24"/>
  <c r="C103" i="24"/>
  <c r="C104" i="24"/>
  <c r="C105" i="24"/>
  <c r="C106" i="24"/>
  <c r="C107" i="24"/>
  <c r="C108" i="24"/>
  <c r="C109" i="24"/>
  <c r="C110" i="24"/>
  <c r="C111" i="24"/>
  <c r="C112" i="24"/>
  <c r="C113" i="24"/>
  <c r="C114" i="24"/>
  <c r="C115" i="24"/>
  <c r="C116" i="24"/>
  <c r="C117" i="24"/>
  <c r="C118" i="24"/>
  <c r="C119" i="24"/>
  <c r="C120" i="24"/>
  <c r="C121" i="24"/>
  <c r="C122" i="24"/>
  <c r="C123" i="24"/>
  <c r="C124" i="24"/>
  <c r="C125" i="24"/>
  <c r="C126" i="24"/>
  <c r="C127" i="24"/>
  <c r="C128" i="24"/>
  <c r="C129" i="24"/>
  <c r="C130" i="24"/>
  <c r="C131" i="24"/>
  <c r="C132" i="24"/>
  <c r="C133" i="24"/>
  <c r="C134" i="24"/>
  <c r="C135" i="24"/>
  <c r="C136" i="24"/>
  <c r="C137" i="24"/>
  <c r="C138" i="24"/>
  <c r="C139" i="24"/>
  <c r="C140" i="24"/>
  <c r="C141" i="24"/>
  <c r="C142" i="24"/>
  <c r="C143" i="24"/>
  <c r="C144" i="24"/>
  <c r="C145" i="24"/>
  <c r="C146" i="24"/>
  <c r="C147" i="24"/>
  <c r="C148" i="24"/>
  <c r="C149" i="24"/>
  <c r="C150" i="24"/>
  <c r="C151" i="24"/>
  <c r="C152" i="24"/>
  <c r="C153" i="24"/>
  <c r="C154" i="24"/>
  <c r="C155" i="24"/>
  <c r="C156" i="24"/>
  <c r="C157" i="24"/>
  <c r="C158" i="24"/>
  <c r="C159" i="24"/>
  <c r="C160" i="24"/>
  <c r="C161" i="24"/>
  <c r="C162" i="24"/>
  <c r="C163" i="24"/>
  <c r="C164" i="24"/>
  <c r="C165" i="24"/>
  <c r="C166" i="24"/>
  <c r="C167" i="24"/>
  <c r="C168" i="24"/>
  <c r="C169" i="24"/>
  <c r="C170" i="24"/>
  <c r="C171" i="24"/>
  <c r="C172" i="24"/>
  <c r="C173" i="24"/>
  <c r="C174" i="24"/>
  <c r="C175" i="24"/>
  <c r="C176" i="24"/>
  <c r="C177" i="24"/>
  <c r="C178" i="24"/>
  <c r="C179" i="24"/>
  <c r="C180" i="24"/>
  <c r="C181" i="24"/>
  <c r="C182" i="24"/>
  <c r="C183" i="24"/>
  <c r="C184" i="24"/>
  <c r="C185" i="24"/>
  <c r="C186" i="24"/>
  <c r="C187" i="24"/>
  <c r="C188" i="24"/>
  <c r="C189" i="24"/>
  <c r="C190" i="24"/>
  <c r="C191" i="24"/>
  <c r="C192" i="24"/>
  <c r="C193" i="24"/>
  <c r="C194" i="24"/>
  <c r="C195" i="24"/>
  <c r="C196" i="24"/>
  <c r="C197" i="24"/>
  <c r="C198" i="24"/>
  <c r="C199" i="24"/>
  <c r="C200" i="24"/>
  <c r="C201" i="24"/>
  <c r="C202" i="24"/>
  <c r="C203" i="24"/>
  <c r="C204" i="24"/>
  <c r="C205" i="24"/>
  <c r="C206" i="24"/>
  <c r="C207" i="24"/>
  <c r="C208" i="24"/>
  <c r="C209" i="24"/>
  <c r="C210" i="24"/>
  <c r="C211" i="24"/>
  <c r="C212" i="24"/>
  <c r="C213" i="24"/>
  <c r="C214" i="24"/>
  <c r="C215" i="24"/>
  <c r="C216" i="24"/>
  <c r="C217" i="24"/>
  <c r="C218" i="24"/>
  <c r="C219" i="24"/>
  <c r="C220" i="24"/>
  <c r="C221" i="24"/>
  <c r="C222" i="24"/>
  <c r="C223" i="24"/>
  <c r="C224" i="24"/>
  <c r="C225" i="24"/>
  <c r="C226" i="24"/>
  <c r="C227" i="24"/>
  <c r="C228" i="24"/>
  <c r="C229" i="24"/>
  <c r="C230" i="24"/>
  <c r="C231" i="24"/>
  <c r="C232" i="24"/>
  <c r="C233" i="24"/>
  <c r="C234" i="24"/>
  <c r="C235" i="24"/>
  <c r="C236" i="24"/>
  <c r="C237" i="24"/>
  <c r="C238" i="24"/>
  <c r="C239" i="24"/>
  <c r="C240" i="24"/>
  <c r="C241" i="24"/>
  <c r="C242" i="24"/>
  <c r="C243" i="24"/>
  <c r="C244" i="24"/>
  <c r="C245" i="24"/>
  <c r="C246" i="24"/>
  <c r="C247" i="24"/>
  <c r="C248" i="24"/>
  <c r="C249" i="24"/>
  <c r="C250" i="24"/>
  <c r="C251" i="24"/>
  <c r="C252" i="24"/>
  <c r="C253" i="24"/>
  <c r="C254" i="24"/>
  <c r="C255" i="24"/>
  <c r="C256" i="24"/>
  <c r="C257" i="24"/>
  <c r="C258" i="24"/>
  <c r="C259" i="24"/>
  <c r="C260" i="24"/>
  <c r="C261" i="24"/>
  <c r="C262" i="24"/>
  <c r="C263" i="24"/>
  <c r="C264" i="24"/>
  <c r="C265" i="24"/>
  <c r="C266" i="24"/>
  <c r="C267" i="24"/>
  <c r="C268" i="24"/>
  <c r="C269" i="24"/>
  <c r="C270" i="24"/>
  <c r="C271" i="24"/>
  <c r="C272" i="24"/>
  <c r="C273" i="24"/>
  <c r="C274" i="24"/>
  <c r="C275" i="24"/>
  <c r="C276" i="24"/>
  <c r="C277" i="24"/>
  <c r="C278" i="24"/>
  <c r="C279" i="24"/>
  <c r="C280" i="24"/>
  <c r="C281" i="24"/>
  <c r="C282" i="24"/>
  <c r="C283" i="24"/>
  <c r="C284" i="24"/>
  <c r="C285" i="24"/>
  <c r="C286" i="24"/>
  <c r="C287" i="24"/>
  <c r="C288" i="24"/>
  <c r="C289" i="24"/>
  <c r="C290" i="24"/>
  <c r="C291" i="24"/>
  <c r="C292" i="24"/>
  <c r="C293" i="24"/>
  <c r="C294" i="24"/>
  <c r="C295" i="24"/>
  <c r="C296" i="24"/>
  <c r="C297" i="24"/>
  <c r="C298" i="24"/>
  <c r="C299" i="24"/>
  <c r="C300" i="24"/>
  <c r="C301" i="24"/>
  <c r="C302" i="24"/>
  <c r="C303" i="24"/>
  <c r="C304" i="24"/>
  <c r="C305" i="24"/>
  <c r="C306" i="24"/>
  <c r="C307" i="24"/>
  <c r="C308" i="24"/>
  <c r="C309" i="24"/>
  <c r="C310" i="24"/>
  <c r="C311" i="24"/>
  <c r="C312" i="24"/>
  <c r="C313" i="24"/>
  <c r="C314" i="24"/>
  <c r="C315" i="24"/>
  <c r="C316" i="24"/>
  <c r="C317" i="24"/>
  <c r="C318" i="24"/>
  <c r="C319" i="24"/>
  <c r="C320" i="24"/>
  <c r="C321" i="24"/>
  <c r="C322" i="24"/>
  <c r="C323" i="24"/>
  <c r="C324" i="24"/>
  <c r="C325" i="24"/>
  <c r="C326" i="24"/>
  <c r="C327" i="24"/>
  <c r="C328" i="24"/>
  <c r="C329" i="24"/>
  <c r="C330" i="24"/>
  <c r="C331" i="24"/>
  <c r="C332" i="24"/>
  <c r="C333" i="24"/>
  <c r="C334" i="24"/>
  <c r="C335" i="24"/>
  <c r="C336" i="24"/>
  <c r="C337" i="24"/>
  <c r="C338" i="24"/>
  <c r="C339" i="24"/>
  <c r="C340" i="24"/>
  <c r="C341" i="24"/>
  <c r="C342" i="24"/>
  <c r="C343" i="24"/>
  <c r="C344" i="24"/>
  <c r="C345" i="24"/>
  <c r="C346" i="24"/>
  <c r="C347" i="24"/>
  <c r="C348" i="24"/>
  <c r="C349" i="24"/>
  <c r="C350" i="24"/>
  <c r="C351" i="24"/>
  <c r="C352" i="24"/>
  <c r="C353" i="24"/>
  <c r="C354" i="24"/>
  <c r="C355" i="24"/>
  <c r="C356" i="24"/>
  <c r="C357" i="24"/>
  <c r="C358" i="24"/>
  <c r="C359" i="24"/>
  <c r="C360" i="24"/>
  <c r="C361" i="24"/>
  <c r="C362" i="24"/>
  <c r="C363" i="24"/>
  <c r="C364" i="24"/>
  <c r="C365" i="24"/>
  <c r="C366" i="24"/>
  <c r="C367" i="24"/>
  <c r="C368" i="24"/>
  <c r="C369" i="24"/>
  <c r="C370" i="24"/>
  <c r="C371" i="24"/>
  <c r="C372" i="24"/>
  <c r="C373" i="24"/>
  <c r="C374" i="24"/>
  <c r="C375" i="24"/>
  <c r="C376" i="24"/>
  <c r="C377" i="24"/>
  <c r="C378" i="24"/>
  <c r="C379" i="24"/>
  <c r="C380" i="24"/>
  <c r="C381" i="24"/>
  <c r="C382" i="24"/>
  <c r="C383" i="24"/>
  <c r="C384" i="24"/>
  <c r="C385" i="24"/>
  <c r="C386" i="24"/>
  <c r="C387" i="24"/>
  <c r="C388" i="24"/>
  <c r="C389" i="24"/>
  <c r="C390" i="24"/>
  <c r="C391" i="24"/>
  <c r="C392" i="24"/>
  <c r="C393" i="24"/>
  <c r="C394" i="24"/>
  <c r="C395" i="24"/>
  <c r="C396" i="24"/>
  <c r="C397" i="24"/>
  <c r="C398" i="24"/>
  <c r="C399" i="24"/>
  <c r="C400" i="24"/>
  <c r="C401" i="24"/>
  <c r="C402" i="24"/>
  <c r="C403" i="24"/>
  <c r="C404" i="24"/>
  <c r="C405" i="24"/>
  <c r="C406" i="24"/>
  <c r="C407" i="24"/>
  <c r="C408" i="24"/>
  <c r="C409" i="24"/>
  <c r="C410" i="24"/>
  <c r="C411" i="24"/>
  <c r="C412" i="24"/>
  <c r="C413" i="24"/>
  <c r="C414" i="24"/>
  <c r="C415" i="24"/>
  <c r="C416" i="24"/>
  <c r="C417" i="24"/>
  <c r="C418" i="24"/>
  <c r="C419" i="24"/>
  <c r="C420" i="24"/>
  <c r="C421" i="24"/>
  <c r="C422" i="24"/>
  <c r="C423" i="24"/>
  <c r="C424" i="24"/>
  <c r="C425" i="24"/>
  <c r="C426" i="24"/>
  <c r="C427" i="24"/>
  <c r="C428" i="24"/>
  <c r="C429" i="24"/>
  <c r="C430" i="24"/>
  <c r="C431" i="24"/>
  <c r="C432" i="24"/>
  <c r="C433" i="24"/>
  <c r="C434" i="24"/>
  <c r="C435" i="24"/>
  <c r="C436" i="24"/>
  <c r="C437" i="24"/>
  <c r="C438" i="24"/>
  <c r="C439" i="24"/>
  <c r="C440" i="24"/>
  <c r="C441" i="24"/>
  <c r="C442" i="24"/>
  <c r="C443" i="24"/>
  <c r="C444" i="24"/>
  <c r="C445" i="24"/>
  <c r="C446" i="24"/>
  <c r="C447" i="24"/>
  <c r="C448" i="24"/>
  <c r="C449" i="24"/>
  <c r="C450" i="24"/>
  <c r="C451" i="24"/>
  <c r="C452" i="24"/>
  <c r="C453" i="24"/>
  <c r="C454" i="24"/>
  <c r="C455" i="24"/>
  <c r="C456" i="24"/>
  <c r="C457" i="24"/>
  <c r="C458" i="24"/>
  <c r="C459" i="24"/>
  <c r="C460" i="24"/>
  <c r="C461" i="24"/>
  <c r="C462" i="24"/>
  <c r="C463" i="24"/>
  <c r="C464" i="24"/>
  <c r="C465" i="24"/>
  <c r="C466" i="24"/>
  <c r="C467" i="24"/>
  <c r="C468" i="24"/>
  <c r="C469" i="24"/>
  <c r="C470" i="24"/>
  <c r="C471" i="24"/>
  <c r="C472" i="24"/>
  <c r="C473" i="24"/>
  <c r="C474" i="24"/>
  <c r="C475" i="24"/>
  <c r="C476" i="24"/>
  <c r="C477" i="24"/>
  <c r="C478" i="24"/>
  <c r="C479" i="24"/>
  <c r="C480" i="24"/>
  <c r="C481" i="24"/>
  <c r="C482" i="24"/>
  <c r="C483" i="24"/>
  <c r="C484" i="24"/>
  <c r="C485" i="24"/>
  <c r="C486" i="24"/>
  <c r="C487" i="24"/>
  <c r="C488" i="24"/>
  <c r="C489" i="24"/>
  <c r="C490" i="24"/>
  <c r="C491" i="24"/>
  <c r="C492" i="24"/>
  <c r="C493" i="24"/>
  <c r="C494" i="24"/>
  <c r="C495" i="24"/>
  <c r="C496" i="24"/>
  <c r="C497" i="24"/>
  <c r="C498" i="24"/>
  <c r="C499" i="24"/>
  <c r="C500" i="24"/>
  <c r="C501" i="24"/>
  <c r="C502" i="24"/>
  <c r="C503" i="24"/>
  <c r="C504" i="24"/>
  <c r="C505" i="24"/>
  <c r="C506" i="24"/>
  <c r="C507" i="24"/>
  <c r="C508" i="24"/>
  <c r="C509" i="24"/>
  <c r="C510" i="24"/>
  <c r="C511" i="24"/>
  <c r="C512" i="24"/>
  <c r="C513" i="24"/>
  <c r="C514" i="24"/>
  <c r="C515" i="24"/>
  <c r="C516" i="24"/>
  <c r="C517" i="24"/>
  <c r="C518" i="24"/>
  <c r="C519" i="24"/>
  <c r="C520" i="24"/>
  <c r="C521" i="24"/>
  <c r="C522" i="24"/>
  <c r="C523" i="24"/>
  <c r="C524" i="24"/>
  <c r="C525" i="24"/>
  <c r="C526" i="24"/>
  <c r="C527" i="24"/>
  <c r="C528" i="24"/>
  <c r="C529" i="24"/>
  <c r="C530" i="24"/>
  <c r="C531" i="24"/>
  <c r="C532" i="24"/>
  <c r="C533" i="24"/>
  <c r="C534" i="24"/>
  <c r="C535" i="24"/>
  <c r="C536" i="24"/>
  <c r="C537" i="24"/>
  <c r="C538" i="24"/>
  <c r="C539" i="24"/>
  <c r="C540" i="24"/>
  <c r="C541" i="24"/>
  <c r="C542" i="24"/>
  <c r="C543" i="24"/>
  <c r="C544" i="24"/>
  <c r="C545" i="24"/>
  <c r="C546" i="24"/>
  <c r="C547" i="24"/>
  <c r="C548" i="24"/>
  <c r="C549" i="24"/>
  <c r="C550" i="24"/>
  <c r="C551" i="24"/>
  <c r="C552" i="24"/>
  <c r="C553" i="24"/>
  <c r="C554" i="24"/>
  <c r="C555" i="24"/>
  <c r="C556" i="24"/>
  <c r="C557" i="24"/>
  <c r="C558" i="24"/>
  <c r="C559" i="24"/>
  <c r="C560" i="24"/>
  <c r="C561" i="24"/>
  <c r="C562" i="24"/>
  <c r="C563" i="24"/>
  <c r="C564" i="24"/>
  <c r="C565" i="24"/>
  <c r="C566" i="24"/>
  <c r="C567" i="24"/>
  <c r="C568" i="24"/>
  <c r="C569" i="24"/>
  <c r="C570" i="24"/>
  <c r="C571" i="24"/>
  <c r="C572" i="24"/>
  <c r="C573" i="24"/>
  <c r="C574" i="24"/>
  <c r="C575" i="24"/>
  <c r="C576" i="24"/>
  <c r="C577" i="24"/>
  <c r="C578" i="24"/>
  <c r="C579" i="24"/>
  <c r="C580" i="24"/>
  <c r="C581" i="24"/>
  <c r="C582" i="24"/>
  <c r="C583" i="24"/>
  <c r="C584" i="24"/>
  <c r="C585" i="24"/>
  <c r="C586" i="24"/>
  <c r="C587" i="24"/>
  <c r="C588" i="24"/>
  <c r="C589" i="24"/>
  <c r="C590" i="24"/>
  <c r="C591" i="24"/>
  <c r="C592" i="24"/>
  <c r="C593" i="24"/>
  <c r="C594" i="24"/>
  <c r="C595" i="24"/>
  <c r="C596" i="24"/>
  <c r="C597" i="24"/>
  <c r="C598" i="24"/>
  <c r="C599" i="24"/>
  <c r="C600" i="24"/>
  <c r="C601" i="24"/>
  <c r="C602" i="24"/>
  <c r="C603" i="24"/>
  <c r="C604" i="24"/>
  <c r="C605" i="24"/>
  <c r="C606" i="24"/>
  <c r="C607" i="24"/>
  <c r="C608" i="24"/>
  <c r="C609" i="24"/>
  <c r="C610" i="24"/>
  <c r="C611" i="24"/>
  <c r="C612" i="24"/>
  <c r="C613" i="24"/>
  <c r="C614" i="24"/>
  <c r="C615" i="24"/>
  <c r="C616" i="24"/>
  <c r="C617" i="24"/>
  <c r="C618" i="24"/>
  <c r="C619" i="24"/>
  <c r="C620" i="24"/>
  <c r="C621" i="24"/>
  <c r="C622" i="24"/>
  <c r="C623" i="24"/>
  <c r="C624" i="24"/>
  <c r="C625" i="24"/>
  <c r="C626" i="24"/>
  <c r="C627" i="24"/>
  <c r="C628" i="24"/>
  <c r="C629" i="24"/>
  <c r="C630" i="24"/>
  <c r="C631" i="24"/>
  <c r="C632" i="24"/>
  <c r="C633" i="24"/>
  <c r="C634" i="24"/>
  <c r="C635" i="24"/>
  <c r="C636" i="24"/>
  <c r="C637" i="24"/>
  <c r="C638" i="24"/>
  <c r="C639" i="24"/>
  <c r="C640" i="24"/>
  <c r="C641" i="24"/>
  <c r="C642" i="24"/>
  <c r="C643" i="24"/>
  <c r="C644" i="24"/>
  <c r="C645" i="24"/>
  <c r="C646" i="24"/>
  <c r="C647" i="24"/>
  <c r="C648" i="24"/>
  <c r="C649" i="24"/>
  <c r="C650" i="24"/>
  <c r="C651" i="24"/>
  <c r="C652" i="24"/>
  <c r="C653" i="24"/>
  <c r="C654" i="24"/>
  <c r="C655" i="24"/>
  <c r="C656" i="24"/>
  <c r="C657" i="24"/>
  <c r="C658" i="24"/>
  <c r="C659" i="24"/>
  <c r="C660" i="24"/>
  <c r="C661" i="24"/>
  <c r="C662" i="24"/>
  <c r="C663" i="24"/>
  <c r="C664" i="24"/>
  <c r="C665" i="24"/>
  <c r="C666" i="24"/>
  <c r="C667" i="24"/>
  <c r="C668" i="24"/>
  <c r="C669" i="24"/>
  <c r="C670" i="24"/>
  <c r="C671" i="24"/>
  <c r="C672" i="24"/>
  <c r="C673" i="24"/>
  <c r="C674" i="24"/>
  <c r="C675" i="24"/>
  <c r="C676" i="24"/>
  <c r="C677" i="24"/>
  <c r="C678" i="24"/>
  <c r="C679" i="24"/>
  <c r="C680" i="24"/>
  <c r="C681" i="24"/>
  <c r="C682" i="24"/>
  <c r="C683" i="24"/>
  <c r="C684" i="24"/>
  <c r="C685" i="24"/>
  <c r="C686" i="24"/>
  <c r="C687" i="24"/>
  <c r="C688" i="24"/>
  <c r="C689" i="24"/>
  <c r="C690" i="24"/>
  <c r="C691" i="24"/>
  <c r="C692" i="24"/>
  <c r="C693" i="24"/>
  <c r="C694" i="24"/>
  <c r="C695" i="24"/>
  <c r="C696" i="24"/>
  <c r="C697" i="24"/>
  <c r="C698" i="24"/>
  <c r="C699" i="24"/>
  <c r="C700" i="24"/>
  <c r="C701" i="24"/>
  <c r="C702" i="24"/>
  <c r="C703" i="24"/>
  <c r="C704" i="24"/>
  <c r="C705" i="24"/>
  <c r="C706" i="24"/>
  <c r="C707" i="24"/>
  <c r="C708" i="24"/>
  <c r="C709" i="24"/>
  <c r="C710" i="24"/>
  <c r="C711" i="24"/>
  <c r="C712" i="24"/>
  <c r="C713" i="24"/>
  <c r="C714" i="24"/>
  <c r="C715" i="24"/>
  <c r="C716" i="24"/>
  <c r="C717" i="24"/>
  <c r="C718" i="24"/>
  <c r="C719" i="24"/>
  <c r="C720" i="24"/>
  <c r="C721" i="24"/>
  <c r="C722" i="24"/>
  <c r="C723" i="24"/>
  <c r="C724" i="24"/>
  <c r="C725" i="24"/>
  <c r="C726" i="24"/>
  <c r="C727" i="24"/>
  <c r="C728" i="24"/>
  <c r="C729" i="24"/>
  <c r="C730" i="24"/>
  <c r="C731" i="24"/>
  <c r="C732" i="24"/>
  <c r="C733" i="24"/>
  <c r="C734" i="24"/>
  <c r="C735" i="24"/>
  <c r="C736" i="24"/>
  <c r="C737" i="24"/>
  <c r="C738" i="24"/>
  <c r="C739" i="24"/>
  <c r="C740" i="24"/>
  <c r="C741" i="24"/>
  <c r="C742" i="24"/>
  <c r="C743" i="24"/>
  <c r="C744" i="24"/>
  <c r="C745" i="24"/>
  <c r="C746" i="24"/>
  <c r="C747" i="24"/>
  <c r="C748" i="24"/>
  <c r="C749" i="24"/>
  <c r="C750" i="24"/>
  <c r="C751" i="24"/>
  <c r="C752" i="24"/>
  <c r="C753" i="24"/>
  <c r="C754" i="24"/>
  <c r="C755" i="24"/>
  <c r="C756" i="24"/>
  <c r="C757" i="24"/>
  <c r="C758" i="24"/>
  <c r="C759" i="24"/>
  <c r="C760" i="24"/>
  <c r="C761" i="24"/>
  <c r="C762" i="24"/>
  <c r="C763" i="24"/>
  <c r="C764" i="24"/>
  <c r="C765" i="24"/>
  <c r="C766" i="24"/>
  <c r="C767" i="24"/>
  <c r="C768" i="24"/>
  <c r="C769" i="24"/>
  <c r="C770" i="24"/>
  <c r="C771" i="24"/>
  <c r="C772" i="24"/>
  <c r="C773" i="24"/>
  <c r="C774" i="24"/>
  <c r="C775" i="24"/>
  <c r="C776" i="24"/>
  <c r="C777" i="24"/>
  <c r="C778" i="24"/>
  <c r="C779" i="24"/>
  <c r="C780" i="24"/>
  <c r="C781" i="24"/>
  <c r="C782" i="24"/>
  <c r="C783" i="24"/>
  <c r="C784" i="24"/>
  <c r="C785" i="24"/>
  <c r="C786" i="24"/>
  <c r="C787" i="24"/>
  <c r="C788" i="24"/>
  <c r="C789" i="24"/>
  <c r="C790" i="24"/>
  <c r="C791" i="24"/>
  <c r="C792" i="24"/>
  <c r="C793" i="24"/>
  <c r="C794" i="24"/>
  <c r="C795" i="24"/>
  <c r="C796" i="24"/>
  <c r="C797" i="24"/>
  <c r="C798" i="24"/>
  <c r="C799" i="24"/>
  <c r="C800" i="24"/>
  <c r="C801" i="24"/>
  <c r="C802" i="24"/>
  <c r="C803" i="24"/>
  <c r="C804" i="24"/>
  <c r="C805" i="24"/>
  <c r="C806" i="24"/>
  <c r="C807" i="24"/>
  <c r="C808" i="24"/>
  <c r="C809" i="24"/>
  <c r="C810" i="24"/>
  <c r="C811" i="24"/>
  <c r="C812" i="24"/>
  <c r="C813" i="24"/>
  <c r="C814" i="24"/>
  <c r="C815" i="24"/>
  <c r="C816" i="24"/>
  <c r="C817" i="24"/>
  <c r="C818" i="24"/>
  <c r="C819" i="24"/>
  <c r="C820" i="24"/>
  <c r="C821" i="24"/>
  <c r="C822" i="24"/>
  <c r="C823" i="24"/>
  <c r="C824" i="24"/>
  <c r="C825" i="24"/>
  <c r="C826" i="24"/>
  <c r="C827" i="24"/>
  <c r="C828" i="24"/>
  <c r="C829" i="24"/>
  <c r="C830" i="24"/>
  <c r="C831" i="24"/>
  <c r="C832" i="24"/>
  <c r="C833" i="24"/>
  <c r="C834" i="24"/>
  <c r="C835" i="24"/>
  <c r="C836" i="24"/>
  <c r="C837" i="24"/>
  <c r="C838" i="24"/>
  <c r="C839" i="24"/>
  <c r="C840" i="24"/>
  <c r="C841" i="24"/>
  <c r="C842" i="24"/>
  <c r="C843" i="24"/>
  <c r="C844" i="24"/>
  <c r="C845" i="24"/>
  <c r="C846" i="24"/>
  <c r="C847" i="24"/>
  <c r="C848" i="24"/>
  <c r="C849" i="24"/>
  <c r="C850" i="24"/>
  <c r="C851" i="24"/>
  <c r="C852" i="24"/>
  <c r="C853" i="24"/>
  <c r="C854" i="24"/>
  <c r="C855" i="24"/>
  <c r="C856" i="24"/>
  <c r="C857" i="24"/>
  <c r="C858" i="24"/>
  <c r="C859" i="24"/>
  <c r="C860" i="24"/>
  <c r="C861" i="24"/>
  <c r="C862" i="24"/>
  <c r="C863" i="24"/>
  <c r="C864" i="24"/>
  <c r="C865" i="24"/>
  <c r="C866" i="24"/>
  <c r="C867" i="24"/>
  <c r="C868" i="24"/>
  <c r="C869" i="24"/>
  <c r="C870" i="24"/>
  <c r="C871" i="24"/>
  <c r="C872" i="24"/>
  <c r="C873" i="24"/>
  <c r="C874" i="24"/>
  <c r="C875" i="24"/>
  <c r="C876" i="24"/>
  <c r="C877" i="24"/>
  <c r="C878" i="24"/>
  <c r="C879" i="24"/>
  <c r="C880" i="24"/>
  <c r="C881" i="24"/>
  <c r="C882" i="24"/>
  <c r="C883" i="24"/>
  <c r="C884" i="24"/>
  <c r="C885" i="24"/>
  <c r="C886" i="24"/>
  <c r="C887" i="24"/>
  <c r="C888" i="24"/>
  <c r="C889" i="24"/>
  <c r="C890" i="24"/>
  <c r="C891" i="24"/>
  <c r="C892" i="24"/>
  <c r="C893" i="24"/>
  <c r="C894" i="24"/>
  <c r="C895" i="24"/>
  <c r="C896" i="24"/>
  <c r="C897" i="24"/>
  <c r="C898" i="24"/>
  <c r="C899" i="24"/>
  <c r="C900" i="24"/>
  <c r="C901" i="24"/>
  <c r="C902" i="24"/>
  <c r="C903" i="24"/>
  <c r="C904" i="24"/>
  <c r="C905" i="24"/>
  <c r="C906" i="24"/>
  <c r="C907" i="24"/>
  <c r="C908" i="24"/>
  <c r="C909" i="24"/>
  <c r="C910" i="24"/>
  <c r="C911" i="24"/>
  <c r="C912" i="24"/>
  <c r="C913" i="24"/>
  <c r="C914" i="24"/>
  <c r="C915" i="24"/>
  <c r="C916" i="24"/>
  <c r="C917" i="24"/>
  <c r="C918" i="24"/>
  <c r="C919" i="24"/>
  <c r="C920" i="24"/>
  <c r="C921" i="24"/>
  <c r="C922" i="24"/>
  <c r="C923" i="24"/>
  <c r="C924" i="24"/>
  <c r="C925" i="24"/>
  <c r="C926" i="24"/>
  <c r="C927" i="24"/>
  <c r="C928" i="24"/>
  <c r="C929" i="24"/>
  <c r="C930" i="24"/>
  <c r="C931" i="24"/>
  <c r="C932" i="24"/>
  <c r="C933" i="24"/>
  <c r="C934" i="24"/>
  <c r="C935" i="24"/>
  <c r="C936" i="24"/>
  <c r="C937" i="24"/>
  <c r="C938" i="24"/>
  <c r="C939" i="24"/>
  <c r="C940" i="24"/>
  <c r="C941" i="24"/>
  <c r="C942" i="24"/>
  <c r="C943" i="24"/>
  <c r="C944" i="24"/>
  <c r="C945" i="24"/>
  <c r="C946" i="24"/>
  <c r="C947" i="24"/>
  <c r="C948" i="24"/>
  <c r="C949" i="24"/>
  <c r="C950" i="24"/>
  <c r="C951" i="24"/>
  <c r="C952" i="24"/>
  <c r="C953" i="24"/>
  <c r="C954" i="24"/>
  <c r="C955" i="24"/>
  <c r="C956" i="24"/>
  <c r="C957" i="24"/>
  <c r="C958" i="24"/>
  <c r="C959" i="24"/>
  <c r="C960" i="24"/>
  <c r="C961" i="24"/>
  <c r="C962" i="24"/>
  <c r="C963" i="24"/>
  <c r="C964" i="24"/>
  <c r="C965" i="24"/>
  <c r="C966" i="24"/>
  <c r="C967" i="24"/>
  <c r="C968" i="24"/>
  <c r="C969" i="24"/>
  <c r="C970" i="24"/>
  <c r="C971" i="24"/>
  <c r="C972" i="24"/>
  <c r="C973" i="24"/>
  <c r="C974" i="24"/>
  <c r="C975" i="24"/>
  <c r="C976" i="24"/>
  <c r="C977" i="24"/>
  <c r="C978" i="24"/>
  <c r="C979" i="24"/>
  <c r="C980" i="24"/>
  <c r="C981" i="24"/>
  <c r="C982" i="24"/>
  <c r="C983" i="24"/>
  <c r="C984" i="24"/>
  <c r="C985" i="24"/>
  <c r="C986" i="24"/>
  <c r="C987" i="24"/>
  <c r="C988" i="24"/>
  <c r="C989" i="24"/>
  <c r="C990" i="24"/>
  <c r="C991" i="24"/>
  <c r="C992" i="24"/>
  <c r="C993" i="24"/>
  <c r="C994" i="24"/>
  <c r="C995" i="24"/>
  <c r="C996" i="24"/>
  <c r="C997" i="24"/>
  <c r="C998" i="24"/>
  <c r="C999" i="24"/>
  <c r="C1000" i="24"/>
  <c r="C1001" i="24"/>
  <c r="C1002" i="24"/>
  <c r="C1003" i="24"/>
  <c r="C1004" i="24"/>
  <c r="C1005" i="24"/>
  <c r="C1006" i="24"/>
  <c r="C1007" i="24"/>
  <c r="C1008" i="24"/>
  <c r="C1009" i="24"/>
  <c r="C1010" i="24"/>
  <c r="C1011" i="24"/>
  <c r="C1012" i="24"/>
  <c r="C1013" i="24"/>
  <c r="C1014" i="24"/>
  <c r="C1015" i="24"/>
  <c r="C1016" i="24"/>
  <c r="C1017" i="24"/>
  <c r="C1018" i="24"/>
  <c r="C1019" i="24"/>
  <c r="C1020" i="24"/>
  <c r="C1021" i="24"/>
  <c r="C1022" i="24"/>
  <c r="C1023" i="24"/>
  <c r="C1024" i="24"/>
  <c r="C1025" i="24"/>
  <c r="C1026" i="24"/>
  <c r="C1027" i="24"/>
  <c r="C1028" i="24"/>
  <c r="C1029" i="24"/>
  <c r="C1030" i="24"/>
  <c r="C1031" i="24"/>
  <c r="C1032" i="24"/>
  <c r="C1033" i="24"/>
  <c r="C1034" i="24"/>
  <c r="C1035" i="24"/>
  <c r="C1036" i="24"/>
  <c r="C1037" i="24"/>
  <c r="C1038" i="24"/>
  <c r="C1039" i="24"/>
  <c r="C1040" i="24"/>
  <c r="C1041" i="24"/>
  <c r="C1042" i="24"/>
  <c r="C1043" i="24"/>
  <c r="C1044" i="24"/>
  <c r="C1045" i="24"/>
  <c r="C1046" i="24"/>
  <c r="C1047" i="24"/>
  <c r="C1048" i="24"/>
  <c r="C1049" i="24"/>
  <c r="C1050" i="24"/>
  <c r="C1051" i="24"/>
  <c r="C1052" i="24"/>
  <c r="C1053" i="24"/>
  <c r="C1054" i="24"/>
  <c r="C1055" i="24"/>
  <c r="C1056" i="24"/>
  <c r="C1057" i="24"/>
  <c r="C1058" i="24"/>
  <c r="C1059" i="24"/>
  <c r="C1060" i="24"/>
  <c r="C1061" i="24"/>
  <c r="C1062" i="24"/>
  <c r="C1063" i="24"/>
  <c r="C1064" i="24"/>
  <c r="C1065" i="24"/>
  <c r="C1066" i="24"/>
  <c r="C1067" i="24"/>
  <c r="C1068" i="24"/>
  <c r="C1069" i="24"/>
  <c r="C1070" i="24"/>
  <c r="C1071" i="24"/>
  <c r="C1072" i="24"/>
  <c r="C1073" i="24"/>
  <c r="C1074" i="24"/>
  <c r="C1075" i="24"/>
  <c r="C1076" i="24"/>
  <c r="C1077" i="24"/>
  <c r="C1078" i="24"/>
  <c r="C1079" i="24"/>
  <c r="C1080" i="24"/>
  <c r="C1081" i="24"/>
  <c r="C1082" i="24"/>
  <c r="C1083" i="24"/>
  <c r="C1084" i="24"/>
  <c r="C1085" i="24"/>
  <c r="C1086" i="24"/>
  <c r="C1087" i="24"/>
  <c r="C1088" i="24"/>
  <c r="C1089" i="24"/>
  <c r="C1090" i="24"/>
  <c r="C1091" i="24"/>
  <c r="C1092" i="24"/>
  <c r="C1093" i="24"/>
  <c r="C1094" i="24"/>
  <c r="C1095" i="24"/>
  <c r="C1096" i="24"/>
  <c r="C1097" i="24"/>
  <c r="C1098" i="24"/>
  <c r="C1099" i="24"/>
  <c r="C1100" i="24"/>
  <c r="C1101" i="24"/>
  <c r="C1102" i="24"/>
  <c r="C1103" i="24"/>
  <c r="C1104" i="24"/>
  <c r="C1105" i="24"/>
  <c r="C1106" i="24"/>
  <c r="C1107" i="24"/>
  <c r="C1108" i="24"/>
  <c r="C1109" i="24"/>
  <c r="C1110" i="24"/>
  <c r="C1111" i="24"/>
  <c r="C1112" i="24"/>
  <c r="C1113" i="24"/>
  <c r="C1114" i="24"/>
  <c r="C1115" i="24"/>
  <c r="C1116" i="24"/>
  <c r="C1117" i="24"/>
  <c r="C1118" i="24"/>
  <c r="C1119" i="24"/>
  <c r="C1120" i="24"/>
  <c r="C1121" i="24"/>
  <c r="C1122" i="24"/>
  <c r="C1123" i="24"/>
  <c r="C1124" i="24"/>
  <c r="C1125" i="24"/>
  <c r="C1126" i="24"/>
  <c r="C1127" i="24"/>
  <c r="C1128" i="24"/>
  <c r="C1129" i="24"/>
  <c r="C1130" i="24"/>
  <c r="C1131" i="24"/>
  <c r="C1132" i="24"/>
  <c r="C1133" i="24"/>
  <c r="C1134" i="24"/>
  <c r="C1135" i="24"/>
  <c r="C1136" i="24"/>
  <c r="C1137" i="24"/>
  <c r="C1138" i="24"/>
  <c r="C1139" i="24"/>
  <c r="C1140" i="24"/>
  <c r="C1141" i="24"/>
  <c r="C1142" i="24"/>
  <c r="C1143" i="24"/>
  <c r="C1144" i="24"/>
  <c r="C1145" i="24"/>
  <c r="C1146" i="24"/>
  <c r="C1147" i="24"/>
  <c r="C1148" i="24"/>
  <c r="C1149" i="24"/>
  <c r="C1150" i="24"/>
  <c r="C1151" i="24"/>
  <c r="C1152" i="24"/>
  <c r="C1153" i="24"/>
  <c r="C1154" i="24"/>
  <c r="C1155" i="24"/>
  <c r="C1156" i="24"/>
  <c r="C1157" i="24"/>
  <c r="C1158" i="24"/>
  <c r="C1159" i="24"/>
  <c r="C1160" i="24"/>
  <c r="C1161" i="24"/>
  <c r="C1162" i="24"/>
  <c r="C1163" i="24"/>
  <c r="C1164" i="24"/>
  <c r="C1165" i="24"/>
  <c r="C1166" i="24"/>
  <c r="C1167" i="24"/>
  <c r="C1168" i="24"/>
  <c r="C1169" i="24"/>
  <c r="C1170" i="24"/>
  <c r="C1171" i="24"/>
  <c r="C1172" i="24"/>
  <c r="C1173" i="24"/>
  <c r="C1174" i="24"/>
  <c r="C1175" i="24"/>
  <c r="C1176" i="24"/>
  <c r="C1177" i="24"/>
  <c r="C1178" i="24"/>
  <c r="C1179" i="24"/>
  <c r="C1180" i="24"/>
  <c r="C1181" i="24"/>
  <c r="C1182" i="24"/>
  <c r="C1183" i="24"/>
  <c r="C1184" i="24"/>
  <c r="C1185" i="24"/>
  <c r="C1186" i="24"/>
  <c r="C1187" i="24"/>
  <c r="C1188" i="24"/>
  <c r="C1189" i="24"/>
  <c r="C1190" i="24"/>
  <c r="C1191" i="24"/>
  <c r="C1192" i="24"/>
  <c r="C1193" i="24"/>
  <c r="C1194" i="24"/>
  <c r="C1195" i="24"/>
  <c r="C1196" i="24"/>
  <c r="C1197" i="24"/>
  <c r="C1198" i="24"/>
  <c r="C1199" i="24"/>
  <c r="C1200" i="24"/>
  <c r="C1201" i="24"/>
  <c r="C1202" i="24"/>
  <c r="C1203" i="24"/>
  <c r="C1204" i="24"/>
  <c r="C1205" i="24"/>
  <c r="C1206" i="24"/>
  <c r="C1207" i="24"/>
  <c r="C1208" i="24"/>
  <c r="C1209" i="24"/>
  <c r="C1210" i="24"/>
  <c r="C1211" i="24"/>
  <c r="C1212" i="24"/>
  <c r="C1213" i="24"/>
  <c r="C1214" i="24"/>
  <c r="C1215" i="24"/>
  <c r="C1216" i="24"/>
  <c r="C1217" i="24"/>
  <c r="C1218" i="24"/>
  <c r="C1219" i="24"/>
  <c r="C1220" i="24"/>
  <c r="C1221" i="24"/>
  <c r="C1222" i="24"/>
  <c r="C1223" i="24"/>
  <c r="C1224" i="24"/>
  <c r="C1225" i="24"/>
  <c r="C1226" i="24"/>
  <c r="C1227" i="24"/>
  <c r="C1228" i="24"/>
  <c r="C1229" i="24"/>
  <c r="C1230" i="24"/>
  <c r="C1231" i="24"/>
  <c r="C1232" i="24"/>
  <c r="C1233" i="24"/>
  <c r="C1234" i="24"/>
  <c r="C1235" i="24"/>
  <c r="C1236" i="24"/>
  <c r="C1237" i="24"/>
  <c r="C1238" i="24"/>
  <c r="C1239" i="24"/>
  <c r="C1240" i="24"/>
  <c r="C1241" i="24"/>
  <c r="C1242" i="24"/>
  <c r="C1243" i="24"/>
  <c r="C1244" i="24"/>
  <c r="C1245" i="24"/>
  <c r="C1246" i="24"/>
  <c r="C1247" i="24"/>
  <c r="C1248" i="24"/>
  <c r="C1249" i="24"/>
  <c r="C1250" i="24"/>
  <c r="C1251" i="24"/>
  <c r="C1252" i="24"/>
  <c r="C1253" i="24"/>
  <c r="C1254" i="24"/>
  <c r="C1255" i="24"/>
  <c r="C1256" i="24"/>
  <c r="C1257" i="24"/>
  <c r="C1258" i="24"/>
  <c r="C1259" i="24"/>
  <c r="C1260" i="24"/>
  <c r="C1261" i="24"/>
  <c r="C1262" i="24"/>
  <c r="C1263" i="24"/>
  <c r="C1264" i="24"/>
  <c r="C1265" i="24"/>
  <c r="C1266" i="24"/>
  <c r="C1267" i="24"/>
  <c r="C1268" i="24"/>
  <c r="C1269" i="24"/>
  <c r="C1270" i="24"/>
  <c r="C1271" i="24"/>
  <c r="C1272" i="24"/>
  <c r="C1273" i="24"/>
  <c r="C1274" i="24"/>
  <c r="C1275" i="24"/>
  <c r="C1276" i="24"/>
  <c r="C1277" i="24"/>
  <c r="C1278" i="24"/>
  <c r="C1279" i="24"/>
  <c r="C1280" i="24"/>
  <c r="C1281" i="24"/>
  <c r="C1282" i="24"/>
  <c r="C1283" i="24"/>
  <c r="C1284" i="24"/>
  <c r="C1285" i="24"/>
  <c r="C1286" i="24"/>
  <c r="C1287" i="24"/>
  <c r="C1288" i="24"/>
  <c r="C1289" i="24"/>
  <c r="C1290" i="24"/>
  <c r="C1291" i="24"/>
  <c r="C1292" i="24"/>
  <c r="C1293" i="24"/>
  <c r="C1294" i="24"/>
  <c r="C1295" i="24"/>
  <c r="C1296" i="24"/>
  <c r="C1297" i="24"/>
  <c r="C1298" i="24"/>
  <c r="C1299" i="24"/>
  <c r="C1300" i="24"/>
  <c r="C1301" i="24"/>
  <c r="C1302" i="24"/>
  <c r="C1303" i="24"/>
  <c r="C1304" i="24"/>
  <c r="C1305" i="24"/>
  <c r="C1306" i="24"/>
  <c r="C1307" i="24"/>
  <c r="C1308" i="24"/>
  <c r="C1309" i="24"/>
  <c r="C1310" i="24"/>
  <c r="C1311" i="24"/>
  <c r="C1312" i="24"/>
  <c r="C1313" i="24"/>
  <c r="C1314" i="24"/>
  <c r="C1315" i="24"/>
  <c r="C1316" i="24"/>
  <c r="C1317" i="24"/>
  <c r="C1318" i="24"/>
  <c r="C1319" i="24"/>
  <c r="C1320" i="24"/>
  <c r="C1321" i="24"/>
  <c r="C1322" i="24"/>
  <c r="C1323" i="24"/>
  <c r="C1324" i="24"/>
  <c r="C1325" i="24"/>
  <c r="C1326" i="24"/>
  <c r="C1327" i="24"/>
  <c r="C1328" i="24"/>
  <c r="C1329" i="24"/>
  <c r="C1330" i="24"/>
  <c r="C1331" i="24"/>
  <c r="C1332" i="24"/>
  <c r="C1333" i="24"/>
  <c r="C1334" i="24"/>
  <c r="C1335" i="24"/>
  <c r="C1336" i="24"/>
  <c r="C1337" i="24"/>
  <c r="C1338" i="24"/>
  <c r="C1339" i="24"/>
  <c r="C1340" i="24"/>
  <c r="C1341" i="24"/>
  <c r="C1342" i="24"/>
  <c r="C1343" i="24"/>
  <c r="C1344" i="24"/>
  <c r="C1345" i="24"/>
  <c r="C1346" i="24"/>
  <c r="C1347" i="24"/>
  <c r="C1348" i="24"/>
  <c r="C1349" i="24"/>
  <c r="C1350" i="24"/>
  <c r="C1351" i="24"/>
  <c r="C1352" i="24"/>
  <c r="C1353" i="24"/>
  <c r="C1354" i="24"/>
  <c r="C1355" i="24"/>
  <c r="C1356" i="24"/>
  <c r="C1357" i="24"/>
  <c r="C1358" i="24"/>
  <c r="C1359" i="24"/>
  <c r="C1360" i="24"/>
  <c r="C1361" i="24"/>
  <c r="C1362" i="24"/>
  <c r="C1363" i="24"/>
  <c r="C1364" i="24"/>
  <c r="C1365" i="24"/>
  <c r="C1366" i="24"/>
  <c r="C1367" i="24"/>
  <c r="C1368" i="24"/>
  <c r="C1369" i="24"/>
  <c r="C1370" i="24"/>
  <c r="C1371" i="24"/>
  <c r="C1372" i="24"/>
  <c r="C1373" i="24"/>
  <c r="C1374" i="24"/>
  <c r="C1375" i="24"/>
  <c r="C1376" i="24"/>
  <c r="C1377" i="24"/>
  <c r="C1378" i="24"/>
  <c r="C1379" i="24"/>
  <c r="C1380" i="24"/>
  <c r="C1381" i="24"/>
  <c r="C1382" i="24"/>
  <c r="C1383" i="24"/>
  <c r="C1384" i="24"/>
  <c r="C1385" i="24"/>
  <c r="C1386" i="24"/>
  <c r="C1387" i="24"/>
  <c r="C1388" i="24"/>
  <c r="C1389" i="24"/>
  <c r="C1390" i="24"/>
  <c r="C1391" i="24"/>
  <c r="C1392" i="24"/>
  <c r="C1393" i="24"/>
  <c r="C1394" i="24"/>
  <c r="C1395" i="24"/>
  <c r="C1396" i="24"/>
  <c r="C1397" i="24"/>
  <c r="C1398" i="24"/>
  <c r="C1399" i="24"/>
  <c r="C1400" i="24"/>
  <c r="C1401" i="24"/>
  <c r="C1402" i="24"/>
  <c r="C1403" i="24"/>
  <c r="C1404" i="24"/>
  <c r="C1405" i="24"/>
  <c r="C1406" i="24"/>
  <c r="C1407" i="24"/>
  <c r="C1408" i="24"/>
  <c r="C1409" i="24"/>
  <c r="C1410" i="24"/>
  <c r="C1411" i="24"/>
  <c r="C1412" i="24"/>
  <c r="C1413" i="24"/>
  <c r="C1414" i="24"/>
  <c r="C1415" i="24"/>
  <c r="C1416" i="24"/>
  <c r="C1417" i="24"/>
  <c r="C1418" i="24"/>
  <c r="C1419" i="24"/>
  <c r="C1420" i="24"/>
  <c r="C1421" i="24"/>
  <c r="C1422" i="24"/>
  <c r="C1423" i="24"/>
  <c r="C1424" i="24"/>
  <c r="C1425" i="24"/>
  <c r="C1426" i="24"/>
  <c r="C1427" i="24"/>
  <c r="C1428" i="24"/>
  <c r="C1429" i="24"/>
  <c r="C1430" i="24"/>
  <c r="C1431" i="24"/>
  <c r="C1432" i="24"/>
  <c r="C1433" i="24"/>
  <c r="C1434" i="24"/>
  <c r="C1435" i="24"/>
  <c r="C1436" i="24"/>
  <c r="C1437" i="24"/>
  <c r="C1438" i="24"/>
  <c r="C1439" i="24"/>
  <c r="C1440" i="24"/>
  <c r="C1441" i="24"/>
  <c r="C1442" i="24"/>
  <c r="C1443" i="24"/>
  <c r="C1444" i="24"/>
  <c r="C1445" i="24"/>
  <c r="C1446" i="24"/>
  <c r="C1447" i="24"/>
  <c r="C1448" i="24"/>
  <c r="C1449" i="24"/>
  <c r="C1450" i="24"/>
  <c r="C1451" i="24"/>
  <c r="C1452" i="24"/>
  <c r="C1453" i="24"/>
  <c r="C1454" i="24"/>
  <c r="C1455" i="24"/>
  <c r="C1456" i="24"/>
  <c r="C1457" i="24"/>
  <c r="C1458" i="24"/>
  <c r="C1459" i="24"/>
  <c r="C1460" i="24"/>
  <c r="C1461" i="24"/>
  <c r="C1462" i="24"/>
  <c r="C1463" i="24"/>
  <c r="C1464" i="24"/>
  <c r="C1465" i="24"/>
  <c r="C1466" i="24"/>
  <c r="C1467" i="24"/>
  <c r="C1468" i="24"/>
  <c r="C1469" i="24"/>
  <c r="C1470" i="24"/>
  <c r="C1471" i="24"/>
  <c r="C1472" i="24"/>
  <c r="C1473" i="24"/>
  <c r="C2" i="24"/>
  <c r="A13" i="20"/>
  <c r="B13" i="20" s="1"/>
  <c r="A12" i="20"/>
  <c r="B12" i="20" s="1"/>
  <c r="A11" i="20"/>
  <c r="B11" i="20" s="1"/>
  <c r="A10" i="20"/>
  <c r="B10" i="20" s="1"/>
  <c r="A9" i="20"/>
  <c r="B9" i="20" s="1"/>
  <c r="A8" i="20"/>
  <c r="B8" i="20" s="1"/>
  <c r="A7" i="20"/>
  <c r="B7" i="20" s="1"/>
  <c r="A6" i="20"/>
  <c r="B6" i="20" s="1"/>
  <c r="A5" i="20"/>
  <c r="B5" i="20" s="1"/>
  <c r="A4" i="20"/>
  <c r="B4" i="20" s="1"/>
  <c r="A3" i="20"/>
  <c r="B3" i="20" s="1"/>
  <c r="A2" i="20"/>
  <c r="B2" i="20" s="1"/>
  <c r="AO2" i="1"/>
  <c r="AO3" i="1"/>
  <c r="AO4" i="1"/>
  <c r="AO5" i="1"/>
  <c r="AO6" i="1"/>
  <c r="AO7" i="1"/>
  <c r="AO8" i="1"/>
  <c r="AO9" i="1"/>
  <c r="AO10" i="1"/>
  <c r="AO11" i="1"/>
  <c r="AO12" i="1"/>
  <c r="AO13" i="1"/>
  <c r="AO14" i="1"/>
  <c r="AO15" i="1"/>
  <c r="AO16" i="1"/>
  <c r="AO17" i="1"/>
  <c r="AO18" i="1"/>
  <c r="AO19" i="1"/>
  <c r="AO20" i="1"/>
  <c r="AO21" i="1"/>
  <c r="AO22" i="1"/>
  <c r="AO23" i="1"/>
  <c r="AO24" i="1"/>
  <c r="AO25" i="1"/>
  <c r="AO26" i="1"/>
  <c r="AO27" i="1"/>
  <c r="AO28" i="1"/>
  <c r="AO29" i="1"/>
  <c r="AO30" i="1"/>
  <c r="AO31" i="1"/>
  <c r="AO32" i="1"/>
  <c r="AO33" i="1"/>
  <c r="AO34" i="1"/>
  <c r="AO35" i="1"/>
  <c r="AO36" i="1"/>
  <c r="AO37" i="1"/>
  <c r="AO38" i="1"/>
  <c r="AO39" i="1"/>
  <c r="AO40" i="1"/>
  <c r="AO41" i="1"/>
  <c r="AO42" i="1"/>
  <c r="AO43" i="1"/>
  <c r="AO44" i="1"/>
  <c r="AO45" i="1"/>
  <c r="AO46" i="1"/>
  <c r="AO47" i="1"/>
  <c r="AO48" i="1"/>
  <c r="AO49" i="1"/>
  <c r="AO50" i="1"/>
  <c r="AO51" i="1"/>
  <c r="AO52" i="1"/>
  <c r="AO53" i="1"/>
  <c r="AO54" i="1"/>
  <c r="AO55" i="1"/>
  <c r="AO56" i="1"/>
  <c r="AO57" i="1"/>
  <c r="AO58" i="1"/>
  <c r="AO59" i="1"/>
  <c r="AO60" i="1"/>
  <c r="AO61" i="1"/>
  <c r="AO62" i="1"/>
  <c r="AO63" i="1"/>
  <c r="O3" i="17"/>
  <c r="A13" i="15"/>
  <c r="C13" i="15" s="1"/>
  <c r="A12" i="15"/>
  <c r="C12" i="15" s="1"/>
  <c r="A11" i="15"/>
  <c r="C11" i="15" s="1"/>
  <c r="A10" i="15"/>
  <c r="C10" i="15" s="1"/>
  <c r="A9" i="15"/>
  <c r="C9" i="15" s="1"/>
  <c r="A8" i="15"/>
  <c r="C8" i="15" s="1"/>
  <c r="A7" i="15"/>
  <c r="C7" i="15" s="1"/>
  <c r="A6" i="15"/>
  <c r="C6" i="15" s="1"/>
  <c r="A5" i="15"/>
  <c r="C5" i="15" s="1"/>
  <c r="A4" i="15"/>
  <c r="C4" i="15" s="1"/>
  <c r="A3" i="15"/>
  <c r="C3" i="15" s="1"/>
  <c r="A2" i="15"/>
  <c r="C2" i="15" s="1"/>
  <c r="A13" i="14"/>
  <c r="B13" i="14" s="1"/>
  <c r="A12" i="14"/>
  <c r="B12" i="14" s="1"/>
  <c r="A11" i="14"/>
  <c r="E11" i="14" s="1"/>
  <c r="A10" i="14"/>
  <c r="D10" i="14" s="1"/>
  <c r="A9" i="14"/>
  <c r="C9" i="14" s="1"/>
  <c r="A8" i="14"/>
  <c r="B8" i="14" s="1"/>
  <c r="A7" i="14"/>
  <c r="E7" i="14" s="1"/>
  <c r="A6" i="14"/>
  <c r="D6" i="14" s="1"/>
  <c r="A5" i="14"/>
  <c r="D5" i="14" s="1"/>
  <c r="A4" i="14"/>
  <c r="B4" i="14" s="1"/>
  <c r="A3" i="14"/>
  <c r="E3" i="14" s="1"/>
  <c r="A2" i="14"/>
  <c r="D2" i="14" s="1"/>
  <c r="A13" i="11"/>
  <c r="C13" i="11" s="1"/>
  <c r="A12" i="11"/>
  <c r="B12" i="11" s="1"/>
  <c r="A11" i="11"/>
  <c r="D11" i="11" s="1"/>
  <c r="A10" i="11"/>
  <c r="D10" i="11" s="1"/>
  <c r="A9" i="11"/>
  <c r="B9" i="11" s="1"/>
  <c r="A8" i="11"/>
  <c r="C8" i="11" s="1"/>
  <c r="A7" i="11"/>
  <c r="B7" i="11" s="1"/>
  <c r="A6" i="11"/>
  <c r="D6" i="11" s="1"/>
  <c r="A5" i="11"/>
  <c r="D5" i="11" s="1"/>
  <c r="A4" i="11"/>
  <c r="D4" i="11" s="1"/>
  <c r="A3" i="11"/>
  <c r="C3" i="11" s="1"/>
  <c r="A2" i="11"/>
  <c r="B2" i="11" s="1"/>
  <c r="A13" i="9"/>
  <c r="D13" i="9" s="1"/>
  <c r="A12" i="9"/>
  <c r="C12" i="9" s="1"/>
  <c r="A11" i="9"/>
  <c r="D11" i="9" s="1"/>
  <c r="A10" i="9"/>
  <c r="C10" i="9" s="1"/>
  <c r="A9" i="9"/>
  <c r="C9" i="9" s="1"/>
  <c r="A8" i="9"/>
  <c r="D8" i="9" s="1"/>
  <c r="A7" i="9"/>
  <c r="D7" i="9" s="1"/>
  <c r="A6" i="9"/>
  <c r="D6" i="9" s="1"/>
  <c r="A5" i="9"/>
  <c r="C5" i="9" s="1"/>
  <c r="A4" i="9"/>
  <c r="A3" i="9"/>
  <c r="A2" i="9"/>
  <c r="A16" i="8"/>
  <c r="A15" i="8"/>
  <c r="N15" i="8" s="1"/>
  <c r="A14" i="8"/>
  <c r="A13" i="8"/>
  <c r="A12" i="8"/>
  <c r="A11" i="8"/>
  <c r="A10" i="8"/>
  <c r="A9" i="8"/>
  <c r="A8" i="8"/>
  <c r="A7" i="8"/>
  <c r="N7" i="8" s="1"/>
  <c r="A6" i="8"/>
  <c r="N6" i="8" s="1"/>
  <c r="A5" i="8"/>
  <c r="A16" i="7"/>
  <c r="A15" i="7"/>
  <c r="A14" i="7"/>
  <c r="A13" i="7"/>
  <c r="A12" i="7"/>
  <c r="A11" i="7"/>
  <c r="A10" i="7"/>
  <c r="A9" i="7"/>
  <c r="A8" i="7"/>
  <c r="A7" i="7"/>
  <c r="A6" i="7"/>
  <c r="A5" i="7"/>
  <c r="B4" i="13"/>
  <c r="B2" i="13"/>
  <c r="B8" i="13"/>
  <c r="B3" i="13"/>
  <c r="B6" i="13"/>
  <c r="B5" i="13"/>
  <c r="B10" i="13"/>
  <c r="B7" i="13"/>
  <c r="B9" i="13"/>
  <c r="G3" i="6"/>
  <c r="G4" i="6"/>
  <c r="G5" i="6"/>
  <c r="G6" i="6"/>
  <c r="G7" i="6"/>
  <c r="G8" i="6"/>
  <c r="G9" i="6"/>
  <c r="G10" i="6"/>
  <c r="G11" i="6"/>
  <c r="G12" i="6"/>
  <c r="G13" i="6"/>
  <c r="G14" i="6"/>
  <c r="G15" i="6"/>
  <c r="G16" i="6"/>
  <c r="G17" i="6"/>
  <c r="G18" i="6"/>
  <c r="G19" i="6"/>
  <c r="G20" i="6"/>
  <c r="G21" i="6"/>
  <c r="G22" i="6"/>
  <c r="G23" i="6"/>
  <c r="X3" i="3" a="1"/>
  <c r="B12" i="9" l="1"/>
  <c r="G4" i="26"/>
  <c r="I4" i="26" s="1"/>
  <c r="F3" i="20"/>
  <c r="F7" i="20"/>
  <c r="F11" i="20"/>
  <c r="F15" i="20"/>
  <c r="F19" i="20"/>
  <c r="F23" i="20"/>
  <c r="F27" i="20"/>
  <c r="F31" i="20"/>
  <c r="F35" i="20"/>
  <c r="F39" i="20"/>
  <c r="F43" i="20"/>
  <c r="F47" i="20"/>
  <c r="F51" i="20"/>
  <c r="F55" i="20"/>
  <c r="F59" i="20"/>
  <c r="F63" i="20"/>
  <c r="F67" i="20"/>
  <c r="F4" i="25"/>
  <c r="F8" i="25"/>
  <c r="F12" i="25"/>
  <c r="F16" i="25"/>
  <c r="F20" i="25"/>
  <c r="F24" i="25"/>
  <c r="F28" i="25"/>
  <c r="F32" i="25"/>
  <c r="F36" i="25"/>
  <c r="F40" i="25"/>
  <c r="F44" i="25"/>
  <c r="F48" i="25"/>
  <c r="F52" i="25"/>
  <c r="F56" i="25"/>
  <c r="F60" i="25"/>
  <c r="F64" i="25"/>
  <c r="F68" i="25"/>
  <c r="F67" i="25"/>
  <c r="F4" i="20"/>
  <c r="F8" i="20"/>
  <c r="F12" i="20"/>
  <c r="F16" i="20"/>
  <c r="F20" i="20"/>
  <c r="F24" i="20"/>
  <c r="F28" i="20"/>
  <c r="F32" i="20"/>
  <c r="F36" i="20"/>
  <c r="F40" i="20"/>
  <c r="F44" i="20"/>
  <c r="F48" i="20"/>
  <c r="F52" i="20"/>
  <c r="F56" i="20"/>
  <c r="F60" i="20"/>
  <c r="F64" i="20"/>
  <c r="F68" i="20"/>
  <c r="F5" i="25"/>
  <c r="F9" i="25"/>
  <c r="F13" i="25"/>
  <c r="F17" i="25"/>
  <c r="F21" i="25"/>
  <c r="F25" i="25"/>
  <c r="F29" i="25"/>
  <c r="F33" i="25"/>
  <c r="F37" i="25"/>
  <c r="F41" i="25"/>
  <c r="F45" i="25"/>
  <c r="F49" i="25"/>
  <c r="F53" i="25"/>
  <c r="F57" i="25"/>
  <c r="F61" i="25"/>
  <c r="F65" i="25"/>
  <c r="F2" i="25"/>
  <c r="F6" i="20"/>
  <c r="F18" i="20"/>
  <c r="F22" i="20"/>
  <c r="F34" i="20"/>
  <c r="F38" i="20"/>
  <c r="F46" i="20"/>
  <c r="F58" i="20"/>
  <c r="F62" i="20"/>
  <c r="F3" i="25"/>
  <c r="F15" i="25"/>
  <c r="F19" i="25"/>
  <c r="F31" i="25"/>
  <c r="F35" i="25"/>
  <c r="F47" i="25"/>
  <c r="F51" i="25"/>
  <c r="F59" i="25"/>
  <c r="F5" i="20"/>
  <c r="F9" i="20"/>
  <c r="F13" i="20"/>
  <c r="F17" i="20"/>
  <c r="F21" i="20"/>
  <c r="F25" i="20"/>
  <c r="F29" i="20"/>
  <c r="F33" i="20"/>
  <c r="F37" i="20"/>
  <c r="F41" i="20"/>
  <c r="F45" i="20"/>
  <c r="F49" i="20"/>
  <c r="F53" i="20"/>
  <c r="F57" i="20"/>
  <c r="F61" i="20"/>
  <c r="F65" i="20"/>
  <c r="F2" i="20"/>
  <c r="F6" i="25"/>
  <c r="F10" i="25"/>
  <c r="F14" i="25"/>
  <c r="F18" i="25"/>
  <c r="F22" i="25"/>
  <c r="F26" i="25"/>
  <c r="F30" i="25"/>
  <c r="F34" i="25"/>
  <c r="F38" i="25"/>
  <c r="F42" i="25"/>
  <c r="F46" i="25"/>
  <c r="F50" i="25"/>
  <c r="F54" i="25"/>
  <c r="F58" i="25"/>
  <c r="F62" i="25"/>
  <c r="F66" i="25"/>
  <c r="F10" i="20"/>
  <c r="F14" i="20"/>
  <c r="F26" i="20"/>
  <c r="F30" i="20"/>
  <c r="F42" i="20"/>
  <c r="F50" i="20"/>
  <c r="F54" i="20"/>
  <c r="F66" i="20"/>
  <c r="F7" i="25"/>
  <c r="F11" i="25"/>
  <c r="F23" i="25"/>
  <c r="F27" i="25"/>
  <c r="F39" i="25"/>
  <c r="F43" i="25"/>
  <c r="F55" i="25"/>
  <c r="F63" i="25"/>
  <c r="B5" i="9"/>
  <c r="N8" i="8"/>
  <c r="B9" i="9"/>
  <c r="N12" i="8"/>
  <c r="B13" i="9"/>
  <c r="N16" i="8"/>
  <c r="B5" i="8"/>
  <c r="N5" i="8"/>
  <c r="B6" i="9"/>
  <c r="N9" i="8"/>
  <c r="B10" i="9"/>
  <c r="N13" i="8"/>
  <c r="B7" i="9"/>
  <c r="N10" i="8"/>
  <c r="B11" i="9"/>
  <c r="N14" i="8"/>
  <c r="B8" i="9"/>
  <c r="N11" i="8"/>
  <c r="B5" i="11"/>
  <c r="D7" i="11"/>
  <c r="C11" i="14"/>
  <c r="C7" i="11"/>
  <c r="B11" i="14"/>
  <c r="C11" i="9"/>
  <c r="B11" i="11"/>
  <c r="D7" i="14"/>
  <c r="C7" i="9"/>
  <c r="C6" i="18"/>
  <c r="B3" i="18"/>
  <c r="C8" i="18"/>
  <c r="C4" i="18"/>
  <c r="B4" i="18"/>
  <c r="B2" i="18"/>
  <c r="C7" i="18"/>
  <c r="C5" i="18"/>
  <c r="C3" i="18"/>
  <c r="C5" i="19"/>
  <c r="B8" i="18"/>
  <c r="B6" i="18"/>
  <c r="C2" i="18"/>
  <c r="B7" i="18"/>
  <c r="B5" i="18"/>
  <c r="D10" i="9"/>
  <c r="D12" i="14"/>
  <c r="B8" i="11"/>
  <c r="B22" i="19"/>
  <c r="B18" i="19"/>
  <c r="B14" i="19"/>
  <c r="B10" i="19"/>
  <c r="B6" i="19"/>
  <c r="B2" i="19"/>
  <c r="C23" i="19"/>
  <c r="C19" i="19"/>
  <c r="C15" i="19"/>
  <c r="C11" i="19"/>
  <c r="C7" i="19"/>
  <c r="C3" i="19"/>
  <c r="B25" i="19"/>
  <c r="B21" i="19"/>
  <c r="B17" i="19"/>
  <c r="B13" i="19"/>
  <c r="B9" i="19"/>
  <c r="B5" i="19"/>
  <c r="C2" i="19"/>
  <c r="C22" i="19"/>
  <c r="C18" i="19"/>
  <c r="C14" i="19"/>
  <c r="C10" i="19"/>
  <c r="C6" i="19"/>
  <c r="B23" i="19"/>
  <c r="B19" i="19"/>
  <c r="B15" i="19"/>
  <c r="B11" i="19"/>
  <c r="B7" i="19"/>
  <c r="B3" i="19"/>
  <c r="C24" i="19"/>
  <c r="C20" i="19"/>
  <c r="C16" i="19"/>
  <c r="C12" i="19"/>
  <c r="C8" i="19"/>
  <c r="C4" i="19"/>
  <c r="B24" i="19"/>
  <c r="B20" i="19"/>
  <c r="B16" i="19"/>
  <c r="B12" i="19"/>
  <c r="B8" i="19"/>
  <c r="B4" i="19"/>
  <c r="C25" i="19"/>
  <c r="C21" i="19"/>
  <c r="C17" i="19"/>
  <c r="C13" i="19"/>
  <c r="C9" i="19"/>
  <c r="C8" i="9"/>
  <c r="C11" i="11"/>
  <c r="D3" i="11"/>
  <c r="B3" i="14"/>
  <c r="C8" i="14"/>
  <c r="E8" i="18"/>
  <c r="C5" i="11"/>
  <c r="D11" i="14"/>
  <c r="X3" i="3"/>
  <c r="C12" i="11"/>
  <c r="B13" i="11"/>
  <c r="D9" i="11"/>
  <c r="E13" i="14"/>
  <c r="D9" i="9"/>
  <c r="D13" i="14"/>
  <c r="E9" i="14"/>
  <c r="C5" i="14"/>
  <c r="C13" i="9"/>
  <c r="B9" i="14"/>
  <c r="D9" i="14"/>
  <c r="O4" i="17"/>
  <c r="D4" i="14"/>
  <c r="D12" i="9"/>
  <c r="C4" i="11"/>
  <c r="D8" i="11"/>
  <c r="C12" i="14"/>
  <c r="D5" i="9"/>
  <c r="B4" i="11"/>
  <c r="C9" i="11"/>
  <c r="D13" i="11"/>
  <c r="B5" i="14"/>
  <c r="C13" i="14"/>
  <c r="E5" i="14"/>
  <c r="C4" i="14"/>
  <c r="D12" i="11"/>
  <c r="E12" i="14"/>
  <c r="E8" i="14"/>
  <c r="N4" i="17"/>
  <c r="O5" i="17"/>
  <c r="N5" i="17"/>
  <c r="C5" i="13"/>
  <c r="C2" i="13"/>
  <c r="C7" i="13"/>
  <c r="C6" i="13"/>
  <c r="C10" i="13"/>
  <c r="C8" i="13"/>
  <c r="B2" i="15"/>
  <c r="D2" i="15" s="1"/>
  <c r="B4" i="15"/>
  <c r="D4" i="15" s="1"/>
  <c r="B6" i="15"/>
  <c r="D6" i="15" s="1"/>
  <c r="B8" i="15"/>
  <c r="D8" i="15" s="1"/>
  <c r="B10" i="15"/>
  <c r="D10" i="15" s="1"/>
  <c r="B12" i="15"/>
  <c r="D12" i="15" s="1"/>
  <c r="C14" i="15"/>
  <c r="B3" i="15"/>
  <c r="D3" i="15" s="1"/>
  <c r="B5" i="15"/>
  <c r="D5" i="15" s="1"/>
  <c r="B7" i="15"/>
  <c r="D7" i="15" s="1"/>
  <c r="B9" i="15"/>
  <c r="D9" i="15" s="1"/>
  <c r="B11" i="15"/>
  <c r="D11" i="15" s="1"/>
  <c r="B13" i="15"/>
  <c r="D13" i="15" s="1"/>
  <c r="C3" i="13"/>
  <c r="C9" i="13"/>
  <c r="C4" i="13"/>
  <c r="C2" i="12"/>
  <c r="B3" i="11"/>
  <c r="E2" i="14"/>
  <c r="B7" i="14"/>
  <c r="C10" i="14"/>
  <c r="C7" i="14"/>
  <c r="D3" i="14"/>
  <c r="D8" i="14"/>
  <c r="C6" i="14"/>
  <c r="E4" i="14"/>
  <c r="C3" i="14"/>
  <c r="C2" i="14"/>
  <c r="E10" i="14"/>
  <c r="B10" i="14"/>
  <c r="B6" i="14"/>
  <c r="B2" i="14"/>
  <c r="E6" i="14"/>
  <c r="B10" i="11"/>
  <c r="B6" i="11"/>
  <c r="C2" i="11"/>
  <c r="C10" i="11"/>
  <c r="C6" i="11"/>
  <c r="D2" i="11"/>
  <c r="C6" i="9"/>
  <c r="E6" i="19" l="1"/>
  <c r="E22" i="19"/>
  <c r="E6" i="18"/>
  <c r="F11" i="14"/>
  <c r="E16" i="19"/>
  <c r="E15" i="19"/>
  <c r="E7" i="18"/>
  <c r="E2" i="18"/>
  <c r="E3" i="18"/>
  <c r="E18" i="19"/>
  <c r="E5" i="19"/>
  <c r="E21" i="19"/>
  <c r="E11" i="19"/>
  <c r="E13" i="19"/>
  <c r="E9" i="19"/>
  <c r="E25" i="19"/>
  <c r="E14" i="19"/>
  <c r="D23" i="19"/>
  <c r="D20" i="19"/>
  <c r="E4" i="18"/>
  <c r="D8" i="18"/>
  <c r="D3" i="18"/>
  <c r="D6" i="18"/>
  <c r="D5" i="18"/>
  <c r="E5" i="18"/>
  <c r="D4" i="18"/>
  <c r="D7" i="18"/>
  <c r="D2" i="18"/>
  <c r="D8" i="19"/>
  <c r="D2" i="19"/>
  <c r="E10" i="19"/>
  <c r="D18" i="19"/>
  <c r="D7" i="19"/>
  <c r="D4" i="19"/>
  <c r="E8" i="19"/>
  <c r="E24" i="19"/>
  <c r="F13" i="14"/>
  <c r="F12" i="14"/>
  <c r="F9" i="14"/>
  <c r="E12" i="19"/>
  <c r="E4" i="19"/>
  <c r="E20" i="19"/>
  <c r="D11" i="19"/>
  <c r="D13" i="19"/>
  <c r="E3" i="19"/>
  <c r="E19" i="19"/>
  <c r="D19" i="19"/>
  <c r="D16" i="19"/>
  <c r="D15" i="19"/>
  <c r="E2" i="19"/>
  <c r="E17" i="19"/>
  <c r="E7" i="19"/>
  <c r="E23" i="19"/>
  <c r="D9" i="19"/>
  <c r="D6" i="19"/>
  <c r="D17" i="19"/>
  <c r="D10" i="19"/>
  <c r="D22" i="19"/>
  <c r="D5" i="19"/>
  <c r="D24" i="19"/>
  <c r="D25" i="19"/>
  <c r="D21" i="19"/>
  <c r="D14" i="19"/>
  <c r="D12" i="19"/>
  <c r="D3" i="19"/>
  <c r="F5" i="14"/>
  <c r="F8" i="14"/>
  <c r="F4" i="14"/>
  <c r="D14" i="14"/>
  <c r="F3" i="14"/>
  <c r="F7" i="14"/>
  <c r="C14" i="14"/>
  <c r="B14" i="15"/>
  <c r="E14" i="14"/>
  <c r="F2" i="14"/>
  <c r="B14" i="14"/>
  <c r="F6" i="14"/>
  <c r="F10" i="14"/>
  <c r="D15" i="14" l="1"/>
  <c r="E15" i="14"/>
  <c r="B15" i="15"/>
  <c r="D14" i="15"/>
  <c r="B15" i="14"/>
  <c r="C15" i="14"/>
  <c r="C15" i="15"/>
  <c r="F14" i="14"/>
  <c r="C6" i="8" l="1" a="1"/>
  <c r="C6" i="8" s="1"/>
  <c r="C7" i="8" a="1"/>
  <c r="C7" i="8" s="1"/>
  <c r="C8" i="8" a="1"/>
  <c r="C8" i="8" s="1"/>
  <c r="C9" i="8" a="1"/>
  <c r="C9" i="8" s="1"/>
  <c r="C10" i="8" a="1"/>
  <c r="C10" i="8" s="1"/>
  <c r="C11" i="8" a="1"/>
  <c r="C11" i="8" s="1"/>
  <c r="C12" i="8" a="1"/>
  <c r="C12" i="8" s="1"/>
  <c r="C13" i="8" a="1"/>
  <c r="C13" i="8" s="1"/>
  <c r="C14" i="8" a="1"/>
  <c r="C14" i="8" s="1"/>
  <c r="C15" i="8" a="1"/>
  <c r="C15" i="8" s="1"/>
  <c r="C16" i="8" a="1"/>
  <c r="C16" i="8" s="1"/>
  <c r="C5" i="8" a="1"/>
  <c r="C5" i="8" s="1"/>
  <c r="AK3" i="1"/>
  <c r="AJ3" i="1" s="1"/>
  <c r="AM3" i="1"/>
  <c r="AK4" i="1"/>
  <c r="AJ4" i="1" s="1"/>
  <c r="AM4" i="1"/>
  <c r="AK5" i="1"/>
  <c r="AJ5" i="1" s="1"/>
  <c r="AM5" i="1"/>
  <c r="AK6" i="1"/>
  <c r="AJ6" i="1" s="1"/>
  <c r="AM6" i="1"/>
  <c r="AK7" i="1"/>
  <c r="AJ7" i="1" s="1"/>
  <c r="AM7" i="1"/>
  <c r="AK8" i="1"/>
  <c r="AJ8" i="1" s="1"/>
  <c r="AM8" i="1"/>
  <c r="AK9" i="1"/>
  <c r="AJ9" i="1" s="1"/>
  <c r="AM9" i="1"/>
  <c r="AK10" i="1"/>
  <c r="AJ10" i="1" s="1"/>
  <c r="AM10" i="1"/>
  <c r="AK11" i="1"/>
  <c r="AJ11" i="1" s="1"/>
  <c r="AM11" i="1"/>
  <c r="AK12" i="1"/>
  <c r="AJ12" i="1" s="1"/>
  <c r="AM12" i="1"/>
  <c r="AK13" i="1"/>
  <c r="AJ13" i="1" s="1"/>
  <c r="AM13" i="1"/>
  <c r="AK14" i="1"/>
  <c r="AJ14" i="1" s="1"/>
  <c r="AM14" i="1"/>
  <c r="AK15" i="1"/>
  <c r="AJ15" i="1" s="1"/>
  <c r="AM15" i="1"/>
  <c r="AK16" i="1"/>
  <c r="AJ16" i="1" s="1"/>
  <c r="AM16" i="1"/>
  <c r="AK17" i="1"/>
  <c r="AN17" i="1" s="1"/>
  <c r="AM17" i="1"/>
  <c r="AK18" i="1"/>
  <c r="AN18" i="1" s="1"/>
  <c r="AM18" i="1"/>
  <c r="AK19" i="1"/>
  <c r="AJ19" i="1" s="1"/>
  <c r="AM19" i="1"/>
  <c r="AK20" i="1"/>
  <c r="AN20" i="1" s="1"/>
  <c r="AM20" i="1"/>
  <c r="AK21" i="1"/>
  <c r="AM21" i="1"/>
  <c r="AK22" i="1"/>
  <c r="AN22" i="1" s="1"/>
  <c r="AM22" i="1"/>
  <c r="AK23" i="1"/>
  <c r="AJ23" i="1" s="1"/>
  <c r="AM23" i="1"/>
  <c r="AK24" i="1"/>
  <c r="AN24" i="1" s="1"/>
  <c r="AM24" i="1"/>
  <c r="AK25" i="1"/>
  <c r="AN25" i="1" s="1"/>
  <c r="AM25" i="1"/>
  <c r="AK26" i="1"/>
  <c r="AJ26" i="1" s="1"/>
  <c r="AM26" i="1"/>
  <c r="AK27" i="1"/>
  <c r="AJ27" i="1" s="1"/>
  <c r="AM27" i="1"/>
  <c r="AK28" i="1"/>
  <c r="AJ28" i="1" s="1"/>
  <c r="AM28" i="1"/>
  <c r="AK29" i="1"/>
  <c r="AM29" i="1"/>
  <c r="AK30" i="1"/>
  <c r="AJ30" i="1" s="1"/>
  <c r="AM30" i="1"/>
  <c r="AK31" i="1"/>
  <c r="AJ31" i="1" s="1"/>
  <c r="AM31" i="1"/>
  <c r="AK32" i="1"/>
  <c r="AJ32" i="1" s="1"/>
  <c r="AM32" i="1"/>
  <c r="AK33" i="1"/>
  <c r="AJ33" i="1" s="1"/>
  <c r="AM33" i="1"/>
  <c r="AK34" i="1"/>
  <c r="AJ34" i="1" s="1"/>
  <c r="AM34" i="1"/>
  <c r="AK35" i="1"/>
  <c r="AJ35" i="1" s="1"/>
  <c r="AM35" i="1"/>
  <c r="AK36" i="1"/>
  <c r="AJ36" i="1" s="1"/>
  <c r="AM36" i="1"/>
  <c r="AK37" i="1"/>
  <c r="AJ37" i="1" s="1"/>
  <c r="AM37" i="1"/>
  <c r="AK38" i="1"/>
  <c r="AJ38" i="1" s="1"/>
  <c r="AM38" i="1"/>
  <c r="AK39" i="1"/>
  <c r="AJ39" i="1" s="1"/>
  <c r="AM39" i="1"/>
  <c r="AK40" i="1"/>
  <c r="AJ40" i="1" s="1"/>
  <c r="AM40" i="1"/>
  <c r="AK41" i="1"/>
  <c r="AJ41" i="1" s="1"/>
  <c r="AM41" i="1"/>
  <c r="AK42" i="1"/>
  <c r="AJ42" i="1" s="1"/>
  <c r="AM42" i="1"/>
  <c r="AK43" i="1"/>
  <c r="AJ43" i="1" s="1"/>
  <c r="AM43" i="1"/>
  <c r="AK44" i="1"/>
  <c r="AJ44" i="1" s="1"/>
  <c r="AM44" i="1"/>
  <c r="AK45" i="1"/>
  <c r="AJ45" i="1" s="1"/>
  <c r="AM45" i="1"/>
  <c r="AK46" i="1"/>
  <c r="AJ46" i="1" s="1"/>
  <c r="AM46" i="1"/>
  <c r="AK47" i="1"/>
  <c r="AJ47" i="1" s="1"/>
  <c r="AM47" i="1"/>
  <c r="AK48" i="1"/>
  <c r="AJ48" i="1" s="1"/>
  <c r="AM48" i="1"/>
  <c r="AK49" i="1"/>
  <c r="AJ49" i="1" s="1"/>
  <c r="AM49" i="1"/>
  <c r="AK50" i="1"/>
  <c r="AJ50" i="1" s="1"/>
  <c r="AM50" i="1"/>
  <c r="AK51" i="1"/>
  <c r="AJ51" i="1" s="1"/>
  <c r="AM51" i="1"/>
  <c r="AK52" i="1"/>
  <c r="AJ52" i="1" s="1"/>
  <c r="AM52" i="1"/>
  <c r="AK53" i="1"/>
  <c r="AJ53" i="1" s="1"/>
  <c r="AM53" i="1"/>
  <c r="AK54" i="1"/>
  <c r="AJ54" i="1" s="1"/>
  <c r="AM54" i="1"/>
  <c r="AK55" i="1"/>
  <c r="AJ55" i="1" s="1"/>
  <c r="AM55" i="1"/>
  <c r="AK56" i="1"/>
  <c r="AJ56" i="1" s="1"/>
  <c r="AM56" i="1"/>
  <c r="AK57" i="1"/>
  <c r="AM57" i="1"/>
  <c r="AK58" i="1"/>
  <c r="AJ58" i="1" s="1"/>
  <c r="AM58" i="1"/>
  <c r="AK59" i="1"/>
  <c r="AJ59" i="1" s="1"/>
  <c r="AM59" i="1"/>
  <c r="AK60" i="1"/>
  <c r="AJ60" i="1" s="1"/>
  <c r="AM60" i="1"/>
  <c r="AK61" i="1"/>
  <c r="AJ61" i="1" s="1"/>
  <c r="AM61" i="1"/>
  <c r="AK62" i="1"/>
  <c r="AJ62" i="1" s="1"/>
  <c r="AM62" i="1"/>
  <c r="AK63" i="1"/>
  <c r="AJ63" i="1" s="1"/>
  <c r="AM63" i="1"/>
  <c r="H6" i="7"/>
  <c r="H7" i="7"/>
  <c r="H8" i="7"/>
  <c r="H9" i="7"/>
  <c r="H10" i="7"/>
  <c r="H11" i="7"/>
  <c r="H12" i="7"/>
  <c r="H13" i="7"/>
  <c r="H14" i="7"/>
  <c r="H15" i="7"/>
  <c r="H16" i="7"/>
  <c r="H5" i="7"/>
  <c r="AN26" i="1" l="1"/>
  <c r="AN62" i="1"/>
  <c r="AN52" i="1"/>
  <c r="AN50" i="1"/>
  <c r="AN48" i="1"/>
  <c r="AN46" i="1"/>
  <c r="AN40" i="1"/>
  <c r="AN38" i="1"/>
  <c r="AN34" i="1"/>
  <c r="AN30" i="1"/>
  <c r="AN28" i="1"/>
  <c r="AN55" i="1"/>
  <c r="AN45" i="1"/>
  <c r="AN43" i="1"/>
  <c r="AN39" i="1"/>
  <c r="AN37" i="1"/>
  <c r="AN33" i="1"/>
  <c r="AN31" i="1"/>
  <c r="AN27" i="1"/>
  <c r="AN63" i="1"/>
  <c r="AN47" i="1"/>
  <c r="AN41" i="1"/>
  <c r="AN61" i="1"/>
  <c r="AN51" i="1"/>
  <c r="AN29" i="1"/>
  <c r="AN21" i="1"/>
  <c r="AN58" i="1"/>
  <c r="AN54" i="1"/>
  <c r="AN44" i="1"/>
  <c r="AN32" i="1"/>
  <c r="AN59" i="1"/>
  <c r="AN53" i="1"/>
  <c r="AN60" i="1"/>
  <c r="AN56" i="1"/>
  <c r="AN42" i="1"/>
  <c r="AN36" i="1"/>
  <c r="AN57" i="1"/>
  <c r="AN49" i="1"/>
  <c r="AN35" i="1"/>
  <c r="AN16" i="1"/>
  <c r="AN12" i="1"/>
  <c r="C2" i="23" s="1"/>
  <c r="AN8" i="1"/>
  <c r="AN14" i="1"/>
  <c r="AN10" i="1"/>
  <c r="AN6" i="1"/>
  <c r="AN23" i="1"/>
  <c r="AN19" i="1"/>
  <c r="AN15" i="1"/>
  <c r="AN13" i="1"/>
  <c r="AN11" i="1"/>
  <c r="AN9" i="1"/>
  <c r="AN7" i="1"/>
  <c r="AN5" i="1"/>
  <c r="AN4" i="1"/>
  <c r="AN3" i="1"/>
  <c r="D2" i="9" l="1"/>
  <c r="B3" i="26"/>
  <c r="D3" i="26" s="1"/>
  <c r="B13" i="26"/>
  <c r="D13" i="26" s="1"/>
  <c r="B4" i="26"/>
  <c r="D4" i="26" s="1"/>
  <c r="B7" i="26"/>
  <c r="D7" i="26" s="1"/>
  <c r="B8" i="26"/>
  <c r="D8" i="26" s="1"/>
  <c r="B11" i="26"/>
  <c r="D11" i="26" s="1"/>
  <c r="B5" i="26"/>
  <c r="D5" i="26" s="1"/>
  <c r="B12" i="26"/>
  <c r="D12" i="26" s="1"/>
  <c r="B9" i="26"/>
  <c r="D9" i="26" s="1"/>
  <c r="B6" i="26"/>
  <c r="D6" i="26" s="1"/>
  <c r="B10" i="26"/>
  <c r="D10" i="26" s="1"/>
  <c r="B2" i="26"/>
  <c r="D2" i="26" s="1"/>
  <c r="G2" i="26"/>
  <c r="I2" i="26" s="1"/>
  <c r="L6" i="8"/>
  <c r="L7" i="8"/>
  <c r="L8" i="8"/>
  <c r="L9" i="8"/>
  <c r="L10" i="8"/>
  <c r="L11" i="8"/>
  <c r="L12" i="8"/>
  <c r="L13" i="8"/>
  <c r="L14" i="8"/>
  <c r="L15" i="8"/>
  <c r="L16" i="8"/>
  <c r="L5" i="8"/>
  <c r="K5" i="8"/>
  <c r="K6" i="8"/>
  <c r="K7" i="8"/>
  <c r="K8" i="8"/>
  <c r="K9" i="8"/>
  <c r="K10" i="8"/>
  <c r="K11" i="8"/>
  <c r="K12" i="8"/>
  <c r="K13" i="8"/>
  <c r="K14" i="8"/>
  <c r="K15" i="8"/>
  <c r="K16" i="8"/>
  <c r="J8" i="8"/>
  <c r="J9" i="8"/>
  <c r="J10" i="8"/>
  <c r="J11" i="8"/>
  <c r="J12" i="8"/>
  <c r="J13" i="8"/>
  <c r="J14" i="8"/>
  <c r="J15" i="8"/>
  <c r="J16" i="8"/>
  <c r="I5" i="8"/>
  <c r="I6" i="8"/>
  <c r="I7" i="8"/>
  <c r="I8" i="8"/>
  <c r="I9" i="8"/>
  <c r="I10" i="8"/>
  <c r="I11" i="8"/>
  <c r="I12" i="8"/>
  <c r="I13" i="8"/>
  <c r="I14" i="8"/>
  <c r="I15" i="8"/>
  <c r="I16" i="8"/>
  <c r="H8" i="8"/>
  <c r="H9" i="8"/>
  <c r="H10" i="8"/>
  <c r="H11" i="8"/>
  <c r="H12" i="8"/>
  <c r="H13" i="8"/>
  <c r="H14" i="8"/>
  <c r="H15" i="8"/>
  <c r="H16" i="8"/>
  <c r="G8" i="8"/>
  <c r="G9" i="8"/>
  <c r="G10" i="8"/>
  <c r="G11" i="8"/>
  <c r="G12" i="8"/>
  <c r="G13" i="8"/>
  <c r="G14" i="8"/>
  <c r="G15" i="8"/>
  <c r="G16" i="8"/>
  <c r="F8" i="8"/>
  <c r="F9" i="8"/>
  <c r="F10" i="8"/>
  <c r="F11" i="8"/>
  <c r="F12" i="8"/>
  <c r="F13" i="8"/>
  <c r="F14" i="8"/>
  <c r="F15" i="8"/>
  <c r="F16" i="8"/>
  <c r="E5" i="8"/>
  <c r="E6" i="8"/>
  <c r="E7" i="8"/>
  <c r="E8" i="8"/>
  <c r="E9" i="8"/>
  <c r="E10" i="8"/>
  <c r="E11" i="8"/>
  <c r="E12" i="8"/>
  <c r="E13" i="8"/>
  <c r="E14" i="8"/>
  <c r="E15" i="8"/>
  <c r="E16" i="8"/>
  <c r="D8" i="8"/>
  <c r="D9" i="8"/>
  <c r="D10" i="8"/>
  <c r="D11" i="8"/>
  <c r="D12" i="8"/>
  <c r="D13" i="8"/>
  <c r="D14" i="8"/>
  <c r="D15" i="8"/>
  <c r="D16" i="8"/>
  <c r="AK2" i="1"/>
  <c r="B6" i="8"/>
  <c r="B7" i="8"/>
  <c r="B8" i="8"/>
  <c r="B9" i="8"/>
  <c r="B10" i="8"/>
  <c r="B11" i="8"/>
  <c r="B12" i="8"/>
  <c r="B13" i="8"/>
  <c r="B14" i="8"/>
  <c r="B15" i="8"/>
  <c r="B16" i="8"/>
  <c r="B3" i="8"/>
  <c r="B3" i="7"/>
  <c r="B2" i="8"/>
  <c r="B2" i="7"/>
  <c r="AM2" i="1"/>
  <c r="G5" i="26" l="1"/>
  <c r="I5" i="26" s="1"/>
  <c r="C3" i="9"/>
  <c r="D3" i="9"/>
  <c r="C4" i="9"/>
  <c r="D4" i="9"/>
  <c r="C4" i="17"/>
  <c r="C6" i="17"/>
  <c r="C8" i="17"/>
  <c r="C10" i="17"/>
  <c r="C12" i="17"/>
  <c r="C14" i="17"/>
  <c r="C16" i="17"/>
  <c r="C18" i="17"/>
  <c r="C20" i="17"/>
  <c r="C22" i="17"/>
  <c r="C24" i="17"/>
  <c r="C26" i="17"/>
  <c r="C28" i="17"/>
  <c r="C30" i="17"/>
  <c r="C32" i="17"/>
  <c r="C34" i="17"/>
  <c r="C36" i="17"/>
  <c r="C38" i="17"/>
  <c r="C40" i="17"/>
  <c r="C42" i="17"/>
  <c r="C44" i="17"/>
  <c r="C46" i="17"/>
  <c r="C48" i="17"/>
  <c r="C50" i="17"/>
  <c r="C52" i="17"/>
  <c r="C54" i="17"/>
  <c r="C56" i="17"/>
  <c r="C58" i="17"/>
  <c r="C60" i="17"/>
  <c r="C62" i="17"/>
  <c r="C64" i="17"/>
  <c r="C66" i="17"/>
  <c r="C68" i="17"/>
  <c r="C70" i="17"/>
  <c r="C72" i="17"/>
  <c r="C74" i="17"/>
  <c r="C76" i="17"/>
  <c r="C78" i="17"/>
  <c r="C80" i="17"/>
  <c r="C82" i="17"/>
  <c r="C84" i="17"/>
  <c r="C86" i="17"/>
  <c r="C88" i="17"/>
  <c r="C90" i="17"/>
  <c r="C92" i="17"/>
  <c r="C94" i="17"/>
  <c r="C96" i="17"/>
  <c r="C98" i="17"/>
  <c r="C100" i="17"/>
  <c r="C102" i="17"/>
  <c r="B3" i="17"/>
  <c r="B5" i="17"/>
  <c r="B7" i="17"/>
  <c r="B9" i="17"/>
  <c r="B11" i="17"/>
  <c r="B13" i="17"/>
  <c r="B15" i="17"/>
  <c r="B17" i="17"/>
  <c r="B19" i="17"/>
  <c r="B21" i="17"/>
  <c r="B23" i="17"/>
  <c r="B25" i="17"/>
  <c r="B27" i="17"/>
  <c r="B29" i="17"/>
  <c r="B31" i="17"/>
  <c r="B33" i="17"/>
  <c r="B35" i="17"/>
  <c r="B37" i="17"/>
  <c r="B39" i="17"/>
  <c r="B41" i="17"/>
  <c r="B43" i="17"/>
  <c r="B45" i="17"/>
  <c r="B47" i="17"/>
  <c r="B49" i="17"/>
  <c r="B51" i="17"/>
  <c r="B53" i="17"/>
  <c r="B55" i="17"/>
  <c r="B57" i="17"/>
  <c r="B59" i="17"/>
  <c r="B61" i="17"/>
  <c r="B63" i="17"/>
  <c r="B65" i="17"/>
  <c r="B67" i="17"/>
  <c r="B69" i="17"/>
  <c r="B71" i="17"/>
  <c r="B73" i="17"/>
  <c r="B75" i="17"/>
  <c r="B77" i="17"/>
  <c r="B79" i="17"/>
  <c r="B81" i="17"/>
  <c r="B83" i="17"/>
  <c r="B85" i="17"/>
  <c r="B87" i="17"/>
  <c r="B89" i="17"/>
  <c r="B91" i="17"/>
  <c r="B93" i="17"/>
  <c r="B95" i="17"/>
  <c r="B97" i="17"/>
  <c r="B99" i="17"/>
  <c r="B101" i="17"/>
  <c r="C2" i="17"/>
  <c r="C3" i="17"/>
  <c r="C5" i="17"/>
  <c r="C7" i="17"/>
  <c r="C9" i="17"/>
  <c r="C11" i="17"/>
  <c r="C13" i="17"/>
  <c r="C15" i="17"/>
  <c r="C17" i="17"/>
  <c r="C19" i="17"/>
  <c r="C21" i="17"/>
  <c r="C23" i="17"/>
  <c r="C25" i="17"/>
  <c r="C27" i="17"/>
  <c r="C29" i="17"/>
  <c r="C31" i="17"/>
  <c r="C33" i="17"/>
  <c r="C35" i="17"/>
  <c r="C37" i="17"/>
  <c r="C39" i="17"/>
  <c r="C41" i="17"/>
  <c r="C43" i="17"/>
  <c r="C45" i="17"/>
  <c r="C47" i="17"/>
  <c r="C49" i="17"/>
  <c r="C51" i="17"/>
  <c r="C53" i="17"/>
  <c r="C55" i="17"/>
  <c r="C57" i="17"/>
  <c r="C59" i="17"/>
  <c r="C61" i="17"/>
  <c r="C63" i="17"/>
  <c r="C65" i="17"/>
  <c r="C67" i="17"/>
  <c r="C69" i="17"/>
  <c r="C71" i="17"/>
  <c r="C73" i="17"/>
  <c r="C75" i="17"/>
  <c r="C77" i="17"/>
  <c r="C79" i="17"/>
  <c r="C81" i="17"/>
  <c r="C83" i="17"/>
  <c r="C85" i="17"/>
  <c r="C87" i="17"/>
  <c r="C89" i="17"/>
  <c r="C91" i="17"/>
  <c r="C93" i="17"/>
  <c r="C95" i="17"/>
  <c r="C97" i="17"/>
  <c r="C99" i="17"/>
  <c r="C101" i="17"/>
  <c r="B2" i="17"/>
  <c r="B4" i="17"/>
  <c r="D4" i="17" s="1"/>
  <c r="B6" i="17"/>
  <c r="D6" i="17" s="1"/>
  <c r="B8" i="17"/>
  <c r="B10" i="17"/>
  <c r="D10" i="17" s="1"/>
  <c r="B12" i="17"/>
  <c r="D12" i="17" s="1"/>
  <c r="B14" i="17"/>
  <c r="D14" i="17" s="1"/>
  <c r="B16" i="17"/>
  <c r="B18" i="17"/>
  <c r="D18" i="17" s="1"/>
  <c r="B20" i="17"/>
  <c r="B22" i="17"/>
  <c r="D22" i="17" s="1"/>
  <c r="B24" i="17"/>
  <c r="B26" i="17"/>
  <c r="D26" i="17" s="1"/>
  <c r="B28" i="17"/>
  <c r="D28" i="17" s="1"/>
  <c r="B30" i="17"/>
  <c r="D30" i="17" s="1"/>
  <c r="B32" i="17"/>
  <c r="B34" i="17"/>
  <c r="D34" i="17" s="1"/>
  <c r="B36" i="17"/>
  <c r="D36" i="17" s="1"/>
  <c r="B38" i="17"/>
  <c r="D38" i="17" s="1"/>
  <c r="B40" i="17"/>
  <c r="B42" i="17"/>
  <c r="D42" i="17" s="1"/>
  <c r="B44" i="17"/>
  <c r="D44" i="17" s="1"/>
  <c r="B46" i="17"/>
  <c r="D46" i="17" s="1"/>
  <c r="B48" i="17"/>
  <c r="B50" i="17"/>
  <c r="D50" i="17" s="1"/>
  <c r="B52" i="17"/>
  <c r="D52" i="17" s="1"/>
  <c r="B54" i="17"/>
  <c r="B56" i="17"/>
  <c r="B58" i="17"/>
  <c r="D58" i="17" s="1"/>
  <c r="B60" i="17"/>
  <c r="D60" i="17" s="1"/>
  <c r="B62" i="17"/>
  <c r="D62" i="17" s="1"/>
  <c r="B64" i="17"/>
  <c r="B66" i="17"/>
  <c r="D66" i="17" s="1"/>
  <c r="B68" i="17"/>
  <c r="D68" i="17" s="1"/>
  <c r="B70" i="17"/>
  <c r="D70" i="17" s="1"/>
  <c r="B72" i="17"/>
  <c r="B74" i="17"/>
  <c r="D74" i="17" s="1"/>
  <c r="B76" i="17"/>
  <c r="D76" i="17" s="1"/>
  <c r="B78" i="17"/>
  <c r="D78" i="17" s="1"/>
  <c r="B80" i="17"/>
  <c r="B82" i="17"/>
  <c r="D82" i="17" s="1"/>
  <c r="B84" i="17"/>
  <c r="D84" i="17" s="1"/>
  <c r="B86" i="17"/>
  <c r="D86" i="17" s="1"/>
  <c r="B88" i="17"/>
  <c r="B90" i="17"/>
  <c r="B92" i="17"/>
  <c r="D92" i="17" s="1"/>
  <c r="B94" i="17"/>
  <c r="D94" i="17" s="1"/>
  <c r="B96" i="17"/>
  <c r="B98" i="17"/>
  <c r="D98" i="17" s="1"/>
  <c r="B100" i="17"/>
  <c r="D100" i="17" s="1"/>
  <c r="B102" i="17"/>
  <c r="D102" i="17" s="1"/>
  <c r="C2" i="9"/>
  <c r="M13" i="8"/>
  <c r="M5" i="8"/>
  <c r="M9" i="8"/>
  <c r="M12" i="8"/>
  <c r="M16" i="8"/>
  <c r="M8" i="8"/>
  <c r="AN2" i="1"/>
  <c r="M14" i="8"/>
  <c r="M10" i="8"/>
  <c r="M6" i="8"/>
  <c r="M15" i="8"/>
  <c r="M11" i="8"/>
  <c r="M7" i="8"/>
  <c r="K3" i="27" l="1"/>
  <c r="E3" i="28"/>
  <c r="E7" i="28"/>
  <c r="E11" i="28"/>
  <c r="D2" i="28"/>
  <c r="E11" i="27"/>
  <c r="E7" i="27"/>
  <c r="E3" i="27"/>
  <c r="C3" i="27" s="1"/>
  <c r="E8" i="27"/>
  <c r="B8" i="27" s="1"/>
  <c r="J3" i="27"/>
  <c r="E2" i="27"/>
  <c r="B2" i="27" s="1"/>
  <c r="E4" i="28"/>
  <c r="E8" i="28"/>
  <c r="E12" i="28"/>
  <c r="N3" i="28"/>
  <c r="K3" i="28" s="1"/>
  <c r="D11" i="27"/>
  <c r="D7" i="27"/>
  <c r="C11" i="27"/>
  <c r="C7" i="27"/>
  <c r="B11" i="27"/>
  <c r="B7" i="27"/>
  <c r="B3" i="27"/>
  <c r="E10" i="27"/>
  <c r="E6" i="27"/>
  <c r="E4" i="27"/>
  <c r="D4" i="27" s="1"/>
  <c r="I3" i="27"/>
  <c r="E5" i="28"/>
  <c r="E9" i="28"/>
  <c r="E13" i="28"/>
  <c r="N2" i="28"/>
  <c r="D10" i="27"/>
  <c r="D6" i="27"/>
  <c r="D2" i="27"/>
  <c r="C10" i="27"/>
  <c r="C6" i="27"/>
  <c r="C2" i="27"/>
  <c r="B10" i="27"/>
  <c r="B6" i="27"/>
  <c r="E13" i="27"/>
  <c r="C13" i="27" s="1"/>
  <c r="E9" i="27"/>
  <c r="E5" i="27"/>
  <c r="B5" i="27" s="1"/>
  <c r="H3" i="27"/>
  <c r="K2" i="27"/>
  <c r="J2" i="27" s="1"/>
  <c r="E6" i="28"/>
  <c r="E10" i="28"/>
  <c r="E2" i="28"/>
  <c r="D13" i="27"/>
  <c r="D9" i="27"/>
  <c r="D5" i="27"/>
  <c r="C9" i="27"/>
  <c r="B13" i="27"/>
  <c r="B9" i="27"/>
  <c r="E12" i="27"/>
  <c r="B12" i="27" s="1"/>
  <c r="N4" i="28"/>
  <c r="K4" i="28" s="1"/>
  <c r="N5" i="28"/>
  <c r="M5" i="28" s="1"/>
  <c r="B2" i="28"/>
  <c r="C3" i="23"/>
  <c r="D3" i="28"/>
  <c r="H3" i="28" s="1"/>
  <c r="D7" i="28"/>
  <c r="D11" i="28"/>
  <c r="C2" i="28"/>
  <c r="C6" i="28"/>
  <c r="C10" i="28"/>
  <c r="B6" i="28"/>
  <c r="B10" i="28"/>
  <c r="D6" i="28"/>
  <c r="C13" i="28"/>
  <c r="B5" i="28"/>
  <c r="D4" i="28"/>
  <c r="D8" i="28"/>
  <c r="D12" i="28"/>
  <c r="C3" i="28"/>
  <c r="G3" i="28" s="1"/>
  <c r="C7" i="28"/>
  <c r="C11" i="28"/>
  <c r="B3" i="28"/>
  <c r="F3" i="28" s="1"/>
  <c r="B7" i="28"/>
  <c r="B11" i="28"/>
  <c r="D10" i="28"/>
  <c r="C9" i="28"/>
  <c r="B9" i="28"/>
  <c r="D5" i="28"/>
  <c r="D9" i="28"/>
  <c r="D13" i="28"/>
  <c r="C4" i="28"/>
  <c r="C8" i="28"/>
  <c r="C12" i="28"/>
  <c r="B4" i="28"/>
  <c r="B8" i="28"/>
  <c r="B12" i="28"/>
  <c r="C5" i="28"/>
  <c r="B13" i="28"/>
  <c r="D90" i="17"/>
  <c r="D20" i="17"/>
  <c r="D93" i="17"/>
  <c r="D77" i="17"/>
  <c r="D61" i="17"/>
  <c r="D45" i="17"/>
  <c r="D29" i="17"/>
  <c r="D13" i="17"/>
  <c r="D54" i="17"/>
  <c r="C4" i="23"/>
  <c r="B3" i="9"/>
  <c r="J6" i="8"/>
  <c r="G6" i="8"/>
  <c r="H6" i="8"/>
  <c r="F6" i="8"/>
  <c r="D6" i="8"/>
  <c r="D99" i="17"/>
  <c r="D91" i="17"/>
  <c r="D83" i="17"/>
  <c r="D75" i="17"/>
  <c r="D67" i="17"/>
  <c r="D59" i="17"/>
  <c r="D51" i="17"/>
  <c r="D43" i="17"/>
  <c r="D35" i="17"/>
  <c r="D27" i="17"/>
  <c r="D19" i="17"/>
  <c r="D11" i="17"/>
  <c r="D3" i="17"/>
  <c r="B4" i="9"/>
  <c r="J7" i="8"/>
  <c r="D7" i="8"/>
  <c r="F7" i="8"/>
  <c r="H7" i="8"/>
  <c r="G7" i="8"/>
  <c r="D97" i="17"/>
  <c r="D89" i="17"/>
  <c r="D81" i="17"/>
  <c r="D73" i="17"/>
  <c r="D65" i="17"/>
  <c r="D57" i="17"/>
  <c r="D49" i="17"/>
  <c r="D41" i="17"/>
  <c r="D33" i="17"/>
  <c r="D25" i="17"/>
  <c r="D17" i="17"/>
  <c r="D9" i="17"/>
  <c r="D88" i="17"/>
  <c r="D80" i="17"/>
  <c r="D72" i="17"/>
  <c r="D64" i="17"/>
  <c r="D56" i="17"/>
  <c r="D48" i="17"/>
  <c r="D40" i="17"/>
  <c r="D32" i="17"/>
  <c r="D24" i="17"/>
  <c r="D16" i="17"/>
  <c r="D8" i="17"/>
  <c r="D96" i="17"/>
  <c r="D95" i="17"/>
  <c r="D87" i="17"/>
  <c r="D79" i="17"/>
  <c r="D71" i="17"/>
  <c r="D63" i="17"/>
  <c r="D55" i="17"/>
  <c r="D47" i="17"/>
  <c r="D39" i="17"/>
  <c r="D2" i="17"/>
  <c r="D31" i="17"/>
  <c r="D23" i="17"/>
  <c r="D15" i="17"/>
  <c r="D7" i="17"/>
  <c r="D101" i="17"/>
  <c r="D85" i="17"/>
  <c r="D69" i="17"/>
  <c r="D53" i="17"/>
  <c r="D37" i="17"/>
  <c r="D21" i="17"/>
  <c r="D5" i="17"/>
  <c r="J5" i="8"/>
  <c r="B2" i="9"/>
  <c r="D5" i="8"/>
  <c r="H5" i="8"/>
  <c r="G5" i="8"/>
  <c r="F5" i="8"/>
  <c r="G2" i="28" l="1"/>
  <c r="F2" i="28"/>
  <c r="D3" i="27"/>
  <c r="C5" i="27"/>
  <c r="C4" i="27"/>
  <c r="D8" i="27"/>
  <c r="H2" i="27"/>
  <c r="I2" i="27"/>
  <c r="B4" i="27"/>
  <c r="C8" i="27"/>
  <c r="D12" i="27"/>
  <c r="C12" i="27"/>
  <c r="H2" i="28"/>
  <c r="M2" i="28"/>
  <c r="K2" i="28"/>
  <c r="H10" i="28"/>
  <c r="F13" i="28"/>
  <c r="M4" i="28"/>
  <c r="F8" i="28"/>
  <c r="F7" i="28"/>
  <c r="G12" i="28"/>
  <c r="M3" i="28"/>
  <c r="L3" i="28"/>
  <c r="L2" i="28"/>
  <c r="K5" i="28"/>
  <c r="G4" i="28"/>
  <c r="F9" i="28"/>
  <c r="F5" i="28"/>
  <c r="F6" i="28"/>
  <c r="H11" i="28"/>
  <c r="L4" i="28"/>
  <c r="L5" i="28"/>
  <c r="G5" i="28"/>
  <c r="F4" i="28"/>
  <c r="H13" i="28"/>
  <c r="G9" i="28"/>
  <c r="H12" i="28"/>
  <c r="G13" i="28"/>
  <c r="G10" i="28"/>
  <c r="H7" i="28"/>
  <c r="H9" i="28"/>
  <c r="G11" i="28"/>
  <c r="H8" i="28"/>
  <c r="H6" i="28"/>
  <c r="G6" i="28"/>
  <c r="F12" i="28"/>
  <c r="G8" i="28"/>
  <c r="H5" i="28"/>
  <c r="F11" i="28"/>
  <c r="G7" i="28"/>
  <c r="H4" i="28"/>
  <c r="F10" i="2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<sst xmlns="http://schemas.openxmlformats.org/spreadsheetml/2006/main" count="5550" uniqueCount="937">
  <si>
    <t>Follow-up Date</t>
  </si>
  <si>
    <t xml:space="preserve">Follow-up Activity </t>
  </si>
  <si>
    <t>Improved Level of Functioning? (CFARS) (Unknown if cannot aquire info. from referred provider; N/A if no referral)</t>
  </si>
  <si>
    <t>Emotionally Disturbed (ED)? (Unknown if cannot aquire info. from referred provider; N/A if no referral)</t>
  </si>
  <si>
    <t>Seriously Emotionally Disturbed (SED)? (Unknown if cannot aquire info. from referred provider; N/A if no referral)</t>
  </si>
  <si>
    <t>Engaged in Referred Services? (Unknown if cannot aquire info. from referred provider; N/A if no referral)</t>
  </si>
  <si>
    <t>If Referred, What Level of Treatment?</t>
  </si>
  <si>
    <t>If Referred, Where (Agency Name)?</t>
  </si>
  <si>
    <t>Referred to Treatment?</t>
  </si>
  <si>
    <t>Admission to CSU?</t>
  </si>
  <si>
    <t>Referred By</t>
  </si>
  <si>
    <t>Type of Contact</t>
  </si>
  <si>
    <t>Reason if Not Seen</t>
  </si>
  <si>
    <t>Response Time</t>
  </si>
  <si>
    <t>Place of Contact</t>
  </si>
  <si>
    <t>Time of Arrival (enter value from "Time of Initial Call" column if phone/telehealth)</t>
  </si>
  <si>
    <t>Intervention Determined</t>
  </si>
  <si>
    <t>Source of Inital Call</t>
  </si>
  <si>
    <t>Time of Inital Call</t>
  </si>
  <si>
    <t>Date of Call</t>
  </si>
  <si>
    <t>Name of School Attending (enter N/A if non-school aged)</t>
  </si>
  <si>
    <t>Ethnicity</t>
  </si>
  <si>
    <t>Race</t>
  </si>
  <si>
    <t>Residence Zip Code</t>
  </si>
  <si>
    <t>Sex</t>
  </si>
  <si>
    <t>Age</t>
  </si>
  <si>
    <t>DOB</t>
  </si>
  <si>
    <t>Client First Name</t>
  </si>
  <si>
    <t>Client Last Name</t>
  </si>
  <si>
    <t>Client ID #</t>
  </si>
  <si>
    <t>If client DOB unknown, is client under 18?</t>
  </si>
  <si>
    <t>Successfully Completed Treatment? (Unknown if cannot aquire info. from referred provider; N/A if no referral)</t>
  </si>
  <si>
    <t>Validation Errors</t>
  </si>
  <si>
    <t>If client is under 18, was parental consent obtained?</t>
  </si>
  <si>
    <t>If client is under 18, is the client involved in child welfare?</t>
  </si>
  <si>
    <t>Client Age</t>
  </si>
  <si>
    <t>Client Specific</t>
  </si>
  <si>
    <t>Numeric</t>
  </si>
  <si>
    <t>Text</t>
  </si>
  <si>
    <t>MM/DD/YYYY</t>
  </si>
  <si>
    <t>Yes, No, Unknown</t>
  </si>
  <si>
    <t>Yes, No, Unknown, N/A</t>
  </si>
  <si>
    <t>Yes, Parent Refused, Unable to Reach Parent, N/A</t>
  </si>
  <si>
    <t>Male, Female</t>
  </si>
  <si>
    <t>5 digits.</t>
  </si>
  <si>
    <t xml:space="preserve">White,Black,American Indian,Other,Alaskan Native, Asian,Native Hawaiian or Other Pacific Islander,Multi-Racial,Not Recorded </t>
  </si>
  <si>
    <t>Puerto Rican,Mexican,Cuban,Other Hispanic,Haitian,None of the Above,Mexican American,Spanish/Latino,Not Recorded</t>
  </si>
  <si>
    <t>00:00 AM/PM</t>
  </si>
  <si>
    <t>Law Enforcement, School, Parent/Guardian, Other</t>
  </si>
  <si>
    <t>Phone Call Only, Telehealth, On-Site/Face-to-Face, Cancellation</t>
  </si>
  <si>
    <t>Cancelled by Caller, Other</t>
  </si>
  <si>
    <t>Face-to-Face - In-Person, Face-to-Face - Telehealth</t>
  </si>
  <si>
    <t>Yes, No</t>
  </si>
  <si>
    <t>Yes - Currently engaged in Tx, Yes - New/addt'l Svcs, Yes - Refused, No</t>
  </si>
  <si>
    <t>N/A</t>
  </si>
  <si>
    <t>Yes</t>
  </si>
  <si>
    <t>Male</t>
  </si>
  <si>
    <t>White</t>
  </si>
  <si>
    <t>Black</t>
  </si>
  <si>
    <t>American Indian</t>
  </si>
  <si>
    <t>Other</t>
  </si>
  <si>
    <t>Alaskan Native</t>
  </si>
  <si>
    <t>Native Hawaiian or Other Pacific Islander</t>
  </si>
  <si>
    <t>Multi-Racial</t>
  </si>
  <si>
    <t>Puerto Rican</t>
  </si>
  <si>
    <t>Mexican</t>
  </si>
  <si>
    <t>Cuban</t>
  </si>
  <si>
    <t>Other Hispanic</t>
  </si>
  <si>
    <t>Haitian</t>
  </si>
  <si>
    <t>None of the Above</t>
  </si>
  <si>
    <t>Mexican American</t>
  </si>
  <si>
    <t>Spanish/Latino</t>
  </si>
  <si>
    <t>Not Recorded</t>
  </si>
  <si>
    <t>Law Enforcement</t>
  </si>
  <si>
    <t>Phone Call Only</t>
  </si>
  <si>
    <t>Cancelled by Caller</t>
  </si>
  <si>
    <t>Face-to-Face - In-Person</t>
  </si>
  <si>
    <t>Yes - Currently engaged in Tx</t>
  </si>
  <si>
    <t>No</t>
  </si>
  <si>
    <t>Unknown</t>
  </si>
  <si>
    <t>Parent Refused</t>
  </si>
  <si>
    <t>Unable to Reach Parent</t>
  </si>
  <si>
    <t>Female</t>
  </si>
  <si>
    <t>Asian</t>
  </si>
  <si>
    <t>School</t>
  </si>
  <si>
    <t>Parent/Guardian</t>
  </si>
  <si>
    <t>Telehealth</t>
  </si>
  <si>
    <t>On-Site/Face-to-Face</t>
  </si>
  <si>
    <t>Cancellation</t>
  </si>
  <si>
    <t>Face-to-Face - Telehealth</t>
  </si>
  <si>
    <t>Yes - New/addt'l Svcs</t>
  </si>
  <si>
    <t>Yes - Refused</t>
  </si>
  <si>
    <t>Provider</t>
  </si>
  <si>
    <t>SMA</t>
  </si>
  <si>
    <t>CGC</t>
  </si>
  <si>
    <t>Alachua</t>
  </si>
  <si>
    <t>Meridian</t>
  </si>
  <si>
    <t>Baycare</t>
  </si>
  <si>
    <t>Clay</t>
  </si>
  <si>
    <t>SAYS</t>
  </si>
  <si>
    <t>CHS</t>
  </si>
  <si>
    <t>Starting Point</t>
  </si>
  <si>
    <t>Lifestream</t>
  </si>
  <si>
    <t>Lake &amp; Sumter</t>
  </si>
  <si>
    <t>Citrus</t>
  </si>
  <si>
    <t>MRT South</t>
  </si>
  <si>
    <t>MRT North</t>
  </si>
  <si>
    <t>MRT East</t>
  </si>
  <si>
    <t>Provider:</t>
  </si>
  <si>
    <t>If your provider has more than one team, please fill out one report for each team.</t>
  </si>
  <si>
    <t>Due Date: Monthly, by the 10th</t>
  </si>
  <si>
    <t>LSF Health Systems - Mobile Response Team (MRT) Monthly Data Report</t>
  </si>
  <si>
    <t>Please fill in provider and (if applicable) team below, then fill in the client specific, outreach activities, and other funding sources tabs.</t>
  </si>
  <si>
    <t>Each row on the client specific tab should be completed per response, not per individual. This means that if you see consumer "X" on Monday and they call back again on Friday, two rows must be completed for each occurrence.</t>
  </si>
  <si>
    <t>Days between call and follow-up</t>
  </si>
  <si>
    <t>No input needed. Calculates the response time for the client based on the Time of Initial Call and Time of Arrival.</t>
  </si>
  <si>
    <t>No input needed. Calculates the client's age based on the date of birth and the date of the call.</t>
  </si>
  <si>
    <t>No input needed. Will display error message if a field appears to be missing or filled incorrectly.</t>
  </si>
  <si>
    <t>If client was referred to treatment.</t>
  </si>
  <si>
    <t>On what date did the MRT team follow up on the client?</t>
  </si>
  <si>
    <t>In what way did the MRT team follow up on the client?</t>
  </si>
  <si>
    <t>Does the client show improved level of functioning, according to the CFARS?</t>
  </si>
  <si>
    <t>Does the client meet the criteria for being emotionally disturbed?</t>
  </si>
  <si>
    <t>Does the client meet the criteria for being serious emotionally disturbed?</t>
  </si>
  <si>
    <t>Did the client successfully complete the treatment that they were referred to?</t>
  </si>
  <si>
    <t>Did the client engage in the services that they were referred to?</t>
  </si>
  <si>
    <t>The level of treatment that the client was referred to (e.g., outpatient, inpatient, acute care, etc…).</t>
  </si>
  <si>
    <t>The name of the agency where the client was referred.</t>
  </si>
  <si>
    <t>Was the client referred to treatment?</t>
  </si>
  <si>
    <t>Was the client admitted to CSU or other acute care? Used to determine if call resulted in an involuntary examination.</t>
  </si>
  <si>
    <t>If client was seen.</t>
  </si>
  <si>
    <t>The person or entity who referred the client.</t>
  </si>
  <si>
    <t>The type of contact that staff had with the client.</t>
  </si>
  <si>
    <t>If client was not seen.</t>
  </si>
  <si>
    <t>The reason that the client was not seen. Used to determine if call required an acute response.</t>
  </si>
  <si>
    <t>If on-site/face-to-face intervention was determined.</t>
  </si>
  <si>
    <t>The place that the client was contacted</t>
  </si>
  <si>
    <t>If call was not canceled.</t>
  </si>
  <si>
    <t>The time of day that intervention arrived to help the client. If the intervention was telehealth only, should be equal to the time of initial call.</t>
  </si>
  <si>
    <t>The immediate intervention that was determined for the call.</t>
  </si>
  <si>
    <t>If information is available.</t>
  </si>
  <si>
    <t>The person or place from which the call came. Used to determine if call originated from a school.</t>
  </si>
  <si>
    <t>The time of day that the call was received.</t>
  </si>
  <si>
    <t>The date that the call was received.</t>
  </si>
  <si>
    <t>The name of the school that the client attends.</t>
  </si>
  <si>
    <t>Client ethnicity. Based on DCF definitions (Pamphlet 155-2).</t>
  </si>
  <si>
    <t>Client race. Based on DCF definitions (Pamphlet 155-2).</t>
  </si>
  <si>
    <t>ZIP Code where the client lives.</t>
  </si>
  <si>
    <t>Client Sex. Based on DCF definitions (Pamphlet 155-2).</t>
  </si>
  <si>
    <t>If client is under 18.</t>
  </si>
  <si>
    <t>If DOB is unknown and information is available.</t>
  </si>
  <si>
    <t>Client Date of Birth. Used to determine if client is under 18.</t>
  </si>
  <si>
    <t>Client First Name If client is unknown, please enter "unknown."</t>
  </si>
  <si>
    <t>Client last name. If client is unknown, please enter "unknown."</t>
  </si>
  <si>
    <t>Alphanumeric</t>
  </si>
  <si>
    <t>A unique number or code associated with this client. Can be provider generated. Used to determine unduplicated # of clients served. First and last name spelling varies too much to be used. If client is unknown, please enter "unknown."</t>
  </si>
  <si>
    <t>Required?</t>
  </si>
  <si>
    <t>Format</t>
  </si>
  <si>
    <t>Definition</t>
  </si>
  <si>
    <t>Field</t>
  </si>
  <si>
    <t>Tab</t>
  </si>
  <si>
    <t>Date of Outreach</t>
  </si>
  <si>
    <t>Name of Entity</t>
  </si>
  <si>
    <t>Explain "Other"</t>
  </si>
  <si>
    <t>Type of Entity Where Outreach was Provided</t>
  </si>
  <si>
    <t>Type of Outreach</t>
  </si>
  <si>
    <t>**** These two cells, when added together, should equal the number in the cell of "How many calls required a response."</t>
  </si>
  <si>
    <t>*** An acute response is defined as an emergent or urgent situation wherein a face-to-face, telehealth, or telecommunication intervention is required.</t>
  </si>
  <si>
    <t>** Schools include  K-12 educational settings, colleges, universities, etc.  Calls received from any school personnel, including the School Resource Officer, would be captured.</t>
  </si>
  <si>
    <t>* Providers with more than one team should complete one sheet for each team and specify each team by county(ies) served</t>
  </si>
  <si>
    <t>This report is completed monthly to report data on the number of calls received and responded to using resources other than Department funding.  This information provides a more compelte picture of mobile response calls, regardless of funding source.</t>
  </si>
  <si>
    <t>Of the calls requiring an acute response, how many were diverted from an involuntary examination? ****</t>
  </si>
  <si>
    <t>Of the calls requiring an acute response, how many resulted in an involuntary examination? ****</t>
  </si>
  <si>
    <t>How many calls required an acute response?***</t>
  </si>
  <si>
    <t>How many calls  originated from a school? **</t>
  </si>
  <si>
    <t>How many calls were received?</t>
  </si>
  <si>
    <t xml:space="preserve">Month / Year                                 </t>
  </si>
  <si>
    <t xml:space="preserve">Mobile Response Team * </t>
  </si>
  <si>
    <t xml:space="preserve">Provider Name   </t>
  </si>
  <si>
    <t>Mobile Response Teams - Call Data for calls that utilize funding other than any DCF funding.</t>
  </si>
  <si>
    <t>EX:  August data to be submitted by September 18</t>
  </si>
  <si>
    <t xml:space="preserve">Submit data by the 18th of the following month to TWILA JOWERS AT Twila.Jowers@myflfamilies.com </t>
  </si>
  <si>
    <t>Average response time, in minutes, for acute response</t>
  </si>
  <si>
    <t xml:space="preserve">
Number of calls received from schools that resulted in an involuntary examination</t>
  </si>
  <si>
    <t>Of the calls that required an acute response, how many were for those under the age of 18?</t>
  </si>
  <si>
    <t>Total number of calls that required an acute response ***</t>
  </si>
  <si>
    <t>Number of calls involving children under the age of 18  that parent or guardian was unable to be reached to obtain consent for services</t>
  </si>
  <si>
    <t xml:space="preserve">Number of calls involving children under the age of 18 that parent/guardian refused to provide consent for services </t>
  </si>
  <si>
    <t>Number of calls involving children under the age of 18  that parental/guardian consent was obtained</t>
  </si>
  <si>
    <t>Number of calls that originated from a school **</t>
  </si>
  <si>
    <t>Number of calls that involved children under the age of 18 that are currently involved with Child Welfare</t>
  </si>
  <si>
    <t>Number of  calls that were received</t>
  </si>
  <si>
    <t>Month / Year</t>
  </si>
  <si>
    <t xml:space="preserve">Provider Name    </t>
  </si>
  <si>
    <t>Template 28 - Mobile Response Team Monthly Log</t>
  </si>
  <si>
    <t>Under 18</t>
  </si>
  <si>
    <t>List sources of other referrals, such as parents, law enforcement, residential treatment settings, etc. (Copied by hand from Client Specific Tab</t>
  </si>
  <si>
    <t>More detail if Source of Initial Call was Other</t>
  </si>
  <si>
    <t>Outreach Activities</t>
  </si>
  <si>
    <t>The type of outreach provided.</t>
  </si>
  <si>
    <t>The type of entity where outreach was provided.</t>
  </si>
  <si>
    <t>If entity was "other," more detail.</t>
  </si>
  <si>
    <t>Name of the entity where outreach was provided.</t>
  </si>
  <si>
    <t>The date of the outreach. If multiple dates, please enter on separate rows.</t>
  </si>
  <si>
    <t>Law Enforcement, School, Other - Explain in next column</t>
  </si>
  <si>
    <t>Other Funding Sources</t>
  </si>
  <si>
    <t>DCF Funded</t>
  </si>
  <si>
    <t>The month being reported. Should be prefilled for the 2021-2022 fiscal year.</t>
  </si>
  <si>
    <t># Calls received. Should autopopulate if the Client Specific tab is filled in.</t>
  </si>
  <si>
    <t>Source of calls other than school. Will be filled in by LSF upon receipt of completed report.</t>
  </si>
  <si>
    <t>Average response time. Calculated in minutes as difference between call time and arrival time. Should autopopulate if the Client Specific tab is filled in.</t>
  </si>
  <si>
    <t># Calls requiring an acute response that were diverted from involuntary examination. Should autopopulate if the Client Specific tab is filled in.</t>
  </si>
  <si>
    <t>Number of calls received from schools that resulted in an involuntary examination</t>
  </si>
  <si>
    <t># Calls received resulting as an involuntary examination. Should autopopulate if the Client Specific tab is filled in.</t>
  </si>
  <si>
    <t># Calls received resulting as an involuntary examination that came from a school. Should autopopulate if the Client Specific tab is filled in.</t>
  </si>
  <si>
    <t># Calls received requiring an acute response where the client was under 18. Should autopopulate if the Client Specific tab is filled in.</t>
  </si>
  <si>
    <t># Calls received requiring an acute response. Should autopopulate if the Client Specific tab is filled in.</t>
  </si>
  <si>
    <t># Calls received involving children (under 18) involved in child welfare. Should autopopulate if the Client Specific tab is filled in.</t>
  </si>
  <si>
    <t># Calls received that originated from a school. Should autopopulate if the Client Specific tab is filled in.</t>
  </si>
  <si>
    <t># Calls received involving children where parental consent was obtained. Should autopopulate if the Client Specific tab is filled in.</t>
  </si>
  <si>
    <t># Calls received involving children where parent/guardian refused to give consent. Should autopopulate if the Client Specific tab is filled in.</t>
  </si>
  <si>
    <t># Calls received involving children where parent/guardian could not be contacted to ask for consent. Should autopopulate if the Client Specific tab is filled in.</t>
  </si>
  <si>
    <t># non-LSF funded calls received.</t>
  </si>
  <si>
    <t># non-LSF funded calls where the source was a school.</t>
  </si>
  <si>
    <t># non-LSF funded calls requiring an acute response</t>
  </si>
  <si>
    <t># non-LSF funded calls requiring an acute response that resulted in involuntary examination.</t>
  </si>
  <si>
    <t># non-LSF funded calls requiring an acute response that were diverted from involuntary examination.</t>
  </si>
  <si>
    <t>Minutes</t>
  </si>
  <si>
    <t>Enter if child was under 18 if this can be determined but date of birth is not known.</t>
  </si>
  <si>
    <t>Whether parental consent was obtained for child.</t>
  </si>
  <si>
    <t>Whether the child was involved in child welfare.</t>
  </si>
  <si>
    <t>Instructions</t>
  </si>
  <si>
    <t>Team Name</t>
  </si>
  <si>
    <t>The provider that the report is being filled in for.</t>
  </si>
  <si>
    <t>The team at the provider that the report is being filled in for.</t>
  </si>
  <si>
    <t>SMA, CGC, Alachua, Meridian, Lifestream, Baycare, Clay, SAYS, CHS, The Centers, Starting Point</t>
  </si>
  <si>
    <t>Varies by provider</t>
  </si>
  <si>
    <t>If provider has multiple teams.</t>
  </si>
  <si>
    <t>Team Name (if multiple teams):</t>
  </si>
  <si>
    <t>Note: Provider must be entered for team names to populate below. If the provider does not have multiple teams, "N/A" will populate in the dropdown.</t>
  </si>
  <si>
    <t>The source of the call, if listed as other on the previous column</t>
  </si>
  <si>
    <t>If previous column contains "Other"</t>
  </si>
  <si>
    <t>No input needed. Calculates the number of days between the date of the call and the follow-up date.</t>
  </si>
  <si>
    <t>No input needed. Combines the age and "under 18" column for other formulas that depend on the client being under 18.</t>
  </si>
  <si>
    <t>No Data entry required on this tab beyond this point</t>
  </si>
  <si>
    <t>Marion County</t>
  </si>
  <si>
    <t>Volusia/Flagler</t>
  </si>
  <si>
    <t>Purposefully blank to indicate break. All fields on this tab are automatically calculated beyond this point and do not require data entry.</t>
  </si>
  <si>
    <t>Other - Explain in next column</t>
  </si>
  <si>
    <t>OutreachEntity</t>
  </si>
  <si>
    <t>End of Fiscal Year:</t>
  </si>
  <si>
    <t>Row Labels</t>
  </si>
  <si>
    <t>Grand Total</t>
  </si>
  <si>
    <t>Number of unduplicated persons served</t>
  </si>
  <si>
    <t>Distinct # clients. Should autopopulate if the Client Specific tab is filled in.</t>
  </si>
  <si>
    <t>0-18</t>
  </si>
  <si>
    <t>18+</t>
  </si>
  <si>
    <t>Unknown Age</t>
  </si>
  <si>
    <t>G - # Calls by Month</t>
  </si>
  <si>
    <t>G - Outreach by Month</t>
  </si>
  <si>
    <t>G - % of Calls by Race</t>
  </si>
  <si>
    <t>G - % of Calls by Ethnicity</t>
  </si>
  <si>
    <t>G - % Referred to Treatment</t>
  </si>
  <si>
    <t>G - % Admitted to CSU</t>
  </si>
  <si>
    <t>G - % by ZIP Code</t>
  </si>
  <si>
    <t>G - Age and Sex</t>
  </si>
  <si>
    <t>G - Day of Week</t>
  </si>
  <si>
    <t>G - Time of Day</t>
  </si>
  <si>
    <t>G - Treatment Referred To</t>
  </si>
  <si>
    <t>G - Call Source</t>
  </si>
  <si>
    <t>Table and graph of # Calls by Month.</t>
  </si>
  <si>
    <t>Table and graph of Outreach by Month.</t>
  </si>
  <si>
    <t>Table and graph of Call Source.</t>
  </si>
  <si>
    <t>Table and graph of % of Calls Referred to Treatment.</t>
  </si>
  <si>
    <t>Table and graph of % of Calls by Race</t>
  </si>
  <si>
    <t>Table and graph of % of Calls by Ethnicity</t>
  </si>
  <si>
    <t>Table and graph of % of Calls Admitted to CSU.</t>
  </si>
  <si>
    <t>Table and graph of % of Calls by ZIP Code.</t>
  </si>
  <si>
    <t>Table and graph of calls by client Age and Sex.</t>
  </si>
  <si>
    <t>Table and graph of calls by Day of Week.</t>
  </si>
  <si>
    <t>Table and graph of calls by Time of Day.</t>
  </si>
  <si>
    <t># Calls</t>
  </si>
  <si>
    <t>% Calls</t>
  </si>
  <si>
    <t>Total</t>
  </si>
  <si>
    <t>% Referred</t>
  </si>
  <si>
    <t>%</t>
  </si>
  <si>
    <t>% Admitted to CSU</t>
  </si>
  <si>
    <t>Table and graph of Treatment Referred To. This is generated by a pivot table, which must be refreshed after new data is entered.</t>
  </si>
  <si>
    <t>(blank)</t>
  </si>
  <si>
    <t>Count of Client ID #</t>
  </si>
  <si>
    <t>Table of % of Calls by ZIP Code. This is generated by a pivot table, which must be refreshed after new data is entered.</t>
  </si>
  <si>
    <t>Admitted to CSU</t>
  </si>
  <si>
    <t>Not Admitted to CSU</t>
  </si>
  <si>
    <t>CSU Admission %</t>
  </si>
  <si>
    <t>Rounded Time of Call</t>
  </si>
  <si>
    <t>Day of Week of Call</t>
  </si>
  <si>
    <t>Time</t>
  </si>
  <si>
    <t>% of All MRT Calls</t>
  </si>
  <si>
    <t># Admitted to CSU</t>
  </si>
  <si>
    <t># MRT Calls</t>
  </si>
  <si>
    <t>Day of Week</t>
  </si>
  <si>
    <t>Sunday</t>
  </si>
  <si>
    <t>Monday</t>
  </si>
  <si>
    <t>Tuesday</t>
  </si>
  <si>
    <t>Wednesday</t>
  </si>
  <si>
    <t>Thursday</t>
  </si>
  <si>
    <t>Friday</t>
  </si>
  <si>
    <t>Saturday</t>
  </si>
  <si>
    <t>Average Response Team</t>
  </si>
  <si>
    <t>Zip Code</t>
  </si>
  <si>
    <t>City</t>
  </si>
  <si>
    <t>County</t>
  </si>
  <si>
    <t>Orange Park</t>
  </si>
  <si>
    <t>Ponte Vedra Beach</t>
  </si>
  <si>
    <t>Fleming Island</t>
  </si>
  <si>
    <t>Bostwick</t>
  </si>
  <si>
    <t>Putnam</t>
  </si>
  <si>
    <t>Branford</t>
  </si>
  <si>
    <t>Suwannee</t>
  </si>
  <si>
    <t>Bryceville</t>
  </si>
  <si>
    <t>Nassau</t>
  </si>
  <si>
    <t>Callahan</t>
  </si>
  <si>
    <t>Day</t>
  </si>
  <si>
    <t>Lafayette</t>
  </si>
  <si>
    <t>Lake City</t>
  </si>
  <si>
    <t>Columbia</t>
  </si>
  <si>
    <t>Raiford</t>
  </si>
  <si>
    <t>Union</t>
  </si>
  <si>
    <t>Doctors Inlet</t>
  </si>
  <si>
    <t>Elkton</t>
  </si>
  <si>
    <t>Fernandina Beach</t>
  </si>
  <si>
    <t>Fort White</t>
  </si>
  <si>
    <t>Glen Saint Mary</t>
  </si>
  <si>
    <t>Baker</t>
  </si>
  <si>
    <t>Yulee</t>
  </si>
  <si>
    <t>Graham</t>
  </si>
  <si>
    <t>Bradford</t>
  </si>
  <si>
    <t>Green Cove Springs</t>
  </si>
  <si>
    <t>Hampton</t>
  </si>
  <si>
    <t>Hilliard</t>
  </si>
  <si>
    <t>Middleburg</t>
  </si>
  <si>
    <t>Jasper</t>
  </si>
  <si>
    <t>Hamilton</t>
  </si>
  <si>
    <t>Jennings</t>
  </si>
  <si>
    <t>Lake Butler</t>
  </si>
  <si>
    <t>Lawtey</t>
  </si>
  <si>
    <t>Lee</t>
  </si>
  <si>
    <t>Madison</t>
  </si>
  <si>
    <t>Live Oak</t>
  </si>
  <si>
    <t>Lulu</t>
  </si>
  <si>
    <t>Mc Alpin</t>
  </si>
  <si>
    <t>Macclenny</t>
  </si>
  <si>
    <t>Mayo</t>
  </si>
  <si>
    <t>O Brien</t>
  </si>
  <si>
    <t>Olustee</t>
  </si>
  <si>
    <t>Penney Farms</t>
  </si>
  <si>
    <t>Saint Augustine</t>
  </si>
  <si>
    <t>Ponte Vedra</t>
  </si>
  <si>
    <t>Sanderson</t>
  </si>
  <si>
    <t>Starke</t>
  </si>
  <si>
    <t>Wellborn</t>
  </si>
  <si>
    <t>White Springs</t>
  </si>
  <si>
    <t>Jacksonville</t>
  </si>
  <si>
    <t>Duval</t>
  </si>
  <si>
    <t>Astor</t>
  </si>
  <si>
    <t>Lake</t>
  </si>
  <si>
    <t>Barberville</t>
  </si>
  <si>
    <t>Volusia</t>
  </si>
  <si>
    <t>Bunnell</t>
  </si>
  <si>
    <t>Flagler</t>
  </si>
  <si>
    <t>Candler</t>
  </si>
  <si>
    <t>Marion</t>
  </si>
  <si>
    <t>Crescent City</t>
  </si>
  <si>
    <t>Citra</t>
  </si>
  <si>
    <t>Daytona Beach</t>
  </si>
  <si>
    <t>Port Orange</t>
  </si>
  <si>
    <t>De Leon Springs</t>
  </si>
  <si>
    <t>East Palatka</t>
  </si>
  <si>
    <t>Edgewater</t>
  </si>
  <si>
    <t>Eastlake Weir</t>
  </si>
  <si>
    <t>Fort Mc Coy</t>
  </si>
  <si>
    <t>Palm Coast</t>
  </si>
  <si>
    <t>Flagler Beach</t>
  </si>
  <si>
    <t>Grandin</t>
  </si>
  <si>
    <t>Georgetown</t>
  </si>
  <si>
    <t>Florahome</t>
  </si>
  <si>
    <t>Hastings</t>
  </si>
  <si>
    <t>Hollister</t>
  </si>
  <si>
    <t>Interlachen</t>
  </si>
  <si>
    <t>Edgar</t>
  </si>
  <si>
    <t>Lake Como</t>
  </si>
  <si>
    <t>Lady Lake</t>
  </si>
  <si>
    <t>Lake Geneva</t>
  </si>
  <si>
    <t>Sumter</t>
  </si>
  <si>
    <t>New Smyrna Beach</t>
  </si>
  <si>
    <t>Ormond Beach</t>
  </si>
  <si>
    <t>Palatka</t>
  </si>
  <si>
    <t>Ocklawaha</t>
  </si>
  <si>
    <t>Pierson</t>
  </si>
  <si>
    <t>Pomona Park</t>
  </si>
  <si>
    <t>Orange Springs</t>
  </si>
  <si>
    <t>Putnam Hall</t>
  </si>
  <si>
    <t>San Mateo</t>
  </si>
  <si>
    <t>Satsuma</t>
  </si>
  <si>
    <t>Seville</t>
  </si>
  <si>
    <t>Sparr</t>
  </si>
  <si>
    <t>Welaka</t>
  </si>
  <si>
    <t>Weirsdale</t>
  </si>
  <si>
    <t>Atlantic Beach</t>
  </si>
  <si>
    <t>Jacksonville Beach</t>
  </si>
  <si>
    <t>Neptune Beach</t>
  </si>
  <si>
    <t>Tallahassee</t>
  </si>
  <si>
    <t>Leon</t>
  </si>
  <si>
    <t>Apalachicola</t>
  </si>
  <si>
    <t>Franklin</t>
  </si>
  <si>
    <t>Bristol</t>
  </si>
  <si>
    <t>Liberty</t>
  </si>
  <si>
    <t>Carrabelle</t>
  </si>
  <si>
    <t>Lanark Village</t>
  </si>
  <si>
    <t>Chattahoochee</t>
  </si>
  <si>
    <t>Gadsden</t>
  </si>
  <si>
    <t>Crawfordville</t>
  </si>
  <si>
    <t>Wakulla</t>
  </si>
  <si>
    <t>Eastpoint</t>
  </si>
  <si>
    <t>Greensboro</t>
  </si>
  <si>
    <t>Greenville</t>
  </si>
  <si>
    <t>Gretna</t>
  </si>
  <si>
    <t>Havana</t>
  </si>
  <si>
    <t>Hosford</t>
  </si>
  <si>
    <t>Sumatra</t>
  </si>
  <si>
    <t>Lamont</t>
  </si>
  <si>
    <t>Jefferson</t>
  </si>
  <si>
    <t>Lloyd</t>
  </si>
  <si>
    <t>Midway</t>
  </si>
  <si>
    <t>Monticello</t>
  </si>
  <si>
    <t>Panacea</t>
  </si>
  <si>
    <t>Perry</t>
  </si>
  <si>
    <t>Taylor</t>
  </si>
  <si>
    <t>Pinetta</t>
  </si>
  <si>
    <t>Quincy</t>
  </si>
  <si>
    <t>Saint Marks</t>
  </si>
  <si>
    <t>Salem</t>
  </si>
  <si>
    <t>Shady Grove</t>
  </si>
  <si>
    <t>Sopchoppy</t>
  </si>
  <si>
    <t>Steinhatchee</t>
  </si>
  <si>
    <t>Telogia</t>
  </si>
  <si>
    <t>Wacissa</t>
  </si>
  <si>
    <t>Woodville</t>
  </si>
  <si>
    <t>Panama City</t>
  </si>
  <si>
    <t>Bay</t>
  </si>
  <si>
    <t>Panama City Beach</t>
  </si>
  <si>
    <t>Mexico Beach</t>
  </si>
  <si>
    <t>Alford</t>
  </si>
  <si>
    <t>Jackson</t>
  </si>
  <si>
    <t>Altha</t>
  </si>
  <si>
    <t>Calhoun</t>
  </si>
  <si>
    <t>Argyle</t>
  </si>
  <si>
    <t>Walton</t>
  </si>
  <si>
    <t>Bascom</t>
  </si>
  <si>
    <t>Blountstown</t>
  </si>
  <si>
    <t>Bonifay</t>
  </si>
  <si>
    <t>Holmes</t>
  </si>
  <si>
    <t>Campbellton</t>
  </si>
  <si>
    <t>Caryville</t>
  </si>
  <si>
    <t>Washington</t>
  </si>
  <si>
    <t>Chipley</t>
  </si>
  <si>
    <t>Clarksville</t>
  </si>
  <si>
    <t>Cottondale</t>
  </si>
  <si>
    <t>Cypress</t>
  </si>
  <si>
    <t>Defuniak Springs</t>
  </si>
  <si>
    <t>Mossy Head</t>
  </si>
  <si>
    <t>Ebro</t>
  </si>
  <si>
    <t>Fountain</t>
  </si>
  <si>
    <t>Freeport</t>
  </si>
  <si>
    <t>Graceville</t>
  </si>
  <si>
    <t>Grand Ridge</t>
  </si>
  <si>
    <t>Greenwood</t>
  </si>
  <si>
    <t>Lynn Haven</t>
  </si>
  <si>
    <t>Malone</t>
  </si>
  <si>
    <t>Marianna</t>
  </si>
  <si>
    <t>Wewahitchka</t>
  </si>
  <si>
    <t>Noma</t>
  </si>
  <si>
    <t>Point Washington</t>
  </si>
  <si>
    <t>Ponce De Leon</t>
  </si>
  <si>
    <t>Port Saint Joe</t>
  </si>
  <si>
    <t>Gulf</t>
  </si>
  <si>
    <t>Santa Rosa Beach</t>
  </si>
  <si>
    <t>Sneads</t>
  </si>
  <si>
    <t>Rosemary Beach</t>
  </si>
  <si>
    <t>Vernon</t>
  </si>
  <si>
    <t>Wausau</t>
  </si>
  <si>
    <t>Westville</t>
  </si>
  <si>
    <t>Youngstown</t>
  </si>
  <si>
    <t>Pensacola</t>
  </si>
  <si>
    <t>Escambia</t>
  </si>
  <si>
    <t>Bagdad</t>
  </si>
  <si>
    <t>Santa Rosa</t>
  </si>
  <si>
    <t>Okaloosa</t>
  </si>
  <si>
    <t>Cantonment</t>
  </si>
  <si>
    <t>Century</t>
  </si>
  <si>
    <t>Crestview</t>
  </si>
  <si>
    <t>Milligan</t>
  </si>
  <si>
    <t>Paxton</t>
  </si>
  <si>
    <t>Destin</t>
  </si>
  <si>
    <t>Eglin Afb</t>
  </si>
  <si>
    <t>Hurlburt Field</t>
  </si>
  <si>
    <t>Fort Walton Beach</t>
  </si>
  <si>
    <t>Miramar Beach</t>
  </si>
  <si>
    <t>Gonzalez</t>
  </si>
  <si>
    <t>Gulf Breeze</t>
  </si>
  <si>
    <t>Holt</t>
  </si>
  <si>
    <t>Jay</t>
  </si>
  <si>
    <t>Navarre</t>
  </si>
  <si>
    <t>Laurel Hill</t>
  </si>
  <si>
    <t>Mc David</t>
  </si>
  <si>
    <t>Mary Esther</t>
  </si>
  <si>
    <t>Milton</t>
  </si>
  <si>
    <t>Molino</t>
  </si>
  <si>
    <t>Niceville</t>
  </si>
  <si>
    <t>Shalimar</t>
  </si>
  <si>
    <t>Valparaiso</t>
  </si>
  <si>
    <t>Gainesville</t>
  </si>
  <si>
    <t>Anthony</t>
  </si>
  <si>
    <t>Archer</t>
  </si>
  <si>
    <t>Bell</t>
  </si>
  <si>
    <t>Gilchrist</t>
  </si>
  <si>
    <t>Bronson</t>
  </si>
  <si>
    <t>Levy</t>
  </si>
  <si>
    <t>Brooker</t>
  </si>
  <si>
    <t>Cedar Key</t>
  </si>
  <si>
    <t>Chiefland</t>
  </si>
  <si>
    <t>Cross City</t>
  </si>
  <si>
    <t>Dixie</t>
  </si>
  <si>
    <t>Earleton</t>
  </si>
  <si>
    <t>Evinston</t>
  </si>
  <si>
    <t>Fairfield</t>
  </si>
  <si>
    <t>Gulf Hammock</t>
  </si>
  <si>
    <t>Hawthorne</t>
  </si>
  <si>
    <t>High Springs</t>
  </si>
  <si>
    <t>Horseshoe Beach</t>
  </si>
  <si>
    <t>Island Grove</t>
  </si>
  <si>
    <t>Keystone Heights</t>
  </si>
  <si>
    <t>La Crosse</t>
  </si>
  <si>
    <t>Lochloosa</t>
  </si>
  <si>
    <t>Lowell</t>
  </si>
  <si>
    <t>Mc Intosh</t>
  </si>
  <si>
    <t>Melrose</t>
  </si>
  <si>
    <t>Micanopy</t>
  </si>
  <si>
    <t>Morriston</t>
  </si>
  <si>
    <t>Newberry</t>
  </si>
  <si>
    <t>Old Town</t>
  </si>
  <si>
    <t>Orange Lake</t>
  </si>
  <si>
    <t>Otter Creek</t>
  </si>
  <si>
    <t>Reddick</t>
  </si>
  <si>
    <t>Trenton</t>
  </si>
  <si>
    <t>Waldo</t>
  </si>
  <si>
    <t>Williston</t>
  </si>
  <si>
    <t>Worthington Springs</t>
  </si>
  <si>
    <t>Altamonte Springs</t>
  </si>
  <si>
    <t>Seminole</t>
  </si>
  <si>
    <t>Altoona</t>
  </si>
  <si>
    <t>Apopka</t>
  </si>
  <si>
    <t>Orange</t>
  </si>
  <si>
    <t>Cassadaga</t>
  </si>
  <si>
    <t>Casselberry</t>
  </si>
  <si>
    <t>Winter Springs</t>
  </si>
  <si>
    <t>Christmas</t>
  </si>
  <si>
    <t>Clarcona</t>
  </si>
  <si>
    <t>Debary</t>
  </si>
  <si>
    <t>Deland</t>
  </si>
  <si>
    <t>Glenwood</t>
  </si>
  <si>
    <t>Deltona</t>
  </si>
  <si>
    <t>Eustis</t>
  </si>
  <si>
    <t>Geneva</t>
  </si>
  <si>
    <t>Goldenrod</t>
  </si>
  <si>
    <t>Grand Island</t>
  </si>
  <si>
    <t>Lake Helen</t>
  </si>
  <si>
    <t>Mid Florida</t>
  </si>
  <si>
    <t>Lake Mary</t>
  </si>
  <si>
    <t>Lake Monroe</t>
  </si>
  <si>
    <t>Longwood</t>
  </si>
  <si>
    <t>Maitland</t>
  </si>
  <si>
    <t>Mims</t>
  </si>
  <si>
    <t>Brevard</t>
  </si>
  <si>
    <t>Mount Dora</t>
  </si>
  <si>
    <t>Oak Hill</t>
  </si>
  <si>
    <t>Oviedo</t>
  </si>
  <si>
    <t>Orange City</t>
  </si>
  <si>
    <t>Osteen</t>
  </si>
  <si>
    <t>Paisley</t>
  </si>
  <si>
    <t>Plymouth</t>
  </si>
  <si>
    <t>Sanford</t>
  </si>
  <si>
    <t>Scottsmoor</t>
  </si>
  <si>
    <t>Sorrento</t>
  </si>
  <si>
    <t>Tangerine</t>
  </si>
  <si>
    <t>Tavares</t>
  </si>
  <si>
    <t>Titusville</t>
  </si>
  <si>
    <t>Umatilla</t>
  </si>
  <si>
    <t>Winter Park</t>
  </si>
  <si>
    <t>Zellwood</t>
  </si>
  <si>
    <t>Orlando</t>
  </si>
  <si>
    <t>Melbourne</t>
  </si>
  <si>
    <t>Indialantic</t>
  </si>
  <si>
    <t>Palm Bay</t>
  </si>
  <si>
    <t>Cape Canaveral</t>
  </si>
  <si>
    <t>Cocoa</t>
  </si>
  <si>
    <t>Patrick Afb</t>
  </si>
  <si>
    <t>Cocoa Beach</t>
  </si>
  <si>
    <t>Satellite Beach</t>
  </si>
  <si>
    <t>Fellsmere</t>
  </si>
  <si>
    <t>Indian River</t>
  </si>
  <si>
    <t>Grant</t>
  </si>
  <si>
    <t>Malabar</t>
  </si>
  <si>
    <t>Melbourne Beach</t>
  </si>
  <si>
    <t>Merritt Island</t>
  </si>
  <si>
    <t>Rockledge</t>
  </si>
  <si>
    <t>Roseland</t>
  </si>
  <si>
    <t>Sebastian</t>
  </si>
  <si>
    <t>Sharpes</t>
  </si>
  <si>
    <t>Vero Beach</t>
  </si>
  <si>
    <t>Wabasso</t>
  </si>
  <si>
    <t>Winter Beach</t>
  </si>
  <si>
    <t>Long Key</t>
  </si>
  <si>
    <t>Monroe</t>
  </si>
  <si>
    <t>Hialeah</t>
  </si>
  <si>
    <t>Miami-dade</t>
  </si>
  <si>
    <t>Dania</t>
  </si>
  <si>
    <t>Broward</t>
  </si>
  <si>
    <t>Hallandale</t>
  </si>
  <si>
    <t>Hollywood</t>
  </si>
  <si>
    <t>Homestead</t>
  </si>
  <si>
    <t>Islamorada</t>
  </si>
  <si>
    <t>Key Largo</t>
  </si>
  <si>
    <t>Key West</t>
  </si>
  <si>
    <t>Summerland Key</t>
  </si>
  <si>
    <t>Big Pine Key</t>
  </si>
  <si>
    <t>Marathon</t>
  </si>
  <si>
    <t>Key Colony Beach</t>
  </si>
  <si>
    <t>Marathon Shores</t>
  </si>
  <si>
    <t>Opa Locka</t>
  </si>
  <si>
    <t>Pompano Beach</t>
  </si>
  <si>
    <t>Tavernier</t>
  </si>
  <si>
    <t>Pembroke Pines</t>
  </si>
  <si>
    <t>Coconut Creek</t>
  </si>
  <si>
    <t>Miami</t>
  </si>
  <si>
    <t>Miami Beach</t>
  </si>
  <si>
    <t>Key Biscayne</t>
  </si>
  <si>
    <t>North Miami Beach</t>
  </si>
  <si>
    <t>Fort Lauderdale</t>
  </si>
  <si>
    <t>West Palm Beach</t>
  </si>
  <si>
    <t>Palm Beach</t>
  </si>
  <si>
    <t>North Palm Beach</t>
  </si>
  <si>
    <t>Palm Beach Gardens</t>
  </si>
  <si>
    <t>Boynton Beach</t>
  </si>
  <si>
    <t>Boca Raton</t>
  </si>
  <si>
    <t>Belle Glade</t>
  </si>
  <si>
    <t>Canal Point</t>
  </si>
  <si>
    <t>Bryant</t>
  </si>
  <si>
    <t>Clewiston</t>
  </si>
  <si>
    <t>Hendry</t>
  </si>
  <si>
    <t>Deerfield Beach</t>
  </si>
  <si>
    <t>Delray Beach</t>
  </si>
  <si>
    <t>Lake Worth</t>
  </si>
  <si>
    <t>Hobe Sound</t>
  </si>
  <si>
    <t>Martin</t>
  </si>
  <si>
    <t>Jupiter</t>
  </si>
  <si>
    <t>Lake Harbor</t>
  </si>
  <si>
    <t>Loxahatchee</t>
  </si>
  <si>
    <t>Moore Haven</t>
  </si>
  <si>
    <t>Glades</t>
  </si>
  <si>
    <t>Pahokee</t>
  </si>
  <si>
    <t>South Bay</t>
  </si>
  <si>
    <t>Balm</t>
  </si>
  <si>
    <t>Hillsborough</t>
  </si>
  <si>
    <t>Brandon</t>
  </si>
  <si>
    <t>Bushnell</t>
  </si>
  <si>
    <t>Center Hill</t>
  </si>
  <si>
    <t>Coleman</t>
  </si>
  <si>
    <t>Dade City</t>
  </si>
  <si>
    <t>Pasco</t>
  </si>
  <si>
    <t>Crystal Springs</t>
  </si>
  <si>
    <t>Dover</t>
  </si>
  <si>
    <t>Durant</t>
  </si>
  <si>
    <t>Gibsonton</t>
  </si>
  <si>
    <t>Lacoochee</t>
  </si>
  <si>
    <t>Lake Panasoffkee</t>
  </si>
  <si>
    <t>Zephyrhills</t>
  </si>
  <si>
    <t>Wesley Chapel</t>
  </si>
  <si>
    <t>Lithia</t>
  </si>
  <si>
    <t>Lutz</t>
  </si>
  <si>
    <t>Mango</t>
  </si>
  <si>
    <t>Odessa</t>
  </si>
  <si>
    <t>Plant City</t>
  </si>
  <si>
    <t>Riverview</t>
  </si>
  <si>
    <t>Ruskin</t>
  </si>
  <si>
    <t>Sun City Center</t>
  </si>
  <si>
    <t>Apollo Beach</t>
  </si>
  <si>
    <t>Saint Leo</t>
  </si>
  <si>
    <t>San Antonio</t>
  </si>
  <si>
    <t>Seffner</t>
  </si>
  <si>
    <t>Sumterville</t>
  </si>
  <si>
    <t>Sun City</t>
  </si>
  <si>
    <t>Sydney</t>
  </si>
  <si>
    <t>Thonotosassa</t>
  </si>
  <si>
    <t>Trilby</t>
  </si>
  <si>
    <t>Valrico</t>
  </si>
  <si>
    <t>Webster</t>
  </si>
  <si>
    <t>Wimauma</t>
  </si>
  <si>
    <t>Tampa</t>
  </si>
  <si>
    <t>Saint Petersburg</t>
  </si>
  <si>
    <t>Pinellas</t>
  </si>
  <si>
    <t>Bay Pines</t>
  </si>
  <si>
    <t>Clearwater</t>
  </si>
  <si>
    <t>Clearwater Beach</t>
  </si>
  <si>
    <t>Largo</t>
  </si>
  <si>
    <t>Pinellas Park</t>
  </si>
  <si>
    <t>Indian Rocks Beach</t>
  </si>
  <si>
    <t>Belleair Beach</t>
  </si>
  <si>
    <t>Lakeland</t>
  </si>
  <si>
    <t>Polk</t>
  </si>
  <si>
    <t>Alturas</t>
  </si>
  <si>
    <t>Auburndale</t>
  </si>
  <si>
    <t>Avon Park</t>
  </si>
  <si>
    <t>Highlands</t>
  </si>
  <si>
    <t>Babson Park</t>
  </si>
  <si>
    <t>Bartow</t>
  </si>
  <si>
    <t>Bowling Green</t>
  </si>
  <si>
    <t>Hardee</t>
  </si>
  <si>
    <t>Bradley</t>
  </si>
  <si>
    <t>Davenport</t>
  </si>
  <si>
    <t>Dundee</t>
  </si>
  <si>
    <t>Eagle Lake</t>
  </si>
  <si>
    <t>Eaton Park</t>
  </si>
  <si>
    <t>Fort Meade</t>
  </si>
  <si>
    <t>Frostproof</t>
  </si>
  <si>
    <t>Haines City</t>
  </si>
  <si>
    <t>Highland City</t>
  </si>
  <si>
    <t>Homeland</t>
  </si>
  <si>
    <t>Intercession City</t>
  </si>
  <si>
    <t>Osceola</t>
  </si>
  <si>
    <t>Kathleen</t>
  </si>
  <si>
    <t>Lake Alfred</t>
  </si>
  <si>
    <t>Lake Hamilton</t>
  </si>
  <si>
    <t>Lake Placid</t>
  </si>
  <si>
    <t>Lake Wales</t>
  </si>
  <si>
    <t>Fedhaven</t>
  </si>
  <si>
    <t>Indian Lake Estates</t>
  </si>
  <si>
    <t>Nalcrest</t>
  </si>
  <si>
    <t>Lorida</t>
  </si>
  <si>
    <t>Loughman</t>
  </si>
  <si>
    <t>Mulberry</t>
  </si>
  <si>
    <t>Nichols</t>
  </si>
  <si>
    <t>Ona</t>
  </si>
  <si>
    <t>River Ranch</t>
  </si>
  <si>
    <t>Polk City</t>
  </si>
  <si>
    <t>Sebring</t>
  </si>
  <si>
    <t>Wauchula</t>
  </si>
  <si>
    <t>Waverly</t>
  </si>
  <si>
    <t>Winter Haven</t>
  </si>
  <si>
    <t>Zolfo Springs</t>
  </si>
  <si>
    <t>Fort Myers</t>
  </si>
  <si>
    <t>North Fort Myers</t>
  </si>
  <si>
    <t>Cape Coral</t>
  </si>
  <si>
    <t>Alva</t>
  </si>
  <si>
    <t>Boca Grande</t>
  </si>
  <si>
    <t>Bokeelia</t>
  </si>
  <si>
    <t>Captiva</t>
  </si>
  <si>
    <t>El Jobean</t>
  </si>
  <si>
    <t>Charlotte</t>
  </si>
  <si>
    <t>Estero</t>
  </si>
  <si>
    <t>Felda</t>
  </si>
  <si>
    <t>Fort Myers Beach</t>
  </si>
  <si>
    <t>Labelle</t>
  </si>
  <si>
    <t>Lehigh Acres</t>
  </si>
  <si>
    <t>Murdock</t>
  </si>
  <si>
    <t>Palmdale</t>
  </si>
  <si>
    <t>Pineland</t>
  </si>
  <si>
    <t>Placida</t>
  </si>
  <si>
    <t>Rotonda West</t>
  </si>
  <si>
    <t>Port Charlotte</t>
  </si>
  <si>
    <t>Punta Gorda</t>
  </si>
  <si>
    <t>Saint James City</t>
  </si>
  <si>
    <t>Sanibel</t>
  </si>
  <si>
    <t>Venus</t>
  </si>
  <si>
    <t>Naples</t>
  </si>
  <si>
    <t>Collier</t>
  </si>
  <si>
    <t>Vanderbilt Beach</t>
  </si>
  <si>
    <t>Bonita Springs</t>
  </si>
  <si>
    <t>Copeland</t>
  </si>
  <si>
    <t>Chokoloskee</t>
  </si>
  <si>
    <t>Everglades City</t>
  </si>
  <si>
    <t>Goodland</t>
  </si>
  <si>
    <t>Ochopee</t>
  </si>
  <si>
    <t>Immokalee</t>
  </si>
  <si>
    <t>Marco Island</t>
  </si>
  <si>
    <t>Bradenton</t>
  </si>
  <si>
    <t>Manatee</t>
  </si>
  <si>
    <t>Cortez</t>
  </si>
  <si>
    <t>Anna Maria</t>
  </si>
  <si>
    <t>Bradenton Beach</t>
  </si>
  <si>
    <t>Holmes Beach</t>
  </si>
  <si>
    <t>Parrish</t>
  </si>
  <si>
    <t>Palmetto</t>
  </si>
  <si>
    <t>Ellenton</t>
  </si>
  <si>
    <t>Englewood</t>
  </si>
  <si>
    <t>Sarasota</t>
  </si>
  <si>
    <t>Longboat Key</t>
  </si>
  <si>
    <t>Osprey</t>
  </si>
  <si>
    <t>Terra Ceia</t>
  </si>
  <si>
    <t>Myakka City</t>
  </si>
  <si>
    <t>Oneco</t>
  </si>
  <si>
    <t>Arcadia</t>
  </si>
  <si>
    <t>De Soto</t>
  </si>
  <si>
    <t>Fort Ogden</t>
  </si>
  <si>
    <t>Nocatee</t>
  </si>
  <si>
    <t>Tallevast</t>
  </si>
  <si>
    <t>Laurel</t>
  </si>
  <si>
    <t>Nokomis</t>
  </si>
  <si>
    <t>Venice</t>
  </si>
  <si>
    <t>North Port</t>
  </si>
  <si>
    <t>Belleview</t>
  </si>
  <si>
    <t>Crystal River</t>
  </si>
  <si>
    <t>Dunnellon</t>
  </si>
  <si>
    <t>Floral City</t>
  </si>
  <si>
    <t>Hernando</t>
  </si>
  <si>
    <t>Holder</t>
  </si>
  <si>
    <t>Homosassa</t>
  </si>
  <si>
    <t>Homosassa Springs</t>
  </si>
  <si>
    <t>Inglis</t>
  </si>
  <si>
    <t>Inverness</t>
  </si>
  <si>
    <t>Lecanto</t>
  </si>
  <si>
    <t>Beverly Hills</t>
  </si>
  <si>
    <t>Ocala</t>
  </si>
  <si>
    <t>Oxford</t>
  </si>
  <si>
    <t>Silver Springs</t>
  </si>
  <si>
    <t>Summerfield</t>
  </si>
  <si>
    <t>Yankeetown</t>
  </si>
  <si>
    <t>Brooksville</t>
  </si>
  <si>
    <t>Spring Hill</t>
  </si>
  <si>
    <t>Istachatta</t>
  </si>
  <si>
    <t>Land O Lakes</t>
  </si>
  <si>
    <t>New Port Richey</t>
  </si>
  <si>
    <t>Ozona</t>
  </si>
  <si>
    <t>Nobleton</t>
  </si>
  <si>
    <t>Hudson</t>
  </si>
  <si>
    <t>Port Richey</t>
  </si>
  <si>
    <t>Oldsmar</t>
  </si>
  <si>
    <t>Aripeka</t>
  </si>
  <si>
    <t>Elfers</t>
  </si>
  <si>
    <t>Crystal Beach</t>
  </si>
  <si>
    <t>Palm Harbor</t>
  </si>
  <si>
    <t>Tarpon Springs</t>
  </si>
  <si>
    <t>Holiday</t>
  </si>
  <si>
    <t>Safety Harbor</t>
  </si>
  <si>
    <t>Dunedin</t>
  </si>
  <si>
    <t>Astatula</t>
  </si>
  <si>
    <t>Clermont</t>
  </si>
  <si>
    <t>Ferndale</t>
  </si>
  <si>
    <t>Fruitland Park</t>
  </si>
  <si>
    <t>Gotha</t>
  </si>
  <si>
    <t>Groveland</t>
  </si>
  <si>
    <t>Howey In The Hills</t>
  </si>
  <si>
    <t>Kenansville</t>
  </si>
  <si>
    <t>Killarney</t>
  </si>
  <si>
    <t>Kissimmee</t>
  </si>
  <si>
    <t>Leesburg</t>
  </si>
  <si>
    <t>Mascotte</t>
  </si>
  <si>
    <t>Minneola</t>
  </si>
  <si>
    <t>Montverde</t>
  </si>
  <si>
    <t>Oakland</t>
  </si>
  <si>
    <t>Ocoee</t>
  </si>
  <si>
    <t>Okahumpka</t>
  </si>
  <si>
    <t>Saint Cloud</t>
  </si>
  <si>
    <t>Winter Garden</t>
  </si>
  <si>
    <t>Wildwood</t>
  </si>
  <si>
    <t>Windermere</t>
  </si>
  <si>
    <t>Yalaha</t>
  </si>
  <si>
    <t>Fort Pierce</t>
  </si>
  <si>
    <t>Saint Lucie</t>
  </si>
  <si>
    <t>Port Saint Lucie</t>
  </si>
  <si>
    <t>Indiantown</t>
  </si>
  <si>
    <t>Jensen Beach</t>
  </si>
  <si>
    <t>Okeechobee</t>
  </si>
  <si>
    <t>Palm City</t>
  </si>
  <si>
    <t>Port Salerno</t>
  </si>
  <si>
    <t>Stuart</t>
  </si>
  <si>
    <t>G - ZIP Code</t>
  </si>
  <si>
    <t>State</t>
  </si>
  <si>
    <t>Florida</t>
  </si>
  <si>
    <t>County from ZIP Code</t>
  </si>
  <si>
    <t>The time of the call, rounded to the nearest hour. Derived from Time of Initial Call.</t>
  </si>
  <si>
    <t>The day of the week of the call. Derived from the date of the call.</t>
  </si>
  <si>
    <t>The county that the call came from. Derived from the ZIP code.</t>
  </si>
  <si>
    <t>Please select the pivot table, then the analyze ribbon element, then the "Refresh" button to refresh this table.</t>
  </si>
  <si>
    <t># Calls Admitted to CSU</t>
  </si>
  <si>
    <t>Call Response</t>
  </si>
  <si>
    <t>G - Intervention Determined</t>
  </si>
  <si>
    <t>Table and graph of calls by intervention determined.</t>
  </si>
  <si>
    <t># Calls Aged 0-17</t>
  </si>
  <si>
    <t>Return to Field Definition tab.</t>
  </si>
  <si>
    <t>The table should also automatically refresh when the file is opened.</t>
  </si>
  <si>
    <t>G - Avg Response Time - Travel</t>
  </si>
  <si>
    <t>Table and graph of Average Response Time for calls. Excludes calls where "Reason if Not Seen" or "Intervention Determined" is canceled.</t>
  </si>
  <si>
    <t>Table and graph of Average Response Time for calls. Only includes calls where "Intervention Determined" is on-site/face-to-face.</t>
  </si>
  <si>
    <t>G - Avg Response Time - All</t>
  </si>
  <si>
    <t>Provider Notes (Optional)</t>
  </si>
  <si>
    <t>Optional field for provider notes</t>
  </si>
  <si>
    <t>Test</t>
  </si>
  <si>
    <t>No.</t>
  </si>
  <si>
    <t>Column Labels</t>
  </si>
  <si>
    <t>(Multiple Items)</t>
  </si>
  <si>
    <t># Records</t>
  </si>
  <si>
    <t># Validated Records</t>
  </si>
  <si>
    <t>Overall</t>
  </si>
  <si>
    <t>G - Entry Validation</t>
  </si>
  <si>
    <t>Table and graph of # and % of valid rows. in tabs that require provider data entry.</t>
  </si>
  <si>
    <t>% Valid</t>
  </si>
  <si>
    <t>Differences between the month totals and tab totals</t>
  </si>
  <si>
    <t>are due to month totals being unable to capture</t>
  </si>
  <si>
    <t>records with invalid dates.</t>
  </si>
  <si>
    <t># Calls Under 18</t>
  </si>
  <si>
    <t>% Yes</t>
  </si>
  <si>
    <t>% No</t>
  </si>
  <si>
    <t>% Unknown</t>
  </si>
  <si>
    <t>Referred to Treatment</t>
  </si>
  <si>
    <t>Congratulations! You found one of three secret messages hidden</t>
  </si>
  <si>
    <t>In this spreadsheet!</t>
  </si>
  <si>
    <t>Percentages on this tab will only add up to 100% by row if the Client Specific tab has no related validation errors.</t>
  </si>
  <si>
    <t>G - Child Welfare Involvement</t>
  </si>
  <si>
    <t>G - Parental Consent</t>
  </si>
  <si>
    <t>Table and graphs of Child Welfare Involvement. Only includes clients who are under 18.</t>
  </si>
  <si>
    <t>Table and graphs of Parental Consent Involvement. Only includes clients who are under 18.</t>
  </si>
  <si>
    <t>Congratulations! You found one of three secret messages hidden in this spreadsheet.</t>
  </si>
  <si>
    <t>List sources of other referrals, such as parents, law enforcement, residential treatment settings, etc.
(Copied by hand from G - Call Source Tab)</t>
  </si>
  <si>
    <t>Avg. Response Time</t>
  </si>
  <si>
    <t>St. Johns</t>
  </si>
  <si>
    <t>St. Lucie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</si>
</sst>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F400]h:mm:ss\ AM/PM"/>
    <numFmt numFmtId="165" formatCode="m/d/yyyy;@"/>
    <numFmt numFmtId="166" formatCode="[$-409]h:mm\ AM/PM;@"/>
  </numFmts>
  <fonts count="13" x14ac:knownFonts="1">
    <font>
      <sz val="11"/>
      <color theme="1"/>
      <name val="Calibri"/>
      <family val="2"/>
      <scheme val="minor"/>
    </font>
    <font>
      <b/>
      <sz val="11"/>
      <color theme="1"/>
      <name val="Calibri"/>
      <family val="2"/>
      <scheme val="minor"/>
    </font>
    <font>
      <sz val="8"/>
      <name val="Calibri"/>
      <family val="2"/>
      <scheme val="minor"/>
    </font>
    <font>
      <b/>
      <i/>
      <sz val="16"/>
      <color theme="1"/>
      <name val="Calibri"/>
      <family val="2"/>
      <scheme val="minor"/>
    </font>
    <font>
      <b/>
      <i/>
      <sz val="18"/>
      <color theme="1"/>
      <name val="Calibri"/>
      <family val="2"/>
      <scheme val="minor"/>
    </font>
    <font>
      <b/>
      <u/>
      <sz val="36"/>
      <color theme="1"/>
      <name val="Calibri"/>
      <family val="2"/>
      <scheme val="minor"/>
    </font>
    <font>
      <b/>
      <sz val="16"/>
      <color theme="1"/>
      <name val="Calibri"/>
      <family val="2"/>
      <scheme val="minor"/>
    </font>
    <font>
      <sz val="11"/>
      <color theme="1"/>
      <name val="Arial Narrow"/>
      <family val="2"/>
    </font>
    <font>
      <b/>
      <sz val="11"/>
      <color theme="1"/>
      <name val="Arial Narrow"/>
      <family val="2"/>
    </font>
    <font>
      <sz val="11"/>
      <color theme="1"/>
      <name val="Calibri"/>
      <family val="2"/>
      <scheme val="minor"/>
    </font>
    <font>
      <b/>
      <sz val="11"/>
      <color theme="0"/>
      <name val="Calibri"/>
      <family val="2"/>
      <scheme val="minor"/>
    </font>
    <font>
      <u/>
      <sz val="11"/>
      <color theme="10"/>
      <name val="Calibri"/>
      <family val="2"/>
      <scheme val="minor"/>
    </font>
    <font>
      <sz val="11"/>
      <color theme="0"/>
      <name val="Calibri"/>
      <family val="2"/>
      <scheme val="minor"/>
    </font>
  </fonts>
  <fills count="8">
    <fill>
      <patternFill patternType="none"/>
    </fill>
    <fill>
      <patternFill patternType="gray125"/>
    </fill>
    <fill>
      <patternFill patternType="solid">
        <fgColor rgb="FF00B0F0"/>
        <bgColor indexed="64"/>
      </patternFill>
    </fill>
    <fill>
      <patternFill patternType="solid">
        <fgColor rgb="FF00B050"/>
        <bgColor indexed="64"/>
      </patternFill>
    </fill>
    <fill>
      <patternFill patternType="solid">
        <fgColor theme="9" tint="0.59999389629810485"/>
        <bgColor indexed="64"/>
      </patternFill>
    </fill>
    <fill>
      <patternFill patternType="solid">
        <fgColor theme="1"/>
        <bgColor indexed="64"/>
      </patternFill>
    </fill>
    <fill>
      <patternFill patternType="solid">
        <fgColor theme="4"/>
        <bgColor theme="4"/>
      </patternFill>
    </fill>
    <fill>
      <patternFill patternType="solid">
        <fgColor theme="4" tint="0.79998168889431442"/>
        <bgColor theme="4" tint="0.79998168889431442"/>
      </patternFill>
    </fill>
  </fills>
  <borders count="13">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theme="4" tint="0.39997558519241921"/>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thin">
        <color theme="4" tint="0.39997558519241921"/>
      </left>
      <right/>
      <top/>
      <bottom/>
      <diagonal/>
    </border>
    <border>
      <left/>
      <right style="thin">
        <color theme="4" tint="0.39997558519241921"/>
      </right>
      <top/>
      <bottom/>
      <diagonal/>
    </border>
  </borders>
  <cellStyleXfs count="3">
    <xf numFmtId="0" fontId="0" fillId="0" borderId="0"/>
    <xf numFmtId="9" fontId="9" fillId="0" borderId="0" applyFont="0" applyFill="0" applyBorder="0" applyAlignment="0" applyProtection="0"/>
    <xf numFmtId="0" fontId="11" fillId="0" borderId="0" applyNumberFormat="0" applyFill="0" applyBorder="0" applyAlignment="0" applyProtection="0"/>
  </cellStyleXfs>
  <cellXfs count="76">
    <xf numFmtId="0" fontId="0" fillId="0" borderId="0" xfId="0"/>
    <xf numFmtId="14" fontId="0" fillId="0" borderId="0" xfId="0" applyNumberFormat="1"/>
    <xf numFmtId="164" fontId="0" fillId="0" borderId="0" xfId="0" applyNumberFormat="1"/>
    <xf numFmtId="1" fontId="0" fillId="0" borderId="0" xfId="0" applyNumberFormat="1"/>
    <xf numFmtId="2" fontId="0" fillId="0" borderId="0" xfId="0" applyNumberFormat="1"/>
    <xf numFmtId="14" fontId="0" fillId="0" borderId="0" xfId="0" applyNumberFormat="1" applyAlignment="1">
      <alignment wrapText="1"/>
    </xf>
    <xf numFmtId="0" fontId="0" fillId="0" borderId="0" xfId="0" applyAlignment="1">
      <alignment wrapText="1"/>
    </xf>
    <xf numFmtId="164" fontId="0" fillId="0" borderId="0" xfId="0" applyNumberFormat="1" applyAlignment="1">
      <alignment wrapText="1"/>
    </xf>
    <xf numFmtId="1" fontId="0" fillId="0" borderId="0" xfId="0" applyNumberFormat="1" applyAlignment="1">
      <alignment wrapText="1"/>
    </xf>
    <xf numFmtId="2" fontId="0" fillId="0" borderId="0" xfId="0" applyNumberFormat="1" applyAlignment="1">
      <alignment wrapText="1"/>
    </xf>
    <xf numFmtId="0" fontId="0" fillId="0" borderId="0" xfId="0" applyFill="1"/>
    <xf numFmtId="14" fontId="0" fillId="0" borderId="0" xfId="0" applyNumberFormat="1" applyFill="1"/>
    <xf numFmtId="1" fontId="0" fillId="0" borderId="0" xfId="0" applyNumberFormat="1" applyFill="1"/>
    <xf numFmtId="164" fontId="0" fillId="0" borderId="0" xfId="0" applyNumberFormat="1" applyFill="1"/>
    <xf numFmtId="165" fontId="0" fillId="0" borderId="0" xfId="0" applyNumberFormat="1" applyAlignment="1">
      <alignment wrapText="1"/>
    </xf>
    <xf numFmtId="165" fontId="0" fillId="0" borderId="0" xfId="0" applyNumberFormat="1"/>
    <xf numFmtId="165" fontId="0" fillId="0" borderId="0" xfId="0" applyNumberFormat="1" applyFill="1"/>
    <xf numFmtId="166" fontId="0" fillId="0" borderId="0" xfId="0" applyNumberFormat="1"/>
    <xf numFmtId="166" fontId="0" fillId="0" borderId="0" xfId="0" applyNumberFormat="1" applyFill="1"/>
    <xf numFmtId="0" fontId="0" fillId="0" borderId="0" xfId="0" applyNumberFormat="1" applyFill="1"/>
    <xf numFmtId="0" fontId="4" fillId="0" borderId="0" xfId="0" applyFont="1" applyAlignment="1">
      <alignment horizontal="left"/>
    </xf>
    <xf numFmtId="0" fontId="6" fillId="0" borderId="0" xfId="0" applyFont="1"/>
    <xf numFmtId="0" fontId="1" fillId="2" borderId="0" xfId="0" applyFont="1" applyFill="1"/>
    <xf numFmtId="0" fontId="0" fillId="3" borderId="0" xfId="0" applyFill="1"/>
    <xf numFmtId="0" fontId="7" fillId="0" borderId="0" xfId="0" applyFont="1"/>
    <xf numFmtId="0" fontId="7" fillId="0" borderId="0" xfId="0" applyFont="1" applyAlignment="1">
      <alignment wrapText="1"/>
    </xf>
    <xf numFmtId="0" fontId="7" fillId="0" borderId="1" xfId="0" applyFont="1" applyBorder="1"/>
    <xf numFmtId="0" fontId="7" fillId="4" borderId="1" xfId="0" applyFont="1" applyFill="1" applyBorder="1" applyAlignment="1">
      <alignment horizontal="center" vertical="center" wrapText="1"/>
    </xf>
    <xf numFmtId="0" fontId="8" fillId="0" borderId="1" xfId="0" applyFont="1" applyBorder="1" applyAlignment="1">
      <alignment horizontal="center"/>
    </xf>
    <xf numFmtId="0" fontId="7" fillId="0" borderId="0" xfId="0" applyFont="1" applyAlignment="1">
      <alignment horizontal="left"/>
    </xf>
    <xf numFmtId="0" fontId="7" fillId="0" borderId="0" xfId="0" applyFont="1" applyAlignment="1">
      <alignment horizontal="left" vertical="top"/>
    </xf>
    <xf numFmtId="0" fontId="7" fillId="0" borderId="0" xfId="0" applyFont="1" applyAlignment="1">
      <alignment horizontal="left" wrapText="1"/>
    </xf>
    <xf numFmtId="17" fontId="7" fillId="0" borderId="0" xfId="0" applyNumberFormat="1" applyFont="1"/>
    <xf numFmtId="0" fontId="7" fillId="0" borderId="0" xfId="0" applyFont="1" applyAlignment="1">
      <alignment vertical="center" wrapText="1"/>
    </xf>
    <xf numFmtId="17" fontId="7" fillId="0" borderId="1" xfId="0" applyNumberFormat="1" applyFont="1" applyBorder="1"/>
    <xf numFmtId="14" fontId="0" fillId="5" borderId="0" xfId="0" applyNumberFormat="1" applyFill="1"/>
    <xf numFmtId="0" fontId="11" fillId="0" borderId="0" xfId="2"/>
    <xf numFmtId="0" fontId="0" fillId="5" borderId="0" xfId="0" applyFill="1"/>
    <xf numFmtId="0" fontId="7" fillId="5" borderId="0" xfId="0" applyFont="1" applyFill="1"/>
    <xf numFmtId="0" fontId="0" fillId="7" borderId="9" xfId="0" applyFont="1" applyFill="1" applyBorder="1"/>
    <xf numFmtId="0" fontId="0" fillId="0" borderId="9" xfId="0" applyFont="1" applyBorder="1"/>
    <xf numFmtId="0" fontId="10" fillId="6" borderId="0" xfId="0" applyFont="1" applyFill="1" applyBorder="1"/>
    <xf numFmtId="0" fontId="0" fillId="0" borderId="11" xfId="0" applyFont="1" applyFill="1" applyBorder="1"/>
    <xf numFmtId="0" fontId="0" fillId="0" borderId="8" xfId="0" applyFont="1" applyFill="1" applyBorder="1"/>
    <xf numFmtId="0" fontId="0" fillId="0" borderId="7" xfId="0" applyFont="1" applyFill="1" applyBorder="1"/>
    <xf numFmtId="0" fontId="0" fillId="0" borderId="9" xfId="0" applyFont="1" applyFill="1" applyBorder="1"/>
    <xf numFmtId="0" fontId="0" fillId="0" borderId="6" xfId="0" applyFont="1" applyFill="1" applyBorder="1"/>
    <xf numFmtId="0" fontId="0" fillId="0" borderId="10" xfId="0" applyFont="1" applyFill="1" applyBorder="1"/>
    <xf numFmtId="0" fontId="0" fillId="0" borderId="5" xfId="0" applyFont="1" applyFill="1" applyBorder="1"/>
    <xf numFmtId="0" fontId="0" fillId="0" borderId="0" xfId="0" applyFont="1" applyFill="1" applyBorder="1"/>
    <xf numFmtId="0" fontId="0" fillId="0" borderId="12" xfId="0" applyFont="1" applyFill="1" applyBorder="1"/>
    <xf numFmtId="0" fontId="7" fillId="0" borderId="0" xfId="0" applyFont="1" applyAlignment="1"/>
    <xf numFmtId="0" fontId="0" fillId="0" borderId="0" xfId="0" applyNumberFormat="1"/>
    <xf numFmtId="0" fontId="0" fillId="0" borderId="0" xfId="0" pivotButton="1"/>
    <xf numFmtId="0" fontId="7" fillId="0" borderId="1" xfId="0" applyNumberFormat="1" applyFont="1" applyBorder="1"/>
    <xf numFmtId="9" fontId="0" fillId="0" borderId="0" xfId="1" applyFont="1"/>
    <xf numFmtId="18" fontId="0" fillId="0" borderId="0" xfId="0" applyNumberFormat="1"/>
    <xf numFmtId="0" fontId="0" fillId="0" borderId="0" xfId="0" applyAlignment="1"/>
    <xf numFmtId="0" fontId="11" fillId="0" borderId="0" xfId="2" applyAlignment="1"/>
    <xf numFmtId="14" fontId="11" fillId="0" borderId="0" xfId="2" applyNumberFormat="1" applyAlignment="1"/>
    <xf numFmtId="14" fontId="11" fillId="0" borderId="0" xfId="2" applyNumberFormat="1" applyAlignment="1">
      <alignment wrapText="1"/>
    </xf>
    <xf numFmtId="2" fontId="7" fillId="0" borderId="1" xfId="0" applyNumberFormat="1" applyFont="1" applyBorder="1"/>
    <xf numFmtId="0" fontId="0" fillId="0" borderId="0" xfId="0" applyAlignment="1">
      <alignment horizontal="left"/>
    </xf>
    <xf numFmtId="0" fontId="12" fillId="0" borderId="0" xfId="0" applyFont="1"/>
    <xf numFmtId="0" fontId="5" fillId="0" borderId="0" xfId="0" applyFont="1" applyAlignment="1">
      <alignment horizontal="center"/>
    </xf>
    <xf numFmtId="0" fontId="3" fillId="0" borderId="0" xfId="0" applyFont="1" applyAlignment="1">
      <alignment horizontal="left" wrapText="1"/>
    </xf>
    <xf numFmtId="0" fontId="4" fillId="0" borderId="0" xfId="0" applyFont="1" applyAlignment="1">
      <alignment horizontal="left"/>
    </xf>
    <xf numFmtId="0" fontId="4" fillId="0" borderId="0" xfId="0" applyFont="1" applyAlignment="1">
      <alignment horizontal="left" wrapText="1"/>
    </xf>
    <xf numFmtId="0" fontId="0" fillId="0" borderId="0" xfId="0" applyAlignment="1">
      <alignment horizontal="left"/>
    </xf>
    <xf numFmtId="0" fontId="7" fillId="0" borderId="0" xfId="0" applyFont="1" applyAlignment="1">
      <alignment horizontal="left"/>
    </xf>
    <xf numFmtId="0" fontId="8" fillId="0" borderId="1" xfId="0" applyFont="1" applyBorder="1" applyAlignment="1">
      <alignment horizontal="center"/>
    </xf>
    <xf numFmtId="0" fontId="7" fillId="0" borderId="0" xfId="0" applyFont="1" applyAlignment="1">
      <alignment horizontal="left" wrapText="1"/>
    </xf>
    <xf numFmtId="0" fontId="7" fillId="0" borderId="0" xfId="0" applyFont="1" applyAlignment="1">
      <alignment horizontal="left" vertical="top"/>
    </xf>
    <xf numFmtId="0" fontId="8" fillId="0" borderId="4" xfId="0" applyFont="1" applyBorder="1" applyAlignment="1">
      <alignment horizontal="center"/>
    </xf>
    <xf numFmtId="0" fontId="8" fillId="0" borderId="3" xfId="0" applyFont="1" applyBorder="1" applyAlignment="1">
      <alignment horizontal="center"/>
    </xf>
    <xf numFmtId="0" fontId="8" fillId="0" borderId="2" xfId="0" applyFont="1" applyBorder="1" applyAlignment="1">
      <alignment horizontal="center"/>
    </xf>
  </cellXfs>
  <cellStyles count="3">
    <cellStyle name="Hyperlink" xfId="2" builtinId="8"/>
    <cellStyle name="Normal" xfId="0" builtinId="0"/>
    <cellStyle name="Percent" xfId="1" builtinId="5"/>
  </cellStyles>
  <dxfs count="87">
    <dxf>
      <numFmt numFmtId="0" formatCode="General"/>
    </dxf>
    <dxf>
      <fill>
        <patternFill patternType="solid">
          <fgColor indexed="64"/>
          <bgColor theme="1"/>
        </patternFill>
      </fill>
    </dxf>
    <dxf>
      <numFmt numFmtId="19" formatCode="m/d/yyyy"/>
    </dxf>
    <dxf>
      <numFmt numFmtId="19" formatCode="m/d/yyyy"/>
      <fill>
        <patternFill patternType="none">
          <fgColor indexed="64"/>
          <bgColor auto="1"/>
        </patternFill>
      </fill>
    </dxf>
    <dxf>
      <font>
        <color rgb="FFFF0000"/>
      </font>
      <fill>
        <patternFill>
          <bgColor rgb="FF00B0F0"/>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164" formatCode="[$-F400]h:mm:ss\ AM/PM"/>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19" formatCode="m/d/yyyy"/>
      <fill>
        <patternFill patternType="solid">
          <fgColor indexed="64"/>
          <bgColor theme="1"/>
        </patternFill>
      </fill>
    </dxf>
    <dxf>
      <numFmt numFmtId="19" formatCode="m/d/yyyy"/>
    </dxf>
    <dxf>
      <numFmt numFmtId="19" formatCode="m/d/yyyy"/>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1" formatCode="0"/>
      <fill>
        <patternFill patternType="none">
          <fgColor indexed="64"/>
          <bgColor auto="1"/>
        </patternFill>
      </fill>
    </dxf>
    <dxf>
      <numFmt numFmtId="1" formatCode="0"/>
    </dxf>
    <dxf>
      <numFmt numFmtId="1" formatCode="0"/>
    </dxf>
    <dxf>
      <numFmt numFmtId="164" formatCode="[$-F400]h:mm:ss\ AM/PM"/>
      <fill>
        <patternFill patternType="none">
          <fgColor indexed="64"/>
          <bgColor auto="1"/>
        </patternFill>
      </fill>
    </dxf>
    <dxf>
      <numFmt numFmtId="164" formatCode="[$-F400]h:mm:ss\ AM/PM"/>
    </dxf>
    <dxf>
      <fill>
        <patternFill patternType="none">
          <fgColor indexed="64"/>
          <bgColor auto="1"/>
        </patternFill>
      </fill>
    </dxf>
    <dxf>
      <numFmt numFmtId="164" formatCode="[$-F400]h:mm:ss\ AM/PM"/>
      <fill>
        <patternFill patternType="none">
          <fgColor indexed="64"/>
          <bgColor auto="1"/>
        </patternFill>
      </fill>
    </dxf>
    <dxf>
      <numFmt numFmtId="164" formatCode="[$-F400]h:mm:ss\ AM/PM"/>
      <fill>
        <patternFill patternType="none">
          <fgColor indexed="64"/>
          <bgColor auto="1"/>
        </patternFill>
      </fill>
    </dxf>
    <dxf>
      <numFmt numFmtId="166" formatCode="[$-409]h:mm\ AM/PM;@"/>
      <fill>
        <patternFill patternType="none">
          <fgColor indexed="64"/>
          <bgColor auto="1"/>
        </patternFill>
      </fill>
    </dxf>
    <dxf>
      <numFmt numFmtId="164" formatCode="[$-F400]h:mm:ss\ AM/PM"/>
      <fill>
        <patternFill patternType="none">
          <fgColor indexed="64"/>
          <bgColor auto="1"/>
        </patternFill>
      </fill>
    </dxf>
    <dxf>
      <numFmt numFmtId="164" formatCode="[$-F400]h:mm:ss\ AM/PM"/>
      <fill>
        <patternFill patternType="none">
          <fgColor indexed="64"/>
          <bgColor indexed="65"/>
        </patternFill>
      </fill>
    </dxf>
    <dxf>
      <numFmt numFmtId="164" formatCode="[$-F400]h:mm:ss\ AM/PM"/>
      <fill>
        <patternFill patternType="none">
          <fgColor indexed="64"/>
          <bgColor auto="1"/>
        </patternFill>
      </fill>
    </dxf>
    <dxf>
      <numFmt numFmtId="166" formatCode="[$-409]h:mm\ AM/PM;@"/>
      <fill>
        <patternFill patternType="none">
          <fgColor indexed="64"/>
          <bgColor auto="1"/>
        </patternFill>
      </fill>
    </dxf>
    <dxf>
      <numFmt numFmtId="165" formatCode="m/d/yyyy;@"/>
      <fill>
        <patternFill patternType="none">
          <fgColor indexed="64"/>
          <bgColor auto="1"/>
        </patternFill>
      </fill>
    </dxf>
    <dxf>
      <numFmt numFmtId="1" formatCode="0"/>
      <fill>
        <patternFill patternType="none">
          <fgColor indexed="64"/>
          <bgColor auto="1"/>
        </patternFill>
      </fill>
    </dxf>
    <dxf>
      <numFmt numFmtId="1" formatCode="0"/>
      <fill>
        <patternFill patternType="none">
          <fgColor indexed="64"/>
          <bgColor auto="1"/>
        </patternFill>
      </fill>
    </dxf>
    <dxf>
      <numFmt numFmtId="1" formatCode="0"/>
      <fill>
        <patternFill patternType="none">
          <fgColor indexed="64"/>
          <bgColor auto="1"/>
        </patternFill>
      </fill>
    </dxf>
    <dxf>
      <numFmt numFmtId="1" formatCode="0"/>
      <fill>
        <patternFill patternType="none">
          <fgColor indexed="64"/>
          <bgColor auto="1"/>
        </patternFill>
      </fill>
    </dxf>
    <dxf>
      <fill>
        <patternFill patternType="none">
          <fgColor indexed="64"/>
          <bgColor auto="1"/>
        </patternFill>
      </fill>
    </dxf>
    <dxf>
      <numFmt numFmtId="1" formatCode="0"/>
      <fill>
        <patternFill patternType="none">
          <fgColor indexed="64"/>
          <bgColor indexed="65"/>
        </patternFill>
      </fill>
    </dxf>
    <dxf>
      <numFmt numFmtId="1" formatCode="0"/>
      <fill>
        <patternFill patternType="none">
          <fgColor indexed="64"/>
          <bgColor indexed="65"/>
        </patternFill>
      </fill>
    </dxf>
    <dxf>
      <numFmt numFmtId="1" formatCode="0"/>
      <fill>
        <patternFill patternType="none">
          <fgColor indexed="64"/>
          <bgColor auto="1"/>
        </patternFill>
      </fill>
    </dxf>
    <dxf>
      <numFmt numFmtId="19" formatCode="m/d/yyyy"/>
      <fill>
        <patternFill patternType="none">
          <fgColor indexed="64"/>
          <bgColor auto="1"/>
        </patternFill>
      </fill>
    </dxf>
    <dxf>
      <fill>
        <patternFill patternType="none">
          <fgColor indexed="64"/>
          <bgColor auto="1"/>
        </patternFill>
      </fill>
    </dxf>
    <dxf>
      <fill>
        <patternFill patternType="none">
          <fgColor indexed="64"/>
          <bgColor auto="1"/>
        </patternFill>
      </fill>
    </dxf>
    <dxf>
      <alignment horizontal="general" vertical="bottom" textRotation="0" wrapText="1" indent="0" justifyLastLine="0" shrinkToFit="0" readingOrder="0"/>
    </dxf>
    <dxf>
      <font>
        <color rgb="FFFF0000"/>
      </font>
      <fill>
        <patternFill>
          <bgColor rgb="FF00B0F0"/>
        </patternFill>
      </fill>
    </dxf>
    <dxf>
      <alignment horizontal="general" vertical="bottom" textRotation="0" wrapText="0" indent="0" justifyLastLine="0" shrinkToFit="0" readingOrder="0"/>
    </dxf>
    <dxf>
      <alignment horizontal="general" vertical="bottom" textRotation="0" wrapText="0" indent="0" justifyLastLine="0" shrinkToFit="0" readingOrder="0"/>
    </dxf>
    <dxf>
      <border outline="0">
        <right style="thin">
          <color theme="4" tint="0.39997558519241921"/>
        </right>
        <top style="thin">
          <color theme="4" tint="0.39997558519241921"/>
        </top>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border outline="0">
        <top style="thin">
          <color theme="4" tint="0.39997558519241921"/>
        </top>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border outline="0">
        <top style="thin">
          <color theme="4" tint="0.39997558519241921"/>
        </top>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border outline="0">
        <top style="thin">
          <color theme="4" tint="0.39997558519241921"/>
        </top>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border outline="0">
        <top style="thin">
          <color theme="4" tint="0.39997558519241921"/>
        </top>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border outline="0">
        <top style="thin">
          <color theme="4" tint="0.39997558519241921"/>
        </top>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border outline="0">
        <top style="thin">
          <color theme="4" tint="0.39997558519241921"/>
        </top>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border outline="0">
        <top style="thin">
          <color theme="4" tint="0.39997558519241921"/>
        </top>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border outline="0">
        <top style="thin">
          <color theme="4" tint="0.39997558519241921"/>
        </top>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border outline="0">
        <top style="thin">
          <color theme="4" tint="0.39997558519241921"/>
        </top>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border outline="0">
        <top style="thin">
          <color theme="4" tint="0.39997558519241921"/>
        </top>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border outline="0">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dxf>
    <dxf>
      <font>
        <b/>
        <i val="0"/>
        <strike val="0"/>
        <condense val="0"/>
        <extend val="0"/>
        <outline val="0"/>
        <shadow val="0"/>
        <u val="none"/>
        <vertAlign val="baseline"/>
        <sz val="11"/>
        <color theme="0"/>
        <name val="Calibri"/>
        <family val="2"/>
        <scheme val="minor"/>
      </font>
      <fill>
        <patternFill patternType="solid">
          <fgColor theme="4"/>
          <bgColor theme="4"/>
        </patternFill>
      </fill>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border outline="0">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dxf>
    <dxf>
      <font>
        <b/>
        <i val="0"/>
        <strike val="0"/>
        <condense val="0"/>
        <extend val="0"/>
        <outline val="0"/>
        <shadow val="0"/>
        <u val="none"/>
        <vertAlign val="baseline"/>
        <sz val="11"/>
        <color theme="0"/>
        <name val="Calibri"/>
        <family val="2"/>
        <scheme val="minor"/>
      </font>
      <fill>
        <patternFill patternType="solid">
          <fgColor theme="4"/>
          <bgColor theme="4"/>
        </patternFill>
      </fill>
    </dxf>
    <dxf>
      <border outline="0">
        <top style="thin">
          <color theme="4" tint="0.39997558519241921"/>
        </top>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border outline="0">
        <top style="thin">
          <color theme="4" tint="0.39997558519241921"/>
        </top>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border outline="0">
        <top style="thin">
          <color theme="4" tint="0.39997558519241921"/>
        </top>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border outline="0">
        <left style="thin">
          <color theme="4" tint="0.39997558519241921"/>
        </left>
        <top style="thin">
          <color theme="4" tint="0.39997558519241921"/>
        </top>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sheetMetadata" Target="metadata.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6.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7.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8.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19.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1.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2.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3.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Ex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Ex3.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of Valid Record Entries by Tab</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2"/>
          <c:order val="0"/>
          <c:tx>
            <c:strRef>
              <c:f>'G - Entry Validation'!$I$1</c:f>
              <c:strCache>
                <c:ptCount val="1"/>
                <c:pt idx="0">
                  <c:v>% Valid</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 - Entry Validation'!$F$2:$F$5</c:f>
              <c:strCache>
                <c:ptCount val="4"/>
                <c:pt idx="0">
                  <c:v>Client Specific</c:v>
                </c:pt>
                <c:pt idx="1">
                  <c:v>Other Funding Sources</c:v>
                </c:pt>
                <c:pt idx="2">
                  <c:v>Outreach Activities</c:v>
                </c:pt>
                <c:pt idx="3">
                  <c:v>Overall</c:v>
                </c:pt>
              </c:strCache>
            </c:strRef>
          </c:cat>
          <c:val>
            <c:numRef>
              <c:f>'G - Entry Validation'!$I$2:$I$5</c:f>
              <c:numCache>
                <c:formatCode>0%</c:formatCode>
                <c:ptCount val="4"/>
                <c:pt idx="0">
                  <c:v>0</c:v>
                </c:pt>
                <c:pt idx="1">
                  <c:v>0</c:v>
                </c:pt>
                <c:pt idx="2">
                  <c:v>0</c:v>
                </c:pt>
                <c:pt idx="3">
                  <c:v>0</c:v>
                </c:pt>
              </c:numCache>
            </c:numRef>
          </c:val>
          <c:extLst>
            <c:ext xmlns:c16="http://schemas.microsoft.com/office/drawing/2014/chart" uri="{C3380CC4-5D6E-409C-BE32-E72D297353CC}">
              <c16:uniqueId val="{00000002-11B5-4C09-950F-7D44F44F808E}"/>
            </c:ext>
          </c:extLst>
        </c:ser>
        <c:dLbls>
          <c:showLegendKey val="0"/>
          <c:showVal val="0"/>
          <c:showCatName val="0"/>
          <c:showSerName val="0"/>
          <c:showPercent val="0"/>
          <c:showBubbleSize val="0"/>
        </c:dLbls>
        <c:gapWidth val="219"/>
        <c:overlap val="-27"/>
        <c:axId val="816089184"/>
        <c:axId val="2061014944"/>
      </c:barChart>
      <c:catAx>
        <c:axId val="816089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1014944"/>
        <c:crosses val="autoZero"/>
        <c:auto val="1"/>
        <c:lblAlgn val="ctr"/>
        <c:lblOffset val="100"/>
        <c:noMultiLvlLbl val="0"/>
      </c:catAx>
      <c:valAx>
        <c:axId val="20610149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608918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0" i="0" baseline="0">
                <a:effectLst/>
              </a:rPr>
              <a:t>CSU Admission by Parental Consent Status</a:t>
            </a:r>
            <a:endParaRPr lang="en-US">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'G - Parental Consent'!$G$2</c:f>
              <c:strCache>
                <c:ptCount val="1"/>
                <c:pt idx="0">
                  <c:v>Admitted to CSU</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 - Parental Consent'!$H$1:$J$1</c:f>
              <c:strCache>
                <c:ptCount val="3"/>
                <c:pt idx="0">
                  <c:v>Yes</c:v>
                </c:pt>
                <c:pt idx="1">
                  <c:v>Parent Refused</c:v>
                </c:pt>
                <c:pt idx="2">
                  <c:v>Unable to Reach Parent</c:v>
                </c:pt>
              </c:strCache>
            </c:strRef>
          </c:cat>
          <c:val>
            <c:numRef>
              <c:f>'G - Parental Consent'!$H$2:$J$2</c:f>
              <c:numCache>
                <c:formatCode>0%</c:formatCode>
                <c:ptCount val="3"/>
                <c:pt idx="0">
                  <c:v>0</c:v>
                </c:pt>
                <c:pt idx="1">
                  <c:v>0</c:v>
                </c:pt>
                <c:pt idx="2">
                  <c:v>0</c:v>
                </c:pt>
              </c:numCache>
            </c:numRef>
          </c:val>
          <c:extLst>
            <c:ext xmlns:c16="http://schemas.microsoft.com/office/drawing/2014/chart" uri="{C3380CC4-5D6E-409C-BE32-E72D297353CC}">
              <c16:uniqueId val="{00000000-89FC-461A-A52B-DCE8CF767E37}"/>
            </c:ext>
          </c:extLst>
        </c:ser>
        <c:ser>
          <c:idx val="1"/>
          <c:order val="1"/>
          <c:tx>
            <c:strRef>
              <c:f>'G - Parental Consent'!$G$3</c:f>
              <c:strCache>
                <c:ptCount val="1"/>
                <c:pt idx="0">
                  <c:v>Not Admitted to CSU</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 - Parental Consent'!$H$1:$J$1</c:f>
              <c:strCache>
                <c:ptCount val="3"/>
                <c:pt idx="0">
                  <c:v>Yes</c:v>
                </c:pt>
                <c:pt idx="1">
                  <c:v>Parent Refused</c:v>
                </c:pt>
                <c:pt idx="2">
                  <c:v>Unable to Reach Parent</c:v>
                </c:pt>
              </c:strCache>
            </c:strRef>
          </c:cat>
          <c:val>
            <c:numRef>
              <c:f>'G - Parental Consent'!$H$3:$J$3</c:f>
              <c:numCache>
                <c:formatCode>0%</c:formatCode>
                <c:ptCount val="3"/>
                <c:pt idx="0">
                  <c:v>0</c:v>
                </c:pt>
                <c:pt idx="1">
                  <c:v>0</c:v>
                </c:pt>
                <c:pt idx="2">
                  <c:v>0</c:v>
                </c:pt>
              </c:numCache>
            </c:numRef>
          </c:val>
          <c:extLst>
            <c:ext xmlns:c16="http://schemas.microsoft.com/office/drawing/2014/chart" uri="{C3380CC4-5D6E-409C-BE32-E72D297353CC}">
              <c16:uniqueId val="{00000001-89FC-461A-A52B-DCE8CF767E37}"/>
            </c:ext>
          </c:extLst>
        </c:ser>
        <c:dLbls>
          <c:showLegendKey val="0"/>
          <c:showVal val="0"/>
          <c:showCatName val="0"/>
          <c:showSerName val="0"/>
          <c:showPercent val="0"/>
          <c:showBubbleSize val="0"/>
        </c:dLbls>
        <c:gapWidth val="219"/>
        <c:overlap val="-27"/>
        <c:axId val="1737065728"/>
        <c:axId val="1717363760"/>
      </c:barChart>
      <c:catAx>
        <c:axId val="1737065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17363760"/>
        <c:crosses val="autoZero"/>
        <c:auto val="1"/>
        <c:lblAlgn val="ctr"/>
        <c:lblOffset val="100"/>
        <c:noMultiLvlLbl val="0"/>
      </c:catAx>
      <c:valAx>
        <c:axId val="17173637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70657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Referred to Treatment</a:t>
            </a:r>
            <a:r>
              <a:rPr lang="en-US" baseline="0"/>
              <a:t> by Month</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 - % Referred to Treatment'!$F$1:$F$12</c:f>
              <c:strCache>
                <c:ptCount val="12"/>
                <c:pt idx="0">
                  <c:v>% Referred</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 % Referred to Treatment'!$A$2:$A$13</c:f>
              <c:numCache>
                <c:formatCode>mmm\-yy</c:formatCode>
                <c:ptCount val="12"/>
                <c:pt idx="0">
                  <c:v>44378</c:v>
                </c:pt>
                <c:pt idx="1">
                  <c:v>44409</c:v>
                </c:pt>
                <c:pt idx="2">
                  <c:v>44440</c:v>
                </c:pt>
                <c:pt idx="3">
                  <c:v>44470</c:v>
                </c:pt>
                <c:pt idx="4">
                  <c:v>44501</c:v>
                </c:pt>
                <c:pt idx="5">
                  <c:v>44531</c:v>
                </c:pt>
                <c:pt idx="6">
                  <c:v>44562</c:v>
                </c:pt>
                <c:pt idx="7">
                  <c:v>44593</c:v>
                </c:pt>
                <c:pt idx="8">
                  <c:v>44621</c:v>
                </c:pt>
                <c:pt idx="9">
                  <c:v>44652</c:v>
                </c:pt>
                <c:pt idx="10">
                  <c:v>44682</c:v>
                </c:pt>
                <c:pt idx="11">
                  <c:v>44713</c:v>
                </c:pt>
              </c:numCache>
            </c:numRef>
          </c:cat>
          <c:val>
            <c:numRef>
              <c:f>'G - % Referred to Treatment'!$F$2:$F$13</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B0E9-4D78-B924-0E89B9664E46}"/>
            </c:ext>
          </c:extLst>
        </c:ser>
        <c:dLbls>
          <c:showLegendKey val="0"/>
          <c:showVal val="0"/>
          <c:showCatName val="0"/>
          <c:showSerName val="0"/>
          <c:showPercent val="0"/>
          <c:showBubbleSize val="0"/>
        </c:dLbls>
        <c:marker val="1"/>
        <c:smooth val="0"/>
        <c:axId val="1301710544"/>
        <c:axId val="1220597536"/>
      </c:lineChart>
      <c:dateAx>
        <c:axId val="130171054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597536"/>
        <c:crosses val="autoZero"/>
        <c:auto val="1"/>
        <c:lblOffset val="100"/>
        <c:baseTimeUnit val="months"/>
      </c:dateAx>
      <c:valAx>
        <c:axId val="122059753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1710544"/>
        <c:crosses val="autoZero"/>
        <c:crossBetween val="between"/>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Referred to Treatment (Total)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 - % Referred to Treatment'!$B$1:$E$1</c:f>
              <c:strCache>
                <c:ptCount val="4"/>
                <c:pt idx="0">
                  <c:v>Yes - Currently engaged in Tx</c:v>
                </c:pt>
                <c:pt idx="1">
                  <c:v>Yes - New/addt'l Svcs</c:v>
                </c:pt>
                <c:pt idx="2">
                  <c:v>Yes - Refused</c:v>
                </c:pt>
                <c:pt idx="3">
                  <c:v>No</c:v>
                </c:pt>
              </c:strCache>
            </c:strRef>
          </c:cat>
          <c:val>
            <c:numRef>
              <c:f>'G - % Referred to Treatment'!$B$15:$E$15</c:f>
              <c:numCache>
                <c:formatCode>0%</c:formatCode>
                <c:ptCount val="4"/>
                <c:pt idx="0">
                  <c:v>0</c:v>
                </c:pt>
                <c:pt idx="1">
                  <c:v>0</c:v>
                </c:pt>
                <c:pt idx="2">
                  <c:v>0</c:v>
                </c:pt>
                <c:pt idx="3">
                  <c:v>0</c:v>
                </c:pt>
              </c:numCache>
            </c:numRef>
          </c:val>
          <c:extLst>
            <c:ext xmlns:c16="http://schemas.microsoft.com/office/drawing/2014/chart" uri="{C3380CC4-5D6E-409C-BE32-E72D297353CC}">
              <c16:uniqueId val="{00000000-D164-4909-9663-3F65472429C3}"/>
            </c:ext>
          </c:extLst>
        </c:ser>
        <c:dLbls>
          <c:showLegendKey val="0"/>
          <c:showVal val="0"/>
          <c:showCatName val="0"/>
          <c:showSerName val="0"/>
          <c:showPercent val="0"/>
          <c:showBubbleSize val="0"/>
        </c:dLbls>
        <c:gapWidth val="219"/>
        <c:overlap val="-27"/>
        <c:axId val="1350680816"/>
        <c:axId val="1493924384"/>
      </c:barChart>
      <c:catAx>
        <c:axId val="1350680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924384"/>
        <c:crosses val="autoZero"/>
        <c:auto val="1"/>
        <c:lblAlgn val="ctr"/>
        <c:lblOffset val="100"/>
        <c:noMultiLvlLbl val="0"/>
      </c:catAx>
      <c:valAx>
        <c:axId val="149392438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06808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Admitted to CSU (Total)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 - % Admitted to CSU'!$B$1:$C$1</c:f>
              <c:strCache>
                <c:ptCount val="2"/>
                <c:pt idx="0">
                  <c:v>Yes</c:v>
                </c:pt>
                <c:pt idx="1">
                  <c:v>No</c:v>
                </c:pt>
              </c:strCache>
            </c:strRef>
          </c:cat>
          <c:val>
            <c:numRef>
              <c:f>'G - % Admitted to CSU'!$B$15:$C$15</c:f>
              <c:numCache>
                <c:formatCode>0%</c:formatCode>
                <c:ptCount val="2"/>
                <c:pt idx="0">
                  <c:v>0</c:v>
                </c:pt>
                <c:pt idx="1">
                  <c:v>0</c:v>
                </c:pt>
              </c:numCache>
            </c:numRef>
          </c:val>
          <c:extLst>
            <c:ext xmlns:c16="http://schemas.microsoft.com/office/drawing/2014/chart" uri="{C3380CC4-5D6E-409C-BE32-E72D297353CC}">
              <c16:uniqueId val="{00000000-2A2C-48E8-8781-B8E5906E4A42}"/>
            </c:ext>
          </c:extLst>
        </c:ser>
        <c:dLbls>
          <c:showLegendKey val="0"/>
          <c:showVal val="0"/>
          <c:showCatName val="0"/>
          <c:showSerName val="0"/>
          <c:showPercent val="0"/>
          <c:showBubbleSize val="0"/>
        </c:dLbls>
        <c:gapWidth val="219"/>
        <c:overlap val="-27"/>
        <c:axId val="105055935"/>
        <c:axId val="1493933952"/>
      </c:barChart>
      <c:catAx>
        <c:axId val="1050559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933952"/>
        <c:crosses val="autoZero"/>
        <c:auto val="1"/>
        <c:lblAlgn val="ctr"/>
        <c:lblOffset val="100"/>
        <c:noMultiLvlLbl val="0"/>
      </c:catAx>
      <c:valAx>
        <c:axId val="149393395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5593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Admitted to CSU by Month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 - % Admitted to CSU'!$D$1</c:f>
              <c:strCache>
                <c:ptCount val="1"/>
                <c:pt idx="0">
                  <c:v>% Admitted to CSU</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 % Admitted to CSU'!$A$2:$A$13</c:f>
              <c:numCache>
                <c:formatCode>mmm\-yy</c:formatCode>
                <c:ptCount val="12"/>
                <c:pt idx="0">
                  <c:v>44378</c:v>
                </c:pt>
                <c:pt idx="1">
                  <c:v>44409</c:v>
                </c:pt>
                <c:pt idx="2">
                  <c:v>44440</c:v>
                </c:pt>
                <c:pt idx="3">
                  <c:v>44470</c:v>
                </c:pt>
                <c:pt idx="4">
                  <c:v>44501</c:v>
                </c:pt>
                <c:pt idx="5">
                  <c:v>44531</c:v>
                </c:pt>
                <c:pt idx="6">
                  <c:v>44562</c:v>
                </c:pt>
                <c:pt idx="7">
                  <c:v>44593</c:v>
                </c:pt>
                <c:pt idx="8">
                  <c:v>44621</c:v>
                </c:pt>
                <c:pt idx="9">
                  <c:v>44652</c:v>
                </c:pt>
                <c:pt idx="10">
                  <c:v>44682</c:v>
                </c:pt>
                <c:pt idx="11">
                  <c:v>44713</c:v>
                </c:pt>
              </c:numCache>
            </c:numRef>
          </c:cat>
          <c:val>
            <c:numRef>
              <c:f>'G - % Admitted to CSU'!$D$2:$D$13</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E0CF-4B19-A9AA-8EB5D27380B0}"/>
            </c:ext>
          </c:extLst>
        </c:ser>
        <c:dLbls>
          <c:showLegendKey val="0"/>
          <c:showVal val="0"/>
          <c:showCatName val="0"/>
          <c:showSerName val="0"/>
          <c:showPercent val="0"/>
          <c:showBubbleSize val="0"/>
        </c:dLbls>
        <c:marker val="1"/>
        <c:smooth val="0"/>
        <c:axId val="288942335"/>
        <c:axId val="670267840"/>
      </c:lineChart>
      <c:dateAx>
        <c:axId val="288942335"/>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0267840"/>
        <c:crosses val="autoZero"/>
        <c:auto val="1"/>
        <c:lblOffset val="100"/>
        <c:baseTimeUnit val="months"/>
      </c:dateAx>
      <c:valAx>
        <c:axId val="67026784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8942335"/>
        <c:crosses val="autoZero"/>
        <c:crossBetween val="between"/>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Calls by Age and Sex of Client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'G - Age and Sex'!$B$1</c:f>
              <c:strCache>
                <c:ptCount val="1"/>
                <c:pt idx="0">
                  <c:v>Male</c:v>
                </c:pt>
              </c:strCache>
            </c:strRef>
          </c:tx>
          <c:spPr>
            <a:ln w="28575" cap="rnd">
              <a:solidFill>
                <a:schemeClr val="accent2"/>
              </a:solidFill>
              <a:round/>
            </a:ln>
            <a:effectLst/>
          </c:spPr>
          <c:marker>
            <c:symbol val="none"/>
          </c:marker>
          <c:cat>
            <c:numRef>
              <c:f>'G - Age and Sex'!$A$2:$A$102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'G - Age and Sex'!$B$2:$B$102</c:f>
              <c:numCache>
                <c:formatCode>General</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smooth val="0"/>
          <c:extLst>
            <c:ext xmlns:c16="http://schemas.microsoft.com/office/drawing/2014/chart" uri="{C3380CC4-5D6E-409C-BE32-E72D297353CC}">
              <c16:uniqueId val="{00000001-C4B9-45CB-94D7-C1038AA7B14C}"/>
            </c:ext>
          </c:extLst>
        </c:ser>
        <c:ser>
          <c:idx val="2"/>
          <c:order val="1"/>
          <c:tx>
            <c:strRef>
              <c:f>'G - Age and Sex'!$C$1</c:f>
              <c:strCache>
                <c:ptCount val="1"/>
                <c:pt idx="0">
                  <c:v>Female</c:v>
                </c:pt>
              </c:strCache>
            </c:strRef>
          </c:tx>
          <c:spPr>
            <a:ln w="28575" cap="rnd">
              <a:solidFill>
                <a:schemeClr val="accent3"/>
              </a:solidFill>
              <a:round/>
            </a:ln>
            <a:effectLst/>
          </c:spPr>
          <c:marker>
            <c:symbol val="none"/>
          </c:marker>
          <c:cat>
            <c:numRef>
              <c:f>'G - Age and Sex'!$A$2:$A$102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'G - Age and Sex'!$C$2:$C$102</c:f>
              <c:numCache>
                <c:formatCode>General</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smooth val="0"/>
          <c:extLst>
            <c:ext xmlns:c16="http://schemas.microsoft.com/office/drawing/2014/chart" uri="{C3380CC4-5D6E-409C-BE32-E72D297353CC}">
              <c16:uniqueId val="{00000002-C4B9-45CB-94D7-C1038AA7B14C}"/>
            </c:ext>
          </c:extLst>
        </c:ser>
        <c:dLbls>
          <c:showLegendKey val="0"/>
          <c:showVal val="0"/>
          <c:showCatName val="0"/>
          <c:showSerName val="0"/>
          <c:showPercent val="0"/>
          <c:showBubbleSize val="0"/>
        </c:dLbls>
        <c:smooth val="0"/>
        <c:axId val="1301694544"/>
        <c:axId val="1220620416"/>
      </c:lineChart>
      <c:catAx>
        <c:axId val="130169454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20416"/>
        <c:crosses val="autoZero"/>
        <c:auto val="1"/>
        <c:lblAlgn val="ctr"/>
        <c:lblOffset val="100"/>
        <c:noMultiLvlLbl val="0"/>
      </c:catAx>
      <c:valAx>
        <c:axId val="12206204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 Calls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16945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of Calls Admitted to CSU by Age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'G - Age and Sex'!$D$1</c:f>
              <c:strCache>
                <c:ptCount val="1"/>
                <c:pt idx="0">
                  <c:v>CSU Admission %</c:v>
                </c:pt>
              </c:strCache>
            </c:strRef>
          </c:tx>
          <c:spPr>
            <a:ln w="28575" cap="rnd">
              <a:solidFill>
                <a:schemeClr val="accent2"/>
              </a:solidFill>
              <a:round/>
            </a:ln>
            <a:effectLst/>
          </c:spPr>
          <c:marker>
            <c:symbol val="none"/>
          </c:marker>
          <c:cat>
            <c:numRef>
              <c:f>'G - Age and Sex'!$A$2:$A$102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'G - Age and Sex'!$D$2:$D$102</c:f>
              <c:numCache>
                <c:formatCode>0%</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smooth val="0"/>
          <c:extLst>
            <c:ext xmlns:c16="http://schemas.microsoft.com/office/drawing/2014/chart" uri="{C3380CC4-5D6E-409C-BE32-E72D297353CC}">
              <c16:uniqueId val="{00000001-D118-48F0-9F18-24CA3A65FDBE}"/>
            </c:ext>
          </c:extLst>
        </c:ser>
        <c:dLbls>
          <c:showLegendKey val="0"/>
          <c:showVal val="0"/>
          <c:showCatName val="0"/>
          <c:showSerName val="0"/>
          <c:showPercent val="0"/>
          <c:showBubbleSize val="0"/>
        </c:dLbls>
        <c:smooth val="0"/>
        <c:axId val="106240591"/>
        <c:axId val="1493981376"/>
      </c:lineChart>
      <c:catAx>
        <c:axId val="1062405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981376"/>
        <c:crosses val="autoZero"/>
        <c:auto val="1"/>
        <c:lblAlgn val="ctr"/>
        <c:lblOffset val="100"/>
        <c:noMultiLvlLbl val="0"/>
      </c:catAx>
      <c:valAx>
        <c:axId val="149398137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24059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of Calls Admitted to CSU by Sex</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'G - Age and Sex'!$M$4</c:f>
              <c:strCache>
                <c:ptCount val="1"/>
                <c:pt idx="0">
                  <c:v>Admitted to CSU</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 - Age and Sex'!$N$1:$O$1</c:f>
              <c:strCache>
                <c:ptCount val="2"/>
                <c:pt idx="0">
                  <c:v>Male</c:v>
                </c:pt>
                <c:pt idx="1">
                  <c:v>Female</c:v>
                </c:pt>
              </c:strCache>
            </c:strRef>
          </c:cat>
          <c:val>
            <c:numRef>
              <c:f>'G - Age and Sex'!$N$4:$O$4</c:f>
              <c:numCache>
                <c:formatCode>0%</c:formatCode>
                <c:ptCount val="2"/>
                <c:pt idx="0">
                  <c:v>0</c:v>
                </c:pt>
                <c:pt idx="1">
                  <c:v>0</c:v>
                </c:pt>
              </c:numCache>
            </c:numRef>
          </c:val>
          <c:extLst>
            <c:ext xmlns:c16="http://schemas.microsoft.com/office/drawing/2014/chart" uri="{C3380CC4-5D6E-409C-BE32-E72D297353CC}">
              <c16:uniqueId val="{00000000-24EB-45DC-ABF9-725896F1E6B2}"/>
            </c:ext>
          </c:extLst>
        </c:ser>
        <c:ser>
          <c:idx val="1"/>
          <c:order val="1"/>
          <c:tx>
            <c:strRef>
              <c:f>'G - Age and Sex'!$M$5</c:f>
              <c:strCache>
                <c:ptCount val="1"/>
                <c:pt idx="0">
                  <c:v>Not Admitted to CSU</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 - Age and Sex'!$N$1:$O$1</c:f>
              <c:strCache>
                <c:ptCount val="2"/>
                <c:pt idx="0">
                  <c:v>Male</c:v>
                </c:pt>
                <c:pt idx="1">
                  <c:v>Female</c:v>
                </c:pt>
              </c:strCache>
            </c:strRef>
          </c:cat>
          <c:val>
            <c:numRef>
              <c:f>'G - Age and Sex'!$N$5:$O$5</c:f>
              <c:numCache>
                <c:formatCode>0%</c:formatCode>
                <c:ptCount val="2"/>
                <c:pt idx="0">
                  <c:v>0</c:v>
                </c:pt>
                <c:pt idx="1">
                  <c:v>0</c:v>
                </c:pt>
              </c:numCache>
            </c:numRef>
          </c:val>
          <c:extLst>
            <c:ext xmlns:c16="http://schemas.microsoft.com/office/drawing/2014/chart" uri="{C3380CC4-5D6E-409C-BE32-E72D297353CC}">
              <c16:uniqueId val="{00000001-24EB-45DC-ABF9-725896F1E6B2}"/>
            </c:ext>
          </c:extLst>
        </c:ser>
        <c:dLbls>
          <c:showLegendKey val="0"/>
          <c:showVal val="0"/>
          <c:showCatName val="0"/>
          <c:showSerName val="0"/>
          <c:showPercent val="0"/>
          <c:showBubbleSize val="0"/>
        </c:dLbls>
        <c:gapWidth val="219"/>
        <c:overlap val="-27"/>
        <c:axId val="590353904"/>
        <c:axId val="1942505392"/>
      </c:barChart>
      <c:catAx>
        <c:axId val="59035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2505392"/>
        <c:crosses val="autoZero"/>
        <c:auto val="1"/>
        <c:lblAlgn val="ctr"/>
        <c:lblOffset val="100"/>
        <c:noMultiLvlLbl val="0"/>
      </c:catAx>
      <c:valAx>
        <c:axId val="19425053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0353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MRT Calls by Day of the Week</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 - Day of Week'!$D$1</c:f>
              <c:strCache>
                <c:ptCount val="1"/>
                <c:pt idx="0">
                  <c:v>% of All MRT Calls</c:v>
                </c:pt>
              </c:strCache>
            </c:strRef>
          </c:tx>
          <c:spPr>
            <a:ln w="28575" cap="rnd">
              <a:solidFill>
                <a:schemeClr val="accent1"/>
              </a:solidFill>
              <a:round/>
            </a:ln>
            <a:effectLst/>
          </c:spPr>
          <c:marker>
            <c:symbol val="none"/>
          </c:marker>
          <c:cat>
            <c:strRef>
              <c:f>'G - Day of Week'!$A$2:$A$8</c:f>
              <c:strCache>
                <c:ptCount val="7"/>
                <c:pt idx="0">
                  <c:v>Sunday</c:v>
                </c:pt>
                <c:pt idx="1">
                  <c:v>Monday</c:v>
                </c:pt>
                <c:pt idx="2">
                  <c:v>Tuesday</c:v>
                </c:pt>
                <c:pt idx="3">
                  <c:v>Wednesday</c:v>
                </c:pt>
                <c:pt idx="4">
                  <c:v>Thursday</c:v>
                </c:pt>
                <c:pt idx="5">
                  <c:v>Friday</c:v>
                </c:pt>
                <c:pt idx="6">
                  <c:v>Saturday</c:v>
                </c:pt>
              </c:strCache>
            </c:strRef>
          </c:cat>
          <c:val>
            <c:numRef>
              <c:f>'G - Day of Week'!$D$2:$D$8</c:f>
              <c:numCache>
                <c:formatCode>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0-36FA-4B4C-AC72-3A8F35D8D5D5}"/>
            </c:ext>
          </c:extLst>
        </c:ser>
        <c:ser>
          <c:idx val="1"/>
          <c:order val="1"/>
          <c:tx>
            <c:strRef>
              <c:f>'G - Day of Week'!$E$1</c:f>
              <c:strCache>
                <c:ptCount val="1"/>
                <c:pt idx="0">
                  <c:v>% Admitted to CSU</c:v>
                </c:pt>
              </c:strCache>
            </c:strRef>
          </c:tx>
          <c:spPr>
            <a:ln w="28575" cap="rnd">
              <a:solidFill>
                <a:schemeClr val="accent2"/>
              </a:solidFill>
              <a:round/>
            </a:ln>
            <a:effectLst/>
          </c:spPr>
          <c:marker>
            <c:symbol val="none"/>
          </c:marker>
          <c:cat>
            <c:strRef>
              <c:f>'G - Day of Week'!$A$2:$A$8</c:f>
              <c:strCache>
                <c:ptCount val="7"/>
                <c:pt idx="0">
                  <c:v>Sunday</c:v>
                </c:pt>
                <c:pt idx="1">
                  <c:v>Monday</c:v>
                </c:pt>
                <c:pt idx="2">
                  <c:v>Tuesday</c:v>
                </c:pt>
                <c:pt idx="3">
                  <c:v>Wednesday</c:v>
                </c:pt>
                <c:pt idx="4">
                  <c:v>Thursday</c:v>
                </c:pt>
                <c:pt idx="5">
                  <c:v>Friday</c:v>
                </c:pt>
                <c:pt idx="6">
                  <c:v>Saturday</c:v>
                </c:pt>
              </c:strCache>
            </c:strRef>
          </c:cat>
          <c:val>
            <c:numRef>
              <c:f>'G - Day of Week'!$E$2:$E$8</c:f>
              <c:numCache>
                <c:formatCode>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1-36FA-4B4C-AC72-3A8F35D8D5D5}"/>
            </c:ext>
          </c:extLst>
        </c:ser>
        <c:dLbls>
          <c:showLegendKey val="0"/>
          <c:showVal val="0"/>
          <c:showCatName val="0"/>
          <c:showSerName val="0"/>
          <c:showPercent val="0"/>
          <c:showBubbleSize val="0"/>
        </c:dLbls>
        <c:smooth val="0"/>
        <c:axId val="789447743"/>
        <c:axId val="1493990944"/>
      </c:lineChart>
      <c:catAx>
        <c:axId val="7894477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990944"/>
        <c:crosses val="autoZero"/>
        <c:auto val="1"/>
        <c:lblAlgn val="ctr"/>
        <c:lblOffset val="100"/>
        <c:noMultiLvlLbl val="0"/>
      </c:catAx>
      <c:valAx>
        <c:axId val="149399094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944774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MRT Calls by Time of Day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 - Time of Day'!$D$1</c:f>
              <c:strCache>
                <c:ptCount val="1"/>
                <c:pt idx="0">
                  <c:v>% of All MRT Calls</c:v>
                </c:pt>
              </c:strCache>
            </c:strRef>
          </c:tx>
          <c:spPr>
            <a:ln w="28575" cap="rnd">
              <a:solidFill>
                <a:schemeClr val="accent1"/>
              </a:solidFill>
              <a:round/>
            </a:ln>
            <a:effectLst/>
          </c:spPr>
          <c:marker>
            <c:symbol val="none"/>
          </c:marker>
          <c:cat>
            <c:numRef>
              <c:f>'G - Time of Day'!$A$2:$A$25</c:f>
              <c:numCache>
                <c:formatCode>h:mm\ AM/PM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'G - Time of Day'!$D$2:$D$25</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0-1034-47DE-B6C1-8BF49121585B}"/>
            </c:ext>
          </c:extLst>
        </c:ser>
        <c:ser>
          <c:idx val="1"/>
          <c:order val="1"/>
          <c:tx>
            <c:strRef>
              <c:f>'G - Time of Day'!$E$1</c:f>
              <c:strCache>
                <c:ptCount val="1"/>
                <c:pt idx="0">
                  <c:v>% Admitted to CSU</c:v>
                </c:pt>
              </c:strCache>
            </c:strRef>
          </c:tx>
          <c:spPr>
            <a:ln w="28575" cap="rnd">
              <a:solidFill>
                <a:schemeClr val="accent2"/>
              </a:solidFill>
              <a:round/>
            </a:ln>
            <a:effectLst/>
          </c:spPr>
          <c:marker>
            <c:symbol val="none"/>
          </c:marker>
          <c:cat>
            <c:numRef>
              <c:f>'G - Time of Day'!$A$2:$A$25</c:f>
              <c:numCache>
                <c:formatCode>h:mm\ AM/PM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'G - Time of Day'!$E$2:$E$25</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1-1034-47DE-B6C1-8BF49121585B}"/>
            </c:ext>
          </c:extLst>
        </c:ser>
        <c:dLbls>
          <c:showLegendKey val="0"/>
          <c:showVal val="0"/>
          <c:showCatName val="0"/>
          <c:showSerName val="0"/>
          <c:showPercent val="0"/>
          <c:showBubbleSize val="0"/>
        </c:dLbls>
        <c:smooth val="0"/>
        <c:axId val="1217419904"/>
        <c:axId val="1942494576"/>
      </c:lineChart>
      <c:catAx>
        <c:axId val="1217419904"/>
        <c:scaling>
          <c:orientation val="minMax"/>
        </c:scaling>
        <c:delete val="0"/>
        <c:axPos val="b"/>
        <c:numFmt formatCode="h:mm\ AM/PM"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2494576"/>
        <c:crosses val="autoZero"/>
        <c:auto val="1"/>
        <c:lblAlgn val="ctr"/>
        <c:lblOffset val="100"/>
        <c:noMultiLvlLbl val="0"/>
      </c:catAx>
      <c:valAx>
        <c:axId val="194249457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419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of Valid Record Entries by Month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 - Entry Validation'!$D$1</c:f>
              <c:strCache>
                <c:ptCount val="1"/>
                <c:pt idx="0">
                  <c:v>% Valid</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'G - Entry Validation'!$A$2:$A$13</c:f>
              <c:numCache>
                <c:formatCode>mmm\-yy</c:formatCode>
                <c:ptCount val="12"/>
                <c:pt idx="0">
                  <c:v>44378</c:v>
                </c:pt>
                <c:pt idx="1">
                  <c:v>44409</c:v>
                </c:pt>
                <c:pt idx="2">
                  <c:v>44440</c:v>
                </c:pt>
                <c:pt idx="3">
                  <c:v>44470</c:v>
                </c:pt>
                <c:pt idx="4">
                  <c:v>44501</c:v>
                </c:pt>
                <c:pt idx="5">
                  <c:v>44531</c:v>
                </c:pt>
                <c:pt idx="6">
                  <c:v>44562</c:v>
                </c:pt>
                <c:pt idx="7">
                  <c:v>44593</c:v>
                </c:pt>
                <c:pt idx="8">
                  <c:v>44621</c:v>
                </c:pt>
                <c:pt idx="9">
                  <c:v>44652</c:v>
                </c:pt>
                <c:pt idx="10">
                  <c:v>44682</c:v>
                </c:pt>
                <c:pt idx="11">
                  <c:v>44713</c:v>
                </c:pt>
              </c:numCache>
            </c:numRef>
          </c:cat>
          <c:val>
            <c:numRef>
              <c:f>'G - Entry Validation'!$D$2:$D$13</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29E8-4EBB-9A5A-6405F3072188}"/>
            </c:ext>
          </c:extLst>
        </c:ser>
        <c:dLbls>
          <c:showLegendKey val="0"/>
          <c:showVal val="0"/>
          <c:showCatName val="0"/>
          <c:showSerName val="0"/>
          <c:showPercent val="0"/>
          <c:showBubbleSize val="0"/>
        </c:dLbls>
        <c:marker val="1"/>
        <c:smooth val="0"/>
        <c:axId val="1853679344"/>
        <c:axId val="796776336"/>
      </c:lineChart>
      <c:dateAx>
        <c:axId val="185367934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6776336"/>
        <c:crosses val="autoZero"/>
        <c:auto val="1"/>
        <c:lblOffset val="100"/>
        <c:baseTimeUnit val="months"/>
      </c:dateAx>
      <c:valAx>
        <c:axId val="79677633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36793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 Response Time by Month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'G - Avg Response Time - All'!$B$1</c:f>
              <c:strCache>
                <c:ptCount val="1"/>
                <c:pt idx="0">
                  <c:v>Average Response Team</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 Avg Response Time - All'!$A$2:$A$13</c:f>
              <c:numCache>
                <c:formatCode>mmm\-yy</c:formatCode>
                <c:ptCount val="12"/>
                <c:pt idx="0">
                  <c:v>44378</c:v>
                </c:pt>
                <c:pt idx="1">
                  <c:v>44409</c:v>
                </c:pt>
                <c:pt idx="2">
                  <c:v>44440</c:v>
                </c:pt>
                <c:pt idx="3">
                  <c:v>44470</c:v>
                </c:pt>
                <c:pt idx="4">
                  <c:v>44501</c:v>
                </c:pt>
                <c:pt idx="5">
                  <c:v>44531</c:v>
                </c:pt>
                <c:pt idx="6">
                  <c:v>44562</c:v>
                </c:pt>
                <c:pt idx="7">
                  <c:v>44593</c:v>
                </c:pt>
                <c:pt idx="8">
                  <c:v>44621</c:v>
                </c:pt>
                <c:pt idx="9">
                  <c:v>44652</c:v>
                </c:pt>
                <c:pt idx="10">
                  <c:v>44682</c:v>
                </c:pt>
                <c:pt idx="11">
                  <c:v>44713</c:v>
                </c:pt>
              </c:numCache>
            </c:numRef>
          </c:cat>
          <c:val>
            <c:numRef>
              <c:f>'G - Avg Response Time - All'!$B$2:$B$13</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2A4-442F-B4CB-4B18309A330E}"/>
            </c:ext>
          </c:extLst>
        </c:ser>
        <c:dLbls>
          <c:showLegendKey val="0"/>
          <c:showVal val="0"/>
          <c:showCatName val="0"/>
          <c:showSerName val="0"/>
          <c:showPercent val="0"/>
          <c:showBubbleSize val="0"/>
        </c:dLbls>
        <c:gapWidth val="219"/>
        <c:overlap val="-27"/>
        <c:axId val="1217453600"/>
        <c:axId val="1220639552"/>
      </c:barChart>
      <c:dateAx>
        <c:axId val="121745360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39552"/>
        <c:crosses val="autoZero"/>
        <c:auto val="1"/>
        <c:lblOffset val="100"/>
        <c:baseTimeUnit val="months"/>
      </c:dateAx>
      <c:valAx>
        <c:axId val="12206395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Average Response Time (Minutes)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4536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 Response Time by Month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'G - Avg Response Time - Travel'!$B$1</c:f>
              <c:strCache>
                <c:ptCount val="1"/>
                <c:pt idx="0">
                  <c:v>Average Response Team</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 Avg Response Time - Travel'!$A$2:$A$13</c:f>
              <c:numCache>
                <c:formatCode>mmm\-yy</c:formatCode>
                <c:ptCount val="12"/>
                <c:pt idx="0">
                  <c:v>44378</c:v>
                </c:pt>
                <c:pt idx="1">
                  <c:v>44409</c:v>
                </c:pt>
                <c:pt idx="2">
                  <c:v>44440</c:v>
                </c:pt>
                <c:pt idx="3">
                  <c:v>44470</c:v>
                </c:pt>
                <c:pt idx="4">
                  <c:v>44501</c:v>
                </c:pt>
                <c:pt idx="5">
                  <c:v>44531</c:v>
                </c:pt>
                <c:pt idx="6">
                  <c:v>44562</c:v>
                </c:pt>
                <c:pt idx="7">
                  <c:v>44593</c:v>
                </c:pt>
                <c:pt idx="8">
                  <c:v>44621</c:v>
                </c:pt>
                <c:pt idx="9">
                  <c:v>44652</c:v>
                </c:pt>
                <c:pt idx="10">
                  <c:v>44682</c:v>
                </c:pt>
                <c:pt idx="11">
                  <c:v>44713</c:v>
                </c:pt>
              </c:numCache>
            </c:numRef>
          </c:cat>
          <c:val>
            <c:numRef>
              <c:f>'G - Avg Response Time - Travel'!$B$2:$B$13</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161-47BA-9CE0-50248F4B1CBF}"/>
            </c:ext>
          </c:extLst>
        </c:ser>
        <c:dLbls>
          <c:showLegendKey val="0"/>
          <c:showVal val="0"/>
          <c:showCatName val="0"/>
          <c:showSerName val="0"/>
          <c:showPercent val="0"/>
          <c:showBubbleSize val="0"/>
        </c:dLbls>
        <c:gapWidth val="219"/>
        <c:overlap val="-27"/>
        <c:axId val="1217453600"/>
        <c:axId val="1220639552"/>
      </c:barChart>
      <c:dateAx>
        <c:axId val="121745360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39552"/>
        <c:crosses val="autoZero"/>
        <c:auto val="1"/>
        <c:lblOffset val="100"/>
        <c:baseTimeUnit val="months"/>
      </c:dateAx>
      <c:valAx>
        <c:axId val="12206395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Average Response Time (Minutes)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4536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Source of MRT Calls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'G - Call Source'!$B$1</c:f>
              <c:strCache>
                <c:ptCount val="1"/>
                <c:pt idx="0">
                  <c:v># Calls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 - Call Source'!$A$2:$A$5</c:f>
              <c:strCache>
                <c:ptCount val="4"/>
                <c:pt idx="0">
                  <c:v>Law Enforcement</c:v>
                </c:pt>
                <c:pt idx="1">
                  <c:v>School</c:v>
                </c:pt>
                <c:pt idx="2">
                  <c:v>Parent/Guardian</c:v>
                </c:pt>
                <c:pt idx="3">
                  <c:v>Other</c:v>
                </c:pt>
              </c:strCache>
            </c:strRef>
          </c:cat>
          <c:val>
            <c:numRef>
              <c:f>'G - Call Source'!$B$2:$B$5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0-7486-49F6-B2F2-41A96F645568}"/>
            </c:ext>
          </c:extLst>
        </c:ser>
        <c:ser>
          <c:idx val="1"/>
          <c:order val="1"/>
          <c:tx>
            <c:strRef>
              <c:f>'G - Call Source'!$C$1</c:f>
              <c:strCache>
                <c:ptCount val="1"/>
                <c:pt idx="0">
                  <c:v># Calls Admitted to CSU</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 - Call Source'!$A$2:$A$5</c:f>
              <c:strCache>
                <c:ptCount val="4"/>
                <c:pt idx="0">
                  <c:v>Law Enforcement</c:v>
                </c:pt>
                <c:pt idx="1">
                  <c:v>School</c:v>
                </c:pt>
                <c:pt idx="2">
                  <c:v>Parent/Guardian</c:v>
                </c:pt>
                <c:pt idx="3">
                  <c:v>Other</c:v>
                </c:pt>
              </c:strCache>
            </c:strRef>
          </c:cat>
          <c:val>
            <c:numRef>
              <c:f>'G - Call Source'!$C$2:$C$5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1-7486-49F6-B2F2-41A96F645568}"/>
            </c:ext>
          </c:extLst>
        </c:ser>
        <c:dLbls>
          <c:showLegendKey val="0"/>
          <c:showVal val="0"/>
          <c:showCatName val="0"/>
          <c:showSerName val="0"/>
          <c:showPercent val="0"/>
          <c:showBubbleSize val="0"/>
        </c:dLbls>
        <c:gapWidth val="219"/>
        <c:overlap val="-27"/>
        <c:axId val="782106767"/>
        <c:axId val="1500892320"/>
      </c:barChart>
      <c:catAx>
        <c:axId val="7821067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0892320"/>
        <c:crosses val="autoZero"/>
        <c:auto val="1"/>
        <c:lblAlgn val="ctr"/>
        <c:lblOffset val="100"/>
        <c:noMultiLvlLbl val="0"/>
      </c:catAx>
      <c:valAx>
        <c:axId val="15008923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21067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Calls by Intervention Determined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'G - Intervention Determined'!$B$1</c:f>
              <c:strCache>
                <c:ptCount val="1"/>
                <c:pt idx="0">
                  <c:v># Calls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 - Intervention Determined'!$A$2:$A$5</c:f>
              <c:strCache>
                <c:ptCount val="4"/>
                <c:pt idx="0">
                  <c:v>Phone Call Only</c:v>
                </c:pt>
                <c:pt idx="1">
                  <c:v>Telehealth</c:v>
                </c:pt>
                <c:pt idx="2">
                  <c:v>On-Site/Face-to-Face</c:v>
                </c:pt>
                <c:pt idx="3">
                  <c:v>Cancellation</c:v>
                </c:pt>
              </c:strCache>
            </c:strRef>
          </c:cat>
          <c:val>
            <c:numRef>
              <c:f>'G - Intervention Determined'!$B$2:$B$5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0-C1B7-4776-87FD-DC2007ADE88C}"/>
            </c:ext>
          </c:extLst>
        </c:ser>
        <c:ser>
          <c:idx val="1"/>
          <c:order val="1"/>
          <c:tx>
            <c:strRef>
              <c:f>'G - Intervention Determined'!$C$1</c:f>
              <c:strCache>
                <c:ptCount val="1"/>
                <c:pt idx="0">
                  <c:v># Calls Aged 0-17</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 - Intervention Determined'!$A$2:$A$5</c:f>
              <c:strCache>
                <c:ptCount val="4"/>
                <c:pt idx="0">
                  <c:v>Phone Call Only</c:v>
                </c:pt>
                <c:pt idx="1">
                  <c:v>Telehealth</c:v>
                </c:pt>
                <c:pt idx="2">
                  <c:v>On-Site/Face-to-Face</c:v>
                </c:pt>
                <c:pt idx="3">
                  <c:v>Cancellation</c:v>
                </c:pt>
              </c:strCache>
            </c:strRef>
          </c:cat>
          <c:val>
            <c:numRef>
              <c:f>'G - Intervention Determined'!$C$2:$C$5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1-C1B7-4776-87FD-DC2007ADE88C}"/>
            </c:ext>
          </c:extLst>
        </c:ser>
        <c:dLbls>
          <c:showLegendKey val="0"/>
          <c:showVal val="0"/>
          <c:showCatName val="0"/>
          <c:showSerName val="0"/>
          <c:showPercent val="0"/>
          <c:showBubbleSize val="0"/>
        </c:dLbls>
        <c:gapWidth val="219"/>
        <c:overlap val="-27"/>
        <c:axId val="1449297008"/>
        <c:axId val="670287808"/>
      </c:barChart>
      <c:catAx>
        <c:axId val="1449297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0287808"/>
        <c:crosses val="autoZero"/>
        <c:auto val="1"/>
        <c:lblAlgn val="ctr"/>
        <c:lblOffset val="100"/>
        <c:noMultiLvlLbl val="0"/>
      </c:catAx>
      <c:valAx>
        <c:axId val="6702878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92970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Calls by Month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'G - # Calls by Month'!$B$1</c:f>
              <c:strCache>
                <c:ptCount val="1"/>
                <c:pt idx="0">
                  <c:v>0-18</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 # Calls by Month'!$A$2:$A$13</c:f>
              <c:numCache>
                <c:formatCode>mmm\-yy</c:formatCode>
                <c:ptCount val="12"/>
                <c:pt idx="0">
                  <c:v>44378</c:v>
                </c:pt>
                <c:pt idx="1">
                  <c:v>44409</c:v>
                </c:pt>
                <c:pt idx="2">
                  <c:v>44440</c:v>
                </c:pt>
                <c:pt idx="3">
                  <c:v>44470</c:v>
                </c:pt>
                <c:pt idx="4">
                  <c:v>44501</c:v>
                </c:pt>
                <c:pt idx="5">
                  <c:v>44531</c:v>
                </c:pt>
                <c:pt idx="6">
                  <c:v>44562</c:v>
                </c:pt>
                <c:pt idx="7">
                  <c:v>44593</c:v>
                </c:pt>
                <c:pt idx="8">
                  <c:v>44621</c:v>
                </c:pt>
                <c:pt idx="9">
                  <c:v>44652</c:v>
                </c:pt>
                <c:pt idx="10">
                  <c:v>44682</c:v>
                </c:pt>
                <c:pt idx="11">
                  <c:v>44713</c:v>
                </c:pt>
              </c:numCache>
            </c:numRef>
          </c:cat>
          <c:val>
            <c:numRef>
              <c:f>'G - # Calls by Month'!$B$2:$B$13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D29-4FE2-9249-6B4394340600}"/>
            </c:ext>
          </c:extLst>
        </c:ser>
        <c:ser>
          <c:idx val="1"/>
          <c:order val="1"/>
          <c:tx>
            <c:strRef>
              <c:f>'G - # Calls by Month'!$C$1</c:f>
              <c:strCache>
                <c:ptCount val="1"/>
                <c:pt idx="0">
                  <c:v>18+</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 # Calls by Month'!$A$2:$A$13</c:f>
              <c:numCache>
                <c:formatCode>mmm\-yy</c:formatCode>
                <c:ptCount val="12"/>
                <c:pt idx="0">
                  <c:v>44378</c:v>
                </c:pt>
                <c:pt idx="1">
                  <c:v>44409</c:v>
                </c:pt>
                <c:pt idx="2">
                  <c:v>44440</c:v>
                </c:pt>
                <c:pt idx="3">
                  <c:v>44470</c:v>
                </c:pt>
                <c:pt idx="4">
                  <c:v>44501</c:v>
                </c:pt>
                <c:pt idx="5">
                  <c:v>44531</c:v>
                </c:pt>
                <c:pt idx="6">
                  <c:v>44562</c:v>
                </c:pt>
                <c:pt idx="7">
                  <c:v>44593</c:v>
                </c:pt>
                <c:pt idx="8">
                  <c:v>44621</c:v>
                </c:pt>
                <c:pt idx="9">
                  <c:v>44652</c:v>
                </c:pt>
                <c:pt idx="10">
                  <c:v>44682</c:v>
                </c:pt>
                <c:pt idx="11">
                  <c:v>44713</c:v>
                </c:pt>
              </c:numCache>
            </c:numRef>
          </c:cat>
          <c:val>
            <c:numRef>
              <c:f>'G - # Calls by Month'!$C$2:$C$13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6D29-4FE2-9249-6B4394340600}"/>
            </c:ext>
          </c:extLst>
        </c:ser>
        <c:ser>
          <c:idx val="2"/>
          <c:order val="2"/>
          <c:tx>
            <c:strRef>
              <c:f>'G - # Calls by Month'!$D$1</c:f>
              <c:strCache>
                <c:ptCount val="1"/>
                <c:pt idx="0">
                  <c:v>Unknown Age</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 # Calls by Month'!$A$2:$A$13</c:f>
              <c:numCache>
                <c:formatCode>mmm\-yy</c:formatCode>
                <c:ptCount val="12"/>
                <c:pt idx="0">
                  <c:v>44378</c:v>
                </c:pt>
                <c:pt idx="1">
                  <c:v>44409</c:v>
                </c:pt>
                <c:pt idx="2">
                  <c:v>44440</c:v>
                </c:pt>
                <c:pt idx="3">
                  <c:v>44470</c:v>
                </c:pt>
                <c:pt idx="4">
                  <c:v>44501</c:v>
                </c:pt>
                <c:pt idx="5">
                  <c:v>44531</c:v>
                </c:pt>
                <c:pt idx="6">
                  <c:v>44562</c:v>
                </c:pt>
                <c:pt idx="7">
                  <c:v>44593</c:v>
                </c:pt>
                <c:pt idx="8">
                  <c:v>44621</c:v>
                </c:pt>
                <c:pt idx="9">
                  <c:v>44652</c:v>
                </c:pt>
                <c:pt idx="10">
                  <c:v>44682</c:v>
                </c:pt>
                <c:pt idx="11">
                  <c:v>44713</c:v>
                </c:pt>
              </c:numCache>
            </c:numRef>
          </c:cat>
          <c:val>
            <c:numRef>
              <c:f>'G - # Calls by Month'!$D$2:$D$13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6D29-4FE2-9249-6B4394340600}"/>
            </c:ext>
          </c:extLst>
        </c:ser>
        <c:dLbls>
          <c:showLegendKey val="0"/>
          <c:showVal val="0"/>
          <c:showCatName val="0"/>
          <c:showSerName val="0"/>
          <c:showPercent val="0"/>
          <c:showBubbleSize val="0"/>
        </c:dLbls>
        <c:gapWidth val="150"/>
        <c:overlap val="100"/>
        <c:axId val="288967135"/>
        <c:axId val="105342799"/>
      </c:barChart>
      <c:dateAx>
        <c:axId val="288967135"/>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342799"/>
        <c:crosses val="autoZero"/>
        <c:auto val="1"/>
        <c:lblOffset val="100"/>
        <c:baseTimeUnit val="months"/>
      </c:dateAx>
      <c:valAx>
        <c:axId val="1053427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896713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Outreach Activities by Month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'G - Outreach by Month'!$B$1</c:f>
              <c:strCache>
                <c:ptCount val="1"/>
                <c:pt idx="0">
                  <c:v>Law Enforcement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 Outreach by Month'!$A$2:$A$13</c:f>
              <c:numCache>
                <c:formatCode>mmm\-yy</c:formatCode>
                <c:ptCount val="12"/>
                <c:pt idx="0">
                  <c:v>44378</c:v>
                </c:pt>
                <c:pt idx="1">
                  <c:v>44409</c:v>
                </c:pt>
                <c:pt idx="2">
                  <c:v>44440</c:v>
                </c:pt>
                <c:pt idx="3">
                  <c:v>44470</c:v>
                </c:pt>
                <c:pt idx="4">
                  <c:v>44501</c:v>
                </c:pt>
                <c:pt idx="5">
                  <c:v>44531</c:v>
                </c:pt>
                <c:pt idx="6">
                  <c:v>44562</c:v>
                </c:pt>
                <c:pt idx="7">
                  <c:v>44593</c:v>
                </c:pt>
                <c:pt idx="8">
                  <c:v>44621</c:v>
                </c:pt>
                <c:pt idx="9">
                  <c:v>44652</c:v>
                </c:pt>
                <c:pt idx="10">
                  <c:v>44682</c:v>
                </c:pt>
                <c:pt idx="11">
                  <c:v>44713</c:v>
                </c:pt>
              </c:numCache>
            </c:numRef>
          </c:cat>
          <c:val>
            <c:numRef>
              <c:f>'G - Outreach by Month'!$B$2:$B$13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A56-4490-BD88-183D3C8352B8}"/>
            </c:ext>
          </c:extLst>
        </c:ser>
        <c:ser>
          <c:idx val="1"/>
          <c:order val="1"/>
          <c:tx>
            <c:strRef>
              <c:f>'G - Outreach by Month'!$C$1</c:f>
              <c:strCache>
                <c:ptCount val="1"/>
                <c:pt idx="0">
                  <c:v>School</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 Outreach by Month'!$A$2:$A$13</c:f>
              <c:numCache>
                <c:formatCode>mmm\-yy</c:formatCode>
                <c:ptCount val="12"/>
                <c:pt idx="0">
                  <c:v>44378</c:v>
                </c:pt>
                <c:pt idx="1">
                  <c:v>44409</c:v>
                </c:pt>
                <c:pt idx="2">
                  <c:v>44440</c:v>
                </c:pt>
                <c:pt idx="3">
                  <c:v>44470</c:v>
                </c:pt>
                <c:pt idx="4">
                  <c:v>44501</c:v>
                </c:pt>
                <c:pt idx="5">
                  <c:v>44531</c:v>
                </c:pt>
                <c:pt idx="6">
                  <c:v>44562</c:v>
                </c:pt>
                <c:pt idx="7">
                  <c:v>44593</c:v>
                </c:pt>
                <c:pt idx="8">
                  <c:v>44621</c:v>
                </c:pt>
                <c:pt idx="9">
                  <c:v>44652</c:v>
                </c:pt>
                <c:pt idx="10">
                  <c:v>44682</c:v>
                </c:pt>
                <c:pt idx="11">
                  <c:v>44713</c:v>
                </c:pt>
              </c:numCache>
            </c:numRef>
          </c:cat>
          <c:val>
            <c:numRef>
              <c:f>'G - Outreach by Month'!$C$2:$C$13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4A56-4490-BD88-183D3C8352B8}"/>
            </c:ext>
          </c:extLst>
        </c:ser>
        <c:ser>
          <c:idx val="2"/>
          <c:order val="2"/>
          <c:tx>
            <c:strRef>
              <c:f>'G - Outreach by Month'!$D$1</c:f>
              <c:strCache>
                <c:ptCount val="1"/>
                <c:pt idx="0">
                  <c:v>Other - Explain in next column</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 Outreach by Month'!$A$2:$A$13</c:f>
              <c:numCache>
                <c:formatCode>mmm\-yy</c:formatCode>
                <c:ptCount val="12"/>
                <c:pt idx="0">
                  <c:v>44378</c:v>
                </c:pt>
                <c:pt idx="1">
                  <c:v>44409</c:v>
                </c:pt>
                <c:pt idx="2">
                  <c:v>44440</c:v>
                </c:pt>
                <c:pt idx="3">
                  <c:v>44470</c:v>
                </c:pt>
                <c:pt idx="4">
                  <c:v>44501</c:v>
                </c:pt>
                <c:pt idx="5">
                  <c:v>44531</c:v>
                </c:pt>
                <c:pt idx="6">
                  <c:v>44562</c:v>
                </c:pt>
                <c:pt idx="7">
                  <c:v>44593</c:v>
                </c:pt>
                <c:pt idx="8">
                  <c:v>44621</c:v>
                </c:pt>
                <c:pt idx="9">
                  <c:v>44652</c:v>
                </c:pt>
                <c:pt idx="10">
                  <c:v>44682</c:v>
                </c:pt>
                <c:pt idx="11">
                  <c:v>44713</c:v>
                </c:pt>
              </c:numCache>
            </c:numRef>
          </c:cat>
          <c:val>
            <c:numRef>
              <c:f>'G - Outreach by Month'!$D$2:$D$13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4A56-4490-BD88-183D3C8352B8}"/>
            </c:ext>
          </c:extLst>
        </c:ser>
        <c:dLbls>
          <c:showLegendKey val="0"/>
          <c:showVal val="0"/>
          <c:showCatName val="0"/>
          <c:showSerName val="0"/>
          <c:showPercent val="0"/>
          <c:showBubbleSize val="0"/>
        </c:dLbls>
        <c:gapWidth val="150"/>
        <c:overlap val="100"/>
        <c:axId val="1217482400"/>
        <c:axId val="1220607936"/>
      </c:barChart>
      <c:dateAx>
        <c:axId val="121748240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07936"/>
        <c:crosses val="autoZero"/>
        <c:auto val="1"/>
        <c:lblOffset val="100"/>
        <c:baseTimeUnit val="months"/>
      </c:dateAx>
      <c:valAx>
        <c:axId val="12206079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4824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Calls by Race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'G - % of Calls by Race'!$C$1</c:f>
              <c:strCache>
                <c:ptCount val="1"/>
                <c:pt idx="0">
                  <c:v>% Calls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 - % of Calls by Race'!$A$2:$A$10</c:f>
              <c:strCache>
                <c:ptCount val="9"/>
                <c:pt idx="0">
                  <c:v>Alaskan Native</c:v>
                </c:pt>
                <c:pt idx="1">
                  <c:v>American Indian</c:v>
                </c:pt>
                <c:pt idx="2">
                  <c:v>Asian</c:v>
                </c:pt>
                <c:pt idx="3">
                  <c:v>Black</c:v>
                </c:pt>
                <c:pt idx="4">
                  <c:v>Multi-Racial</c:v>
                </c:pt>
                <c:pt idx="5">
                  <c:v>Native Hawaiian or Other Pacific Islander</c:v>
                </c:pt>
                <c:pt idx="6">
                  <c:v>Not Recorded</c:v>
                </c:pt>
                <c:pt idx="7">
                  <c:v>Other</c:v>
                </c:pt>
                <c:pt idx="8">
                  <c:v>White</c:v>
                </c:pt>
              </c:strCache>
            </c:strRef>
          </c:cat>
          <c:val>
            <c:numRef>
              <c:f>'G - % of Calls by Race'!$C$2:$C$10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8896-4E7F-8F40-BE82A484200B}"/>
            </c:ext>
          </c:extLst>
        </c:ser>
        <c:dLbls>
          <c:showLegendKey val="0"/>
          <c:showVal val="0"/>
          <c:showCatName val="0"/>
          <c:showSerName val="0"/>
          <c:showPercent val="0"/>
          <c:showBubbleSize val="0"/>
        </c:dLbls>
        <c:gapWidth val="219"/>
        <c:overlap val="-27"/>
        <c:axId val="1304613456"/>
        <c:axId val="1220595872"/>
      </c:barChart>
      <c:catAx>
        <c:axId val="1304613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595872"/>
        <c:crosses val="autoZero"/>
        <c:auto val="1"/>
        <c:lblAlgn val="ctr"/>
        <c:lblOffset val="100"/>
        <c:noMultiLvlLbl val="0"/>
      </c:catAx>
      <c:valAx>
        <c:axId val="12205958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46134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Calls by Ethnicity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'G - % of Calls by Ethnicity'!$C$1</c:f>
              <c:strCache>
                <c:ptCount val="1"/>
                <c:pt idx="0">
                  <c:v>% Calls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 - % of Calls by Ethnicity'!$A$2:$A$10</c:f>
              <c:strCache>
                <c:ptCount val="9"/>
                <c:pt idx="0">
                  <c:v>Cuban</c:v>
                </c:pt>
                <c:pt idx="1">
                  <c:v>Haitian</c:v>
                </c:pt>
                <c:pt idx="2">
                  <c:v>Mexican</c:v>
                </c:pt>
                <c:pt idx="3">
                  <c:v>Mexican American</c:v>
                </c:pt>
                <c:pt idx="4">
                  <c:v>None of the Above</c:v>
                </c:pt>
                <c:pt idx="5">
                  <c:v>Not Recorded</c:v>
                </c:pt>
                <c:pt idx="6">
                  <c:v>Other Hispanic</c:v>
                </c:pt>
                <c:pt idx="7">
                  <c:v>Puerto Rican</c:v>
                </c:pt>
                <c:pt idx="8">
                  <c:v>Spanish/Latino</c:v>
                </c:pt>
              </c:strCache>
            </c:strRef>
          </c:cat>
          <c:val>
            <c:numRef>
              <c:f>'G - % of Calls by Ethnicity'!$C$2:$C$10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D4E7-4CFB-8795-E51FF6AFC0F3}"/>
            </c:ext>
          </c:extLst>
        </c:ser>
        <c:dLbls>
          <c:showLegendKey val="0"/>
          <c:showVal val="0"/>
          <c:showCatName val="0"/>
          <c:showSerName val="0"/>
          <c:showPercent val="0"/>
          <c:showBubbleSize val="0"/>
        </c:dLbls>
        <c:gapWidth val="219"/>
        <c:overlap val="-27"/>
        <c:axId val="105048735"/>
        <c:axId val="1493942272"/>
      </c:barChart>
      <c:catAx>
        <c:axId val="105048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942272"/>
        <c:crosses val="autoZero"/>
        <c:auto val="1"/>
        <c:lblAlgn val="ctr"/>
        <c:lblOffset val="100"/>
        <c:noMultiLvlLbl val="0"/>
      </c:catAx>
      <c:valAx>
        <c:axId val="14939422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4873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Child Welfare Involvement by Month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'G - Child Welfare Involvement'!$F$1</c:f>
              <c:strCache>
                <c:ptCount val="1"/>
                <c:pt idx="0">
                  <c:v>% Yes</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 Child Welfare Involvement'!$A$2:$A$13</c:f>
              <c:numCache>
                <c:formatCode>mmm\-yy</c:formatCode>
                <c:ptCount val="12"/>
                <c:pt idx="0">
                  <c:v>44378</c:v>
                </c:pt>
                <c:pt idx="1">
                  <c:v>44409</c:v>
                </c:pt>
                <c:pt idx="2">
                  <c:v>44440</c:v>
                </c:pt>
                <c:pt idx="3">
                  <c:v>44470</c:v>
                </c:pt>
                <c:pt idx="4">
                  <c:v>44501</c:v>
                </c:pt>
                <c:pt idx="5">
                  <c:v>44531</c:v>
                </c:pt>
                <c:pt idx="6">
                  <c:v>44562</c:v>
                </c:pt>
                <c:pt idx="7">
                  <c:v>44593</c:v>
                </c:pt>
                <c:pt idx="8">
                  <c:v>44621</c:v>
                </c:pt>
                <c:pt idx="9">
                  <c:v>44652</c:v>
                </c:pt>
                <c:pt idx="10">
                  <c:v>44682</c:v>
                </c:pt>
                <c:pt idx="11">
                  <c:v>44713</c:v>
                </c:pt>
              </c:numCache>
            </c:numRef>
          </c:cat>
          <c:val>
            <c:numRef>
              <c:f>'G - Child Welfare Involvement'!$F$2:$F$13</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306-4565-82ED-09296CCB5890}"/>
            </c:ext>
          </c:extLst>
        </c:ser>
        <c:ser>
          <c:idx val="1"/>
          <c:order val="1"/>
          <c:tx>
            <c:strRef>
              <c:f>'G - Child Welfare Involvement'!$G$1</c:f>
              <c:strCache>
                <c:ptCount val="1"/>
                <c:pt idx="0">
                  <c:v>% No</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 - Child Welfare Involvement'!$G$2:$G$13</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D306-4565-82ED-09296CCB5890}"/>
            </c:ext>
          </c:extLst>
        </c:ser>
        <c:ser>
          <c:idx val="2"/>
          <c:order val="2"/>
          <c:tx>
            <c:strRef>
              <c:f>'G - Child Welfare Involvement'!$H$1</c:f>
              <c:strCache>
                <c:ptCount val="1"/>
                <c:pt idx="0">
                  <c:v>% Unknown</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 - Child Welfare Involvement'!$H$2:$H$13</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D306-4565-82ED-09296CCB5890}"/>
            </c:ext>
          </c:extLst>
        </c:ser>
        <c:dLbls>
          <c:showLegendKey val="0"/>
          <c:showVal val="0"/>
          <c:showCatName val="0"/>
          <c:showSerName val="0"/>
          <c:showPercent val="0"/>
          <c:showBubbleSize val="0"/>
        </c:dLbls>
        <c:gapWidth val="219"/>
        <c:overlap val="-27"/>
        <c:axId val="1737075728"/>
        <c:axId val="2061008288"/>
      </c:barChart>
      <c:dateAx>
        <c:axId val="1737075728"/>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1008288"/>
        <c:crosses val="autoZero"/>
        <c:auto val="1"/>
        <c:lblOffset val="100"/>
        <c:baseTimeUnit val="months"/>
      </c:dateAx>
      <c:valAx>
        <c:axId val="206100828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707572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Referral to Treatment by Child Welfare Involvement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'G - Child Welfare Involvement'!$K$1</c:f>
              <c:strCache>
                <c:ptCount val="1"/>
                <c:pt idx="0">
                  <c:v>Yes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 - Child Welfare Involvement'!$J$2:$J$5</c:f>
              <c:strCache>
                <c:ptCount val="4"/>
                <c:pt idx="0">
                  <c:v>Yes - New/addt'l Svcs</c:v>
                </c:pt>
                <c:pt idx="1">
                  <c:v>Yes - Currently engaged in Tx</c:v>
                </c:pt>
                <c:pt idx="2">
                  <c:v>Yes - Refused</c:v>
                </c:pt>
                <c:pt idx="3">
                  <c:v>No</c:v>
                </c:pt>
              </c:strCache>
            </c:strRef>
          </c:cat>
          <c:val>
            <c:numRef>
              <c:f>'G - Child Welfare Involvement'!$K$2:$K$5</c:f>
              <c:numCache>
                <c:formatCode>0%</c:formatCode>
                <c:ptCount val="4"/>
                <c:pt idx="0">
                  <c:v>0</c:v>
                </c:pt>
                <c:pt idx="1">
                  <c:v>0</c:v>
                </c:pt>
                <c:pt idx="2">
                  <c:v>0</c:v>
                </c:pt>
                <c:pt idx="3">
                  <c:v>0</c:v>
                </c:pt>
              </c:numCache>
            </c:numRef>
          </c:val>
          <c:extLst>
            <c:ext xmlns:c16="http://schemas.microsoft.com/office/drawing/2014/chart" uri="{C3380CC4-5D6E-409C-BE32-E72D297353CC}">
              <c16:uniqueId val="{00000000-E62F-4D36-924B-40D38E1E303F}"/>
            </c:ext>
          </c:extLst>
        </c:ser>
        <c:ser>
          <c:idx val="1"/>
          <c:order val="1"/>
          <c:tx>
            <c:strRef>
              <c:f>'G - Child Welfare Involvement'!$L$1</c:f>
              <c:strCache>
                <c:ptCount val="1"/>
                <c:pt idx="0">
                  <c:v>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 - Child Welfare Involvement'!$J$2:$J$5</c:f>
              <c:strCache>
                <c:ptCount val="4"/>
                <c:pt idx="0">
                  <c:v>Yes - New/addt'l Svcs</c:v>
                </c:pt>
                <c:pt idx="1">
                  <c:v>Yes - Currently engaged in Tx</c:v>
                </c:pt>
                <c:pt idx="2">
                  <c:v>Yes - Refused</c:v>
                </c:pt>
                <c:pt idx="3">
                  <c:v>No</c:v>
                </c:pt>
              </c:strCache>
            </c:strRef>
          </c:cat>
          <c:val>
            <c:numRef>
              <c:f>'G - Child Welfare Involvement'!$L$2:$L$5</c:f>
              <c:numCache>
                <c:formatCode>0%</c:formatCode>
                <c:ptCount val="4"/>
                <c:pt idx="0">
                  <c:v>0</c:v>
                </c:pt>
                <c:pt idx="1">
                  <c:v>0</c:v>
                </c:pt>
                <c:pt idx="2">
                  <c:v>0</c:v>
                </c:pt>
                <c:pt idx="3">
                  <c:v>0</c:v>
                </c:pt>
              </c:numCache>
            </c:numRef>
          </c:val>
          <c:extLst>
            <c:ext xmlns:c16="http://schemas.microsoft.com/office/drawing/2014/chart" uri="{C3380CC4-5D6E-409C-BE32-E72D297353CC}">
              <c16:uniqueId val="{00000001-E62F-4D36-924B-40D38E1E303F}"/>
            </c:ext>
          </c:extLst>
        </c:ser>
        <c:ser>
          <c:idx val="2"/>
          <c:order val="2"/>
          <c:tx>
            <c:strRef>
              <c:f>'G - Child Welfare Involvement'!$M$1</c:f>
              <c:strCache>
                <c:ptCount val="1"/>
                <c:pt idx="0">
                  <c:v>Unknown</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 - Child Welfare Involvement'!$J$2:$J$5</c:f>
              <c:strCache>
                <c:ptCount val="4"/>
                <c:pt idx="0">
                  <c:v>Yes - New/addt'l Svcs</c:v>
                </c:pt>
                <c:pt idx="1">
                  <c:v>Yes - Currently engaged in Tx</c:v>
                </c:pt>
                <c:pt idx="2">
                  <c:v>Yes - Refused</c:v>
                </c:pt>
                <c:pt idx="3">
                  <c:v>No</c:v>
                </c:pt>
              </c:strCache>
            </c:strRef>
          </c:cat>
          <c:val>
            <c:numRef>
              <c:f>'G - Child Welfare Involvement'!$M$2:$M$5</c:f>
              <c:numCache>
                <c:formatCode>0%</c:formatCode>
                <c:ptCount val="4"/>
                <c:pt idx="0">
                  <c:v>0</c:v>
                </c:pt>
                <c:pt idx="1">
                  <c:v>0</c:v>
                </c:pt>
                <c:pt idx="2">
                  <c:v>0</c:v>
                </c:pt>
                <c:pt idx="3">
                  <c:v>0</c:v>
                </c:pt>
              </c:numCache>
            </c:numRef>
          </c:val>
          <c:extLst>
            <c:ext xmlns:c16="http://schemas.microsoft.com/office/drawing/2014/chart" uri="{C3380CC4-5D6E-409C-BE32-E72D297353CC}">
              <c16:uniqueId val="{00000002-E62F-4D36-924B-40D38E1E303F}"/>
            </c:ext>
          </c:extLst>
        </c:ser>
        <c:dLbls>
          <c:showLegendKey val="0"/>
          <c:showVal val="0"/>
          <c:showCatName val="0"/>
          <c:showSerName val="0"/>
          <c:showPercent val="0"/>
          <c:showBubbleSize val="0"/>
        </c:dLbls>
        <c:gapWidth val="219"/>
        <c:overlap val="-27"/>
        <c:axId val="1737080928"/>
        <c:axId val="2061014528"/>
      </c:barChart>
      <c:catAx>
        <c:axId val="173708092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Referred to Services?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1014528"/>
        <c:crosses val="autoZero"/>
        <c:auto val="1"/>
        <c:lblAlgn val="ctr"/>
        <c:lblOffset val="100"/>
        <c:noMultiLvlLbl val="0"/>
      </c:catAx>
      <c:valAx>
        <c:axId val="206101452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70809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Parental Consent by Month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'G - Parental Consent'!$B$1</c:f>
              <c:strCache>
                <c:ptCount val="1"/>
                <c:pt idx="0">
                  <c:v>Yes</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 Parental Consent'!$A$2:$A$13</c:f>
              <c:numCache>
                <c:formatCode>mmm\-yy</c:formatCode>
                <c:ptCount val="12"/>
                <c:pt idx="0">
                  <c:v>44378</c:v>
                </c:pt>
                <c:pt idx="1">
                  <c:v>44409</c:v>
                </c:pt>
                <c:pt idx="2">
                  <c:v>44440</c:v>
                </c:pt>
                <c:pt idx="3">
                  <c:v>44470</c:v>
                </c:pt>
                <c:pt idx="4">
                  <c:v>44501</c:v>
                </c:pt>
                <c:pt idx="5">
                  <c:v>44531</c:v>
                </c:pt>
                <c:pt idx="6">
                  <c:v>44562</c:v>
                </c:pt>
                <c:pt idx="7">
                  <c:v>44593</c:v>
                </c:pt>
                <c:pt idx="8">
                  <c:v>44621</c:v>
                </c:pt>
                <c:pt idx="9">
                  <c:v>44652</c:v>
                </c:pt>
                <c:pt idx="10">
                  <c:v>44682</c:v>
                </c:pt>
                <c:pt idx="11">
                  <c:v>44713</c:v>
                </c:pt>
              </c:numCache>
            </c:numRef>
          </c:cat>
          <c:val>
            <c:numRef>
              <c:f>'G - Parental Consent'!$B$2:$B$13</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D76-4FB3-B32D-4975AE1173BF}"/>
            </c:ext>
          </c:extLst>
        </c:ser>
        <c:ser>
          <c:idx val="1"/>
          <c:order val="1"/>
          <c:tx>
            <c:strRef>
              <c:f>'G - Parental Consent'!$C$1</c:f>
              <c:strCache>
                <c:ptCount val="1"/>
                <c:pt idx="0">
                  <c:v>Parent Refused</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 - Parental Consent'!$C$2:$C$13</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FD76-4FB3-B32D-4975AE1173BF}"/>
            </c:ext>
          </c:extLst>
        </c:ser>
        <c:ser>
          <c:idx val="2"/>
          <c:order val="2"/>
          <c:tx>
            <c:strRef>
              <c:f>'G - Parental Consent'!$D$1</c:f>
              <c:strCache>
                <c:ptCount val="1"/>
                <c:pt idx="0">
                  <c:v>Unable to Reach Parent</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 - Parental Consent'!$D$2:$D$13</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FD76-4FB3-B32D-4975AE1173BF}"/>
            </c:ext>
          </c:extLst>
        </c:ser>
        <c:dLbls>
          <c:showLegendKey val="0"/>
          <c:showVal val="0"/>
          <c:showCatName val="0"/>
          <c:showSerName val="0"/>
          <c:showPercent val="0"/>
          <c:showBubbleSize val="0"/>
        </c:dLbls>
        <c:gapWidth val="219"/>
        <c:overlap val="-27"/>
        <c:axId val="1920207168"/>
        <c:axId val="1717362096"/>
      </c:barChart>
      <c:dateAx>
        <c:axId val="1920207168"/>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17362096"/>
        <c:crosses val="autoZero"/>
        <c:auto val="1"/>
        <c:lblOffset val="100"/>
        <c:baseTimeUnit val="months"/>
      </c:dateAx>
      <c:valAx>
        <c:axId val="171736209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020716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_xlchart.v5.1</cx:f>
        <cx:nf>_xlchart.v5.0</cx:nf>
      </cx:strDim>
      <cx:numDim type="colorVal">
        <cx:f>_xlchart.v5.3</cx:f>
        <cx:nf>_xlchart.v5.2</cx:nf>
      </cx:numDim>
    </cx:data>
  </cx:chartData>
  <cx:chart>
    <cx:title pos="t" align="ctr" overlay="0">
      <cx:tx>
        <cx:txData>
          <cx:v># Calls by ZIP Code</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 Calls by ZIP Code</a:t>
          </a:r>
        </a:p>
      </cx:txPr>
    </cx:title>
    <cx:plotArea>
      <cx:plotAreaRegion>
        <cx:series layoutId="regionMap" uniqueId="{E6E40120-F110-4034-87AA-C723A2CD8124}">
          <cx:tx>
            <cx:txData>
              <cx:f>_xlchart.v5.2</cx:f>
              <cx:v># Calls</cx:v>
            </cx:txData>
          </cx:tx>
          <cx:dataId val="0"/>
          <cx:layoutPr>
            <cx:geography cultureLanguage="en-US" cultureRegion="US" attribution="Powered by Bing">
              <cx:geoCache provider="{E9337A44-BEBE-4D9F-B70C-5C5E7DAFC167}">
                <cx:binary>3J3bchw3EqZfhcGbvdlp1/kwMZoIix7Z45UsjeWxY/eu3CyTHWp2K/ogmfv0+yWKKHQd6IFRWEVg
fCE5SKEbhb8ykcc//7b+/a/rbdscrn5/2O6Of13//uL6/nT6+Nevvjqu79uH5rh62KwP++P+t9Nq
vX/4av/bb5t1+9Xtofm82d19lURx9tX6vjmc2t+v//43Pu2u3b/er5vTZr/717k9PP7YHs/b0/EP
fjf7q6vm9mGz+2ZzPB0261P84vrVdn/Y3DbXVx/3x1Ozvdnfti+u0ySO8uurdnfanB5/evzIj8yv
r6++Gn/0ZBtXW3Z6OstnJfUqrsqsSMsiSsu8Lsvrq+1+d/f0679U8SpL4jiui6qusziLCv3FPzQP
ei//8+rVa/3jyX7Ubprb20N7PPJ86u+nZ+jWDZ6ZR+ajBj9KXlz/vN+ej5vm6mZ/3p0er6/W8rec
8h0H/uL637vNqb29en9qTu1x9qy2gLPltF5cv9u0h+N+d321Oe7Vxx0eu1P993t1dF8N0fz730Y/
4DBHP7kAfHzy/+lXwwd9Hu8s9YV3Gq3KKI3LLK/jqMiyPB3hXaziuKyqOouyBNDL/os13uzFCe9+
3QDcebx/aban/c4JbnVUBu5v2lfn3ab5cPX+4wHR5e0ICfeoip+Vqz8n5+Ae1XVR11ESpVVeZskI
d+Q8rpI4qeqoSCagsxEn0Pt1FqC/P62uvt/f745OuKujMri/2+9O7dXPLSr76mXbrO8DA97o2YlC
dQC+yuI0K8osKpNkquBLJD6qoqKqsrLIJwo+igo37PU6C+xvts2jG+xyUAb2V9uWC/Tu6p/HbbO7
DQrzNMmAxs+lnq+qNKtzruuozIsqVWd0calHq0Tu8jqN4jIvq5hLoPviJyUve3HB3KyzwPzNpnnY
/OWb5rZ1Qb47LoO8+rSgAMeKQwn7ARwrrkiyOivyOkvSKqkm2j1Pc76vyrpf99eKvtX5nQvg8gzd
OgvAXzcfnKDuDspA/fXxtD8EBXUaV7UvqPNVXqZFWXJN1xVIA+XAYI9WaZbVcZnU/LNU/X4o2+zF
BWp5BmuoF8q2Oi4DeICyXeaZL8ArLHYctDpLsyqesdijVVUUCHZclklWRHX/xVq22YsL4Em/zkK2
Xx7aT83h1kWTy/dc3uFvNg9hmelpLEaVH0XOzR3jiJdxEtVlXIz1OBc3sYckLbI8ius8Hetx2YoL
1madBdZLhbszQbVDHp5wp3Hq7eLOV2WV1jnmd14URFfG7ni0iuuIsEyeIt/447wQI22eOl3c8gxf
TJvLcQWtzbPcF+D44bUAnqdVmmKdT67vfFXEhF+KrMqIx43QTtiIi3ibdRbi/d1++9C6OeHqnAzS
L/e7zW8N8bqQYi7+3DCwTuo0qTNCKgX2eTw21eJVkRR5VdQSV50GXRydsKRfZwH2N+dPzdbp1lbn
ZLD+vll/IK76abPdtkEBnhZVH/JYGGtJSkwxgihxnOXKOh9r82SVJ2VC3DWJqhoBn2hz9uIi3/IM
1tr8OyA6/ro/7M939y7IdwdmkP+pefjYBAU5p+8N8hqDjQBKlqLLCy7VscUWr9IkqesKE34mmM5G
XPCWB7DGe2lcdRBge3+6+vp8dz6eNrvAxJzopr5Nl4s5ubCce7yqipL0Gdf0wAVHr5d5BeRk6lRA
XX+xDq+xFxfY+b6ndRaa/d1++8FJvNVBGfH+ZUMk/XD1XfOpDStrlkb+fPB8hRWe5nVSIO1o+HEQ
XQKqeOFZled1Lgm2MeLsxQnxfp0F4gv9MnVcBve3H5u/vN6vP4Sl2nGTvEXaCnwzMiNlWRBvmxFz
UmoV8ZYoqsrZrJnsxQn0fp0F6O+a7UOX4XISdnVcBvRf2uPpynxkULc6IHmDvlzVKWF00uN1XGX5
WNyx47juufO79MnEdJetOCHfr7NAfrkdJ+dlsA/Rjov6zNXCO13lx3MBXBlxsUA6utPLOI1qHLmq
yBNC7CMNn0RR6gK5WWcB+YI0qXJFdMwt4DRpgtTpo1+OeYYzg3iXlDZR8jLGPJdoa0n4LU2KmBtg
7K7JXpww79fZYN5s7yl3ctHu3VkZCef1OXw4huei4+74wpx6twonLSXeKo76JMAerxJqIfKqLDIV
gptAzlacIO/XWUC+1GPjsAzowXpsaEZf9znaXWKuWRbleGRZlIwDM/GqzojI1IRv4qcw/CDMLntx
g12vs4D9h+Z4bM5Ogq6OymD+8vC4bsOTc0yuXt4W6vaEOsaEWjdqW0G7C6UP7nM8tpwamKQs4iQl
ONO/atpHZy8uiMszdOssEH952H92zJp2Z2Ugf0fBE/Wv1MMGZbSLQ+3pOke1U91SZ2WK9pbc6FjI
k1VCbLzI8ziPxaMbQy57cYHcrLOA/OstxYhnt1JmdVYG8jebdbPbf3wMC/Ao6k3nhTKOVo8peSpT
kmliIkQzsdeK9ClFEUkkDlv/punKCPbiBHi/zgLwhZe5nJaBPOyy1pR0ly9hr1ZiwRFUp7Y1J6sy
FfYirqtSVPs07i4bcQHerLMAfrl/LqdlsA/QP4/9lbTW5EoJt0t1TATa4n8P7vOYPEyCOiBok3Sx
uqEBx1ZcEE/6dRaIvzufds2DkwGnTspg/U+JuctNEVrMnR4CXxJOaUxJZxKmbZUUBTp8hHi0wpzP
4qiUX8a5lM4MIKdg0alYwqyzgHxhzF0dl4E9vFqoJBLN2527h+scnzvO6VEppVmF63ok4sj9s9F2
2YmThPfrLOB2D8B1F5QOwL09NLu7lkj74UNY1luVeJPvapXhcac5TUkZur2ewk31TJXiwsU59t0k
p5awFyfA+3UWgD8B5dJ4qI7KyPZb9Pnudh8W3ChgT9KdVKRUJJaKP44PJtfESLhpN0zInYrBzv9O
nDO24oR2v84C7SV9puqoLuFWEn5D02lgkJsOsIUKHciriAK3hMR5p7YnmNOBWqaUrafzORWal9ww
1+ssMHfuSmFz8jxapb+RnuSrb/aHJiy8o7J3ixfiLTm0tMwIoObY4jSnTH0ypJ9CKZVMmRa3shMn
tPt1Fmi/P39udrvWrQ9JHZVB/O3/eHnYBGagE8j21qtQY6BjLEd8ZJ1Ok+RUQaVVQeepdBvPuWSs
c8Nbr7PAe4FLpk7KoE1VRHMKrBqGCLiv+1uCbVjK1LSkBRf11FxLVmVMtpTKV7yymZiL7MUNbr3O
Au4biCIefnVkilCHZQDvLobQ7m9sam85lHIlFS70KcRAjjM+1ufRimo3KENoYRH7fFIGI3txgdys
s4Bc4quvz+uNk0rvTstg/m5/OMEj0n1gWPc4rfv+TPWCDtIIQEvarImqTew2wu1EV3OMt7kWU5Jq
bhwh/Tob3KXTf791gl02eGm7vf20aUNzzVJpJ/EVeKGlMCZDXhLuTPN8XAeTwRGEt81dH8eztU/s
xUXO+cSndRZ4v24dGWHUQRkR/6nZbpt7Uu1tG5aA00HkCXDxxfm0MufGU5xOY8VOOQRdS0L7lM5z
grDaCfB+3Qzgf4rUSc7iAtN7uF5oa2nu2mNYoBK59gUqGRI4P/DAyHTOMfwkdKLAD1GTJoH5Y+p+
sRUnTPt1M5gOfgSR16LstxyVwfzbhhaUAIvZ0tQbmRdFLhG9orD6aO6m0UWNzU6BIzEYjLiUhrPe
GeiLXNzIvOQZundlAPA8mdeiIhc5K4P5KzHPXjcw1x1um8D6DDPY9XyJegVJW0qmRMdSpoUP5EHp
OyvqhOj5lBJC9uIi62adBe5vj+t2v3WqdOnOyuD+vzbH4+bhIbQbO/JpolG9CEVjSu+RuFsjQZfs
N0DzSjzD2sdWXACn/tneQltSv9j1RutY6k1no4VVypZiGvsT8AzJrUosZGF8mStloxuhK2GepYVg
Ly54yzNYK/Z3zXG9d6l26E7KiHfHARZcpAXt6g9vAqTUOdA+mETUNIzlm+AafhkcfjQIzcTWKF91
ssfNOgt97gy3fMvlLQ7BBJy2YaXFqOr1GFary4qmEspayHBP204InFOgGhXK154a6rIVJ9nu19mA
7d49rIwRrcnD7R4mV+1LukukFzY2OkpqyXxL09og953gueVxUqSUo/PPprQQ7MUJ8X6dDeK4U3jQ
TsQvkti/lHAiqO9aKtiOv54Pd2E55KqK2EtYjXr0mtR3XMMOQdsJhD4T2OH5gQwErgBNBdR9sSlP
dhJ0cnz2LQjLEqJdybUW9pdUNf22P9wGhrjkqb0gLgnwgm5x/O1cKHXrsV8mHQhkxxJc9lJeiLE/
TljdyWwz6ywEHbZ0x0gqu7uU8h+bTXhok8D0hzZ5TrHY5Lru+kkGaj2FUhsezhLqCKlYnqh1+pLc
nLJ+nQXab5pb2Lfc2kfVWRkz/emjgpJuchbe7DYKkqHqouMgV5MSClX+M2BVRtEDNUWsNamzSbuJ
7MXpGu/X2eC9jFVZHdcF5PJpQQGOKuy16sJ6JrnAoUyWK5ryfBIiY68Mbic4WWs41YXkTeVJRxe4
5ut55np5bjYGz2DthS/sL+qsEn2DB9wsbNSrB9gZkVDQpA/nj4RPJ3ZbgQOX5ZS5CYnbNJPChAUX
OZfJDNawL6t0kcMyUq7C6r/cM0QlKFGnaNQbLQCEL1Sy0C9GdKWUpOgEc4LtVHRDxDo3IEO24gK5
WWeh2pc3lMl5GdjDaygj+u3LeiN3xj0ecU0/S/gSJxBFpAkeHBHYSXGT7MUJ8n6dBeTfbhmP4OaS
q6MyYL/Z7w9tkCxusbeeUci1+U+KXOgYk+FHIyGHJSKl/YB+0iipZ3oQpBDOCfJ+nQXkCzvK+KpL
Gf9uQ560uQ9LrwOBJx8NKS9oDBNJVl2j3b13YbOTOCsx8Rh/Ni/kbMUJ8X6dBeKv3crRuYgGBRHq
Fn/zSNQtKLRJMXqMv/Bp5EgIr6vZZup8LtBOlYDjwsHaN9tSxl5c4JZn6NbZwN3Aid2eGE/l0lWm
Tsuo9W8Cy6NQBe4rrC4V6ZQ7wdCnSbRH6pywOpz5YK0YOc339uHVxCmqLo9gDfYyM132bLAOsyCd
QRa+LnAQTxl9gQ2uE+MTxImly29r6FhnSH1kL27yrddZyPd3hEycxxeqwzKQK6csyNmFdA34gl24
nBhel5BHoZSJ8VYqCn2h1lEEDLMkm8pVP9eHIHtxgd2ss4B9UZnbaIpdwGVuaMc/xv3LT0+FFMSX
OUkml1QnpRoMc8gkxjtSQNGKGi1Gq8IaS15f1e0MI4LsxeVNJL5oHxr65+520+yuftx8grfbxcZQ
B2aU0CvywseH9hBWdCjBifMEO/cObW/4hYRr4CNhYscI9lKYxcgLxIT4gd+EIrWpwV6cYO/XWSig
fxzXjXPvmzosA/m7dnds1lRvBuZK5L4kXVK5JGhjgkPPkclRRE+PFHO4FFNon3TQkPOaOEHer7OA
nIT7raRgnaScLxpal59PbVhFWdQ3+3IdyfVA5V4j2vD4Cwfo2HVMpMKWfhnIImcZ/mUvTnj36yzw
/nazXd8fGA/vBLg6LSPjPx24moKji4x9uY8gTk4PwOlqE8rXzte6sCoT+GmIHJEBolCP6mrSQMO7
nAI9N8T1OgvEFzXMyFkZvJ8+KiyNDvOXPvaFaT1xHuNaCMWemtTV4VzgzQT0qCC5wwhFCf6augGt
0dmLE979Ogu8F8zj6uoRdCb3h/bj6bxrAxx+Tk69F7WFmIvniPzS5Q13gXQ0jw03PEemM1GGmxM2
FBI5/bI9YS57ccHcrLPAfJHnKGdlZFzFgANtkKKUwls6l7A/JXhgTnmWIu8fGeyKqYYmySjvx24O
dLvsxQn3fp0F7mbOist13h2Xgd58WlgangiuFrql0i43OtSB1NzRuSwzFUeoo+GzhCJs7HqS+VCR
6S/WGp69uKBO4YZ9+H9hvY6clgH9H9sPwZlw1Fjoc18KOARjFYyRtSaVUrpwcKUj/zVeu6aAHwg5
RZluF3q/zkLI3enF5JgukJaZe8egRJs2L7yo7sg9IE1VO1JLc5RK7Y1EO6HympIsynEx2WUal/5i
fZGzFxfRlmfo1llg/f78IKPyHEJu3VEZtEkbtQ9NWP2PaEFf97dEX6CATYn1g7lc0SO4SdtD750V
MYSSc/P2ZC8ucJt1FnC7k8HKQRmw32xub7dteK0yDC7WUrZcvGFxp3MCSiE1KnWqyMn6wU3DRM35
SUzsxQnvfp0F3ku4YOWoDOIhcsFCu94r1aVww1vBqDWo4qi6URb4SLxlcDaDHaI46l+Hwc0te3GB
26yzgHuJW6bOyuBNx+v28fN+fxvU/U3NlMf7O4dZik4YQJcGqPFERUrpSzL2GZd3RtGG0SzaNGcv
LojLM3TrLBBfIuDDWqwgBZxqV1/6PF8RSYPslTosBmkqT2vQGkUsTorueBPgriHwPvbEZESbC9xm
nQXcCyst1XEZGQ+Ruz/tz32hRsdgg0+MyfaUWVJCT0B9pNFxveF5x+fGbBPPvH/TtHxHqSM7qF5n
AfgSghI5KgP2q/awg819s2tCDLDS1eRL0Am0MVUvyYVkSgapTYPqQmLC8I6uQ2oSVKeI1SkzbtZZ
4O5eYDvgrQi1wJZ71Rfc1QpKUIgBGblSYZ7FM9c47XAZhO59Tm1guHEdu4l5v84C7kXX+EDMQ7zG
UcK+UqRoddInjE6D77kohDZwotVh/qY+oqIqc67jVfbico2bdRZwu7vhIxLYUGey5N4IBQGcEahx
RlGLbocYmG0QQpPgoHemy6ZN0mUJW3HCu19ngfeyOqchoeAN2ul8eAzLLaPC0JM+F7MNZpqSylls
swqKyImA8y4wK5kIXFchMdTm7MQJ7n6dBdyLjDZljuiUeNBGm3CGeEId+l8ZqtaPXZk0RfFWVNBB
qwHY0+5mNuIEer/OAvSXh/aT42Dc7qCMqd7lRQNrkxGCCV9o09osJYyMyoMyVMpTRzIugxsKaaOB
UzRhcEuvXHTqxJEsVJ6he1EsAH+3iH2qeyYt5zd0PB4+N6RiwtLrGNW+MCcTTudyDQ1Jx2AwdceF
4JvgDCWNs0RE7MVJyPt1Npi7j8tUR2Vk/E27PeyPbVhwR5nHdBn0/HJB44DH5bQtAd4pjDq4KnKK
fufq09mLE9z9Ogu4XzYf3JKjMGIO8mXfbtudDOl40wRmuUlkzJeElyvI48Texm6D9VdVhVxUPiQr
Etc0S6HzYaaam4DsNutcHsFaqS8nrJDzMmIeHmEFfrO3UBvzMiWowhVNgzNRc3U0F5ALG5F8HznU
KBKWEv2q6RArv3MS8n6dhZAvib0MZzqEGHtJMbL0qS+MqGOky8CVfrjaDGkoVFd8XxeHu6A502Yb
v3OBW57BWsKdOYG7kzKi/X/aj/ePh3tmeIRV48T8Sm+Ger1KsqiEfIQxOyX1q2NnPGECG9pcN6BM
DHXZiwviZp2FgHPpOtJHdkdlIH+Lvd4EZbIJO4wv8aYyXbUZZExAVhPtR14ZJRDkTTDmOgN+0lIo
e3EB26yzAHtJCYQ6K4N2yJXpQsnuCXcVcRMBh0lSSh3GMg73N/NRKTDVMVj9vfoSZysusMsjWGv1
JSG3rnFOu+L/+7wNbWgH3dv6zBde4WANASy5UdzsPCIIg0U2CqcnwmCS0WhKNQSGnf5iDTZ7cQK7
X2ch48vC6d3Udg13oG3DQKRPfjnk0jBMaAXdLYiO/bJ4xXDUmnnXCHjOoK4J5OzFCfJ+nQXkC5rM
hj3D3zfrD5ALf8JsCy34UvgMvkjbIMRMGeRyRFpHUp5KaTr8ANETX2j/rmkpZ60T5P06C8iX0bzL
YZmr/DXEEldvmw9B2W4cvzdPvKb6nBQWAx1oJUJzj4VcaN6ZdIgrzvRcJmdOhJy9uCGu11kgvowb
QA7LIA6l0cfg+owgAPGn1YmvEmWjA6WjAx2JOKEXuANQ+Mzomus+SdiLE+D9OgvAl2j1gXxfavUQ
y9sYU+4JePqHKVWmgA3Wn5jo22QuEwUyVUHjAqH1WY4ABvS51bH26yyAX+KlqbMygv5u//Cx2e1D
RJ1GIF+okzFNaR1m5jmTuCh/Gjtp6He6F8Q/n0+YshUXaSc1+7TOAvTFsXV1Xgb5n5vtYbPeB3Wn
U5vmLR5DPoUsONVP5NHoUuj6dS6i62TJGc4kBBG19CdMC1nZixPo/ToL0JdlybvyPe2rBTyjCSIe
X6Jer6SKVeoNmdAyY8pRECfZFAginuH6Zy8usCf9OgvYf95vz8eN0yRV+Z5LS+6H9vPV+4dHqtcD
1PHY8L5udmIzkRC6keyAKrieEv7HVMVg0PUDs/sS6t5ry5xudnmG7oWxAN69tLVLCGtZ//bQkjK/
2eO3vf942OzujmHpeVqFfAk8tW8Zo+2TFMcsLyhcHpnyTEnnhehHsk2SLNz5TuVvZp0F7osvd3Vg
5nIPMHEOSr4gx13PoQQnmUKtREUGbQK59B5D2tn1ok4T5+zFScf36ywgX+iuD9oWgnTXmWL/h4B/
ed5YyIH+cEfr3/961+5f79fNiZToUQ1zuvjB1Zafn5hV/+Ka24YQgLRIQI/7VG83yARAVU4NT0VZ
PRNHCCr1735/2+ROLgXei71LsYyrXA7LaJwwucpTfxQWSb4iHU9VHgEjTRA6gJzkEKUblFNRfa+G
T+h37Qly2YuL1jHrLLTOwhZYdVwG9O/2D+3x1Da3QVkXWGR9qdTy9A99cZBD51RyZFw3Kop64UXG
RBbghSY6LIMCyfyNQJe9uIBu1lmAvii9q+wlbVeKnbKhTj8wvH0Ghrm2JO1TIexSdTcyLYSnhmEE
MEBCTiTc9BO8HQPDRKW+gBcxnBcWKE9NxqxdfewL5VuK8ijaQIIRX0VcMMFbGp0L+mOpvZ8pu5W9
uMi3WWch32+P6xbqbhcequ6sjEYnSHSz3Z/DEnCi9b4UekJYMOcGJ3fL7L/ZUHDFe8BICjoSBPI+
HqlvcfbiArg8g7WALwsLymFdIN4+bHawj4Wl0hm27U/EGeoM0rS/IeXTQHC8EqIL5tAoHotJfIC3
xK2Ao19nIeHvn0ByEXHZ4CXgv2x2QloXYlyIlFsvb0s1Ox1TuTAM1kSGnjywgbkO/3uZkTOh0V0G
u08tN/biIujyDNaCvpD/XU7LSPpLxnoEJeVM3PQWBixWNa4ZJXmUYCrLbHSRCwEhOcA65m2IZuq0
ZC8ucJt1FmJuKH1dBL07LoP39+ePTPg9hAV5kf+x7fblo0Klzz7sgipBoj5FKQVik/pQykqwNSFE
rKAhn2HJQpU7vYRmncVLuPCuUcFW7S/eNMdju/21PQTWuEeq/49fwz8XCqxptobdcN6ipAI8KRgq
r26ZmeHibMVF8cgjWN8zC0qJ5KAudE6oBaJZXXvLMZeMryP5kBL66bioJ3cNDSC4lVJKJETVvSn7
5EPIXlwgN+ssxJy+ntNGcoTn3enx+motfx8ef2zvCG2/uP73jqvjlqZbuurJHX7cH0/N9mavYtvd
URnM1a11s5FP2Rz36gMPj92//ff766uv/v63kdKe/IBQ+uif/OvcymaO5+1pHGb/T7+6Gjx8/OL6
1XZ/2Nw2o6dI0uSP8w/2Is5kGZJN0mgDh0ZdTvV6RrQfZ5Euj270TJ/U1tF+9uICuDyDtYy/gu7o
w9YN8u6wDOQ3zaH5FXMyMK+RngxPXqNq6yEsxJjKjvkMSAfuA3X/FXPhuMzna8aYTOp2lffrBq85
b/nr6+Gbn7y4XhL47Rhb9UUeXl8P+fc+2L7UVxT+HNQ5ReBSA15MywMJGxT07VFGIHQL/ffqmBBb
cRFveQRr8fZQQsC+jYiHV0IA+UF/ky5FvIS+lHsu4X5Gq89x6NAKkJsRtGONLntxgdyssxDvN82O
69lprHh3VgZtqUaA6mu/C7FKDIZpf2pdTXJl8HAeU98/KR0R0456UQLAMBnP5fPYiwvulCbZ5+3f
N7tTc/Xj/ugU8pevuhT070OjyqIu3xPclPsTxoeDnN4e8J6OBCQq1FX/TljRUnbhArRZZyHgS+NB
3fgzfYf/Qq7+ynxkUNY6c5y8uWeUAHNLo9jpxpwb7stomawiqxfRli3NXBPdzl5coJdn6NZZQL+E
dkGO6kK1i53+adN+Dgpw2ic9KnXacqjTgJ+Otq350t+6hDOJlu1OCQxZL9mKC97yCNZ4L4jAdBzc
Wsovm7nCQjyqfDnkeGcyLKhErVOQBafO2GIn0CpTxJhEAEYz0X4WuTnk/ToLEV84GE5Oy0j5uz1Z
vauf29tDiIX+GbrR151ekemB3TamHTdhqFQXn7woyaLgu6Lyl46ebFbcZS8u4m7WWWBPuOxwPjpF
39RRGeC/6yYThNXIxeAAXzYcss4UmQJaDXryJTs/CMNkK0KtzBXDe1d85eO7XDbiArZZZwH26xa/
yiHQ2p2SgfqnZrtt7iWl0oal2QkfepJu0KaRo4KhGiGm5HIadiPPIkF3EvYEYqeE5WzFCe9+nQXe
C+5yOSgDeMB3uVTCdlbUwlCMyHdJZI2IBaNchaJ6JOLQbRATJWdaMVEKHTAR8Sh3g7xfZwE5HRib
rYRPXMScLxqifvwYWNoeXlKP+VJsNjQ2LVkaz4FKx2eHypi8GWad+gf6RdPJFPbiJOL9Ogu8335o
tnvnAMwwZ6p4csNS6BS061NfLt4yLqyQWa/KJFP1AxfmWgabeQ4BasbgIHKlk0AMitkN7n6dBdyv
N9QwnB6dpFudldHpLw+b42kfViEWyao+p7EcbwqwcLtqKXBRcA6km7I7Jv5incPBkeKg9fV+WrrZ
ipN09+ss4F5GniRnZfD+hfDLr/tDWKN9U3itPAk4FdWkSOMCwlqGe0qydHR/44sTeGHKs8qzTAVc
9uKCuFlngfh3m7v7LQPenFyy7rQM5O/bX6XnOjCVbuKcy0WcEXGoayxxJeTj6EsGyQ5UxtAr0R2B
QdfrFi3jaezWat+vs0Dc3SnrOP50vC1Up0zC375EPF8xZoRBBJjgunh2oNRx2iiIorSz6EaOjE10
2YuTiPfrLABf2PqojsvIeHjTP9FSviLqotOlrYAme+Kouu74wmhj+iezXoml09ZSJ9PpvrIXJ8D7
dRaAL9XpKpakxTxInc5YN08iLl44SpuxnxjiuTDojG7xUuirGQ5ItI02WHKp+ou1TmcvLohDiGdf
xrqM2nY40TlQalsCY/rkl1/jEJVLTxSTIFOJrYwgT1cxzCp0TeQ0xM7kSUmtuF3j/TobIV8WeFHx
Qy3j37e7XXBcOQSJfYbaaI9BX+tpcCPEMdzoTEiTCFcdo31SuCx7cRLyfp0F4u6GW8fmqNEO1XCj
sqx3iheKOIXLFCxWUqhaR/SlVGjtgeFGbwJqHwYTQrD53IgZ9uIEeL/OAvB37mPD1FEZo+19czqe
H6gED6hOPUMYPWl0mQMJExYsZ0nBqJm5qsaS/5hBwduAlJuY7tMlLntxgduss4F7wWTA7rAM4DeH
R2lcCLGoEYYPT7BLzoyYW1pnemzzVMoretrFkH+m/sUt5MYjdG+LBeoLcmZyUAbycHNmzPLziHhB
DAaFzmCRcjo6jIuceUPUv03b2dmFi4hz9dsXOy24wgdOWahXOF2evoQb2imElmi5nsiuLNoLV1yE
XzKn6n6fsdlkLy6Am3UW0r009iLHZUQ8wNgL7YCeZFsucfqKpI6YSqAK0tKRNqe+ScbPwGXdjYLs
o3xPl7gMmXICvF9nAfjybhQ5MAN5eN0o8Dz0J+/BTE+ZRoBrlpH27gr/LkRcZn/CUQJLdZESVze5
Oh17YSsuiMsjdOssEP9626zvz24dCeqoDNhfH9b3gRVA0CXk6/JGoxNNocmEUVEdk+BIwNHoVEcQ
mMFrpgVl4oXLXlzgNuss4F6q0bupOdoXD0+jUyHsS6OLfU7ZUsIQr0R1EI69cBk/UGdUM+OazTYd
sRcXwOUZrOV7wTRnOSkj3XQv3bYHpkgF5YaLgeXpBhe8qYBglITwUseqtmIQdUlRAIzviymCYGbg
zGBf9uKEd7/OQsC/b3/7TcHkVvTS8Wxr+X7dPFCfHhTgae2thJE2M6GKK2EQVHiLxh4ATscRrScU
KDNQaI5FUPbiArhZZwH4zX1z2O5PdBE41DB2p2WE/N3+AJOg/sSggCdt4cs5Q9LhCKUVhdAq42Xq
yQhvsdX5Kah37nifu9GWG3txAV6ewVqzw/XhXLg68MsUB/TL82kbmPGGKvYYUccQ5/ihGssg9ZnM
dKacUUfh5oIviVs4nQewhnshD4jKAmq9/vVHRjqv75kjFNhkZ8JVviBHyEmAEoOR6UQll/ZIuWe0
jJMxp8MYh50a44mMsxUnGe/XWSj3BRG3AeChRtyQSI94o7S5rPtRMSPAU8rb4op3glcC4siJfyZ7
cQK8X2cB+JvmliSXaz/CAPPXgbUbEZn0lREXXzyq8caxb1Sf6DS6SlF6XdKBouggJljLXlywNuts
sN5QBPGXb2DwcDLd1HEZ0y08X1zmsnryzcRUh8pHj/1UV/TAVKezmOoHYq/d+zDJn8henADv11kA
bkgcnABXx2UAD5EnFFfKo5GOzwXFL6GVWa4fJoPlMf4ZA59V0rz/Ym2ksxcXyOUZunUWkC/Ijw6T
J8HmR1P6uX1JOQM/IX7hboYMgtjbpCeBiDo5loqseUV67KK5rc+haOK9Z3ocFWlhc3t7aI9HaNnU
34wFkmewhnx5DkUOzMh5gDkUGoE8QY6VHkPgjm9GikTYdadpM6aBkmMhDKNoQCZmOntxkvJ+nYWU
L5zIpALH2jcLcyITkzl9lTsJ5NSvEmClwI3RTNXYeEtWGT9lQJfw/8/lzdiLG+R63f93yLvXuIf8
vD0HFWtDH/pCWyZ3YImTElfEAJShj9wy0CbyktN6KNf5rE53Qlue4UvqdKW4NOLh6XQYeXrVujQv
TikEVOoypoG4C+lv5bZeJMaZxkTlek6V+mxUnZ24iLc8gTXg7/bbD05Gujomc3l/ff71fNjdNsFR
7ha+jDZR55l0GjyNVJzJoiD+VPz2s1y16aDtdPhhXPDmSrI32pa1DsthGczfrL/eftwElielwlif
+1LxrpnFTbUygbSnxPdEo8dxTF782XEJ7MUNcL3O4v5eNsdVDssADt364UMb1g0Ow5YvvLnB4zIm
eAoZp7ja0zoIqZKg6oWEmZBBjB1xAvBuCr1fZ4H3stlbcliXeF+9axnRckS334UFO11hvmCv0Ouw
MkYUv2CMU9E0EXNSp1hus/Qf0p7mIuNmnQ3mzXG9d7rF1TEZwN/eEg9ogkKa26+Xs4UKnRs8IQ1O
9RpTEqSfSCm/C3stITn6NCJhEliVfbgAbdZZAL3w9lZvrjbNX28+tVdvmw9hoU3My59cc29XlDER
OkVtT9CmSZwMeSzx9vnZuOzFCfF+nQXib5mKceeUN6HjVaV6Nd5vD0IgEhgP4wVdmgfhLhHrMmea
0dwcxWTFpZ5GDEkl6DLbLlw43d4IuL07tqCKUYjljCZ/06zXW/qFH4MSb/LRvtwxyZRJepsxCPPc
6Yy+RtfTPgrfPH+aFJ2OobMXF/GWZ+jWWYh3X4LmdHur0zKYvzsL7/63+4MMEwqohRSP2ZexxhVO
lyDR80zRqU74VqVhGCMOMphuxn3vG2gfnK24gC6PYA36glyZHJQBPNxcGVktX9c4fItEVAmhw76p
/K6ReR4xQwEOJ9hYiaN383MH9Ol0KDjR5Zt1FnK+NCMux2Vwl0mp7dW3WyoqwhJ0UpmeYEfQI8i5
CLBQpz4tg6DGKYJ2OWNCSle5qr9Wyzk7cZLzfp0F6K+b35rH1rFiGYUykPU3zWNgtlsce5PxesW8
c+k40BRdIxmHow8HHP9cT0kZSHjCTpzA7tdZgP1q29xRWOxyj8v+BuJ93u2Q8LBEmxk1WsaWW+pp
Tmc4ok1XsPA8TNDmNahJrEh3mSEN06LNTpzQ7tdZoL3gCpdzMqo82Csc/eSxwQzJhoc2ZeK5Km6Y
AE5vChlTuchzgqHEZYYCzl6cIO/XWUB+s23cCHbVQRnEnzz6d4TSg5LwDONKn/tCCScXDks+zcDc
zp0dPgKcvhN4+TDVpa14xjeTvbgAbtZZAP6eIaLHPR6VQ79Rd1gGdP1ZQSGOiPsKtilzLUd+025y
+CQ5SiocHjeGFmqeCP2qaa3OXlwQl2fo1lkgvkDEB6G2N5vb220bXtIk8zaokOiLjLgg9FIRTccK
V4nji1A65ntu3PBJNJ0yZadL3KyzgHupUzacU6jq2X6hr/A+MCGvfBluMmeacYSMuqGXaG4qKWY6
FLuYbU9JlEn0BXYINyHX6yxQXzrWamC+vT9dfX2+Ox8ZVd4GBTvTwH2Zb8g6bjjAw7xKcyGZlNFt
TlpNOosralvnq5XZiwvs8gzWuv3lYf+5Ody6XObdWZnL/JU0D79uztAEBFjwVHrrRaH+BcYXru2o
g32cLuVOlwFnMuZu3i+PSqdeFL7vaZ2FuLvf6XJQBvRvD20r7WokTd9/FPr8Y1DyzlRdX9Y7thyt
BxhrZEfpG1f8+IMeJLiWa6YTm5bSsS3HXlzkXZ7BWt6XcS3LYRnsbxhovN894HOGhTldf/rol3ps
yDoVrHA4Pc2qU/buhT0XrxBxytiZfIYFAHOf/uLefq+dsmkMYrHPpi282uW0DOjBXu0JoqdPfyHs
iDpjhqFqI/oaSXh1bMaLqNOFQE27TD6bCcaxFzdR1+ssVPwyUe8I6nSVRKC06hDf+4M8xwyHNB1C
VroQJinUgq4UGCTgj2DUPET6EyOevbhBrtdZQL5svpkclhH0n5vtR0I9JMxD0+6+HDeJzki0Hbes
jOKCcig5n4F2h1ybsbWkTxVpY29CGu3u6LhpKjgLzJdq9/8Ox40qU4+wAygx2ALqNiF2Gl/qEH3x
PpTwOqRwLZbxBHb24iTq/ToL2BcSfclpGVl/A83XZk1yLTBZJ/vhT79T8BDhQgGC5FKm2TUomal4
fHagIXtxAr1fZwH6gvyanJQBPNz8GqkPj5DTWFjiptOgRD+KEokL9S5zM3IaFxiKNsurT9zGUc71
OgvI3SmA5KAM4sFSADFzzhPg5NcIxdHYHUEDwjSFZNxrSk1UxWWOPZ/IrNqpYmcvTjLer7MA/OWh
/eQYkZP5fJeYd5H85jE0A86jUk8pYJcp0+AtQwvldC4kHI4Qat2fL3aVeadOgPfrLAB3V+p8yyXc
wSp1MmLeIjIV0VVG1FLJCrtejNk+gpwcOvwhVMk8040me3GB3KyzgPxmczqcnYaWdkdl1Po/d5/a
w472pKBknAxF7x8vjMXIJIVI+FnpL8QBZxLKCHBKnwum1NKCTGZ1ZhiS7MUFcLPOAvClvNtyXAb0
8Li+qOXzFXwjnSolrlClxkRbZr1ymN0ofIQ3hhbw3lrUPjk7cYFbnqBbZwN3c3AlZ1UHZaB+SwSu
CUq2M4r+/RlsEjZnrhVR9HimXALCJ8x3esn1MEP9xU9gy15cwDbrrMDeNafWqRmtOyuDthhsVEYH
5oVX/roWKpQ1Y+2IvlDXmBbp1AunTw3RFzIPId3uLUUt3ezFBXAGJNrn0JY0Hw47FoJsPmQukRaz
pXc3BewEVSIyKE/1UKO7m/QZkbgaHvVUqFun6TP24gR3v85CvpcMMpSjMuJ9A6/cmnTpFfZfYE5Z
+R86EL9a//7Xu3b/er9uTlx9/zq3h8cf2+N5e1Kcen/iV/DuPWx232yOp8NmfYpfXL/a7g8b6d37
uJepgDf72xZOvkRRNnf1zstfQ2auVYXM6inpg8umcQGyvDnmhAzbJOrbByS01mEvbq+hXjd4Zh75
9fXwGJIX1z/vt+fjxqnstjsr8x7+0H6+ev/weNg1IY5YJCXjT/+QzWPQHhECRRU8jg/Q/Ey9BjbG
c5Nz2Ysb8HqdBfBvlhiTA79B3M7QjEl/3VIl3VJkaIkKxClUFjJxexAMSlZSvIOLqOazqfkug3YK
zA0n28KsswJ7gTE56pc60AgpFTpBuQ/CEuRPvGEGrsnX4wYg55N4b4x40z5HlJ+hmzOhAdmLm3jr
dRaIL9LrclZGr3/TPAJ3iEod885j3W1N0yMlGpAIlt0cppGcy9sA3jXtcjNRftmLC+pmnQXqCxkO
ule5r84JeGwPEuhT3OEoMUP2Rgo+lhGcEvalNvMpUjhQ8IR4HMVdr7MAfpG4y1n9V4g7BL++UM9I
2hVUVEMyl0F1UKmUyCDHw8R0YbhJMIM7ttEB6il7cRL3fp0F6hRYHPZOISLZ3iXoLzd3V0JmF9Sl
Tsqlj9TMOmtf3n2kGcfTG0iZGIqDSSM1JMXMBZMRRYMLJxfWBfiTINTS9USDN5AhhY51BHqdxRv4
7Xn7m0uXh2zu8v37pf3c3G9O6/sPYXkSKHdfgJOBSGTEK3X+CKeUg44A56JhWpB0+RFVIME8jRfo
ApDuPZiIxDNzCOQZOlVlAfiyi2aAebh2JTOAvKFeMa+ZnFJFUpkUM3W+E9QpBkcP6Fhlf8PpKBF7
cblo5BmsUV8Sm+4KoLRRGWRsGoJZj1odlc5QoYgxA+l0YHsOgRI1Jaj8nsV8qNXZixPc/ToLIX/p
SL6gzslYku+aXfNAaDG8sHTtLdeIeJNoECaNWspDuoz7yI7EtyAaSOtedDG7Sot3WTuFh2ge+iKp
J75mcI9vdlAYXwXHt4GB/8em5DARcRynH662JChONKm+uE5Eo5NsJPlXMY0gltbfgeFGPSBJJ6o/
Y+nonMs2OpaH8QxfRKMP68OC1OhV2VtPEzPp6qsxuv8J7pxYIMo8T9HdXYfTQMKhxcBqo2YQnukZ
CWcvThq9X2eh0Zdc4HJURqmHCDfDUT3GASnRwkqvMvhruzlBI+mGrD7JI5kuleG19XGoJ4Uue3GB
26yzgHtJ/706K4P3u/3Dx2a3DzGlV/jsyKXus4TekLlg0ok3LgdMoa0nLKypOKa5XPbigjokPU/r
LFD/ZvP7xikaJN8ykPHt7dVP+8+hpXgElWdc3z+p02vGNMMTSByfiH9Bwd/kCme6DAZ6zKhnmUTQ
XybaaoM90Qnufp0F3MtccfVI2isL2BVX9pUv1KW6u8ASL0rFtTBCnQBMETFxZJ4JkY04Qm7Pq7IM
cmWIhg+5SKQvQc9XDHTGFMc9wxcnDjOCXAZFRnD7lxQPkqif3ubsxQV1eYZunYWgLy3z7iaaauDD
K/OWZLovwKFPguoQla16bCshNB2Yb/TuUKjBcIKYl2Km4V724gK4WWcBOJM/txs3etvurIz59kPz
cdseg0rr4EL19+lS54yYOjV4oE3inq77CTMeKj1KYDIXNx0p76O65h538814BGvxXqbUB85Z0Pe4
twCMWG9S2UszvTAmzdBfRmRtqeGJqq6dQysXg7pbfx43yBdCXSUDtUYPGHXiYPrwl4q6RFpJ2XNN
V5o/YaTZicGUdLo9V3XJXlw0e9Kvs9DsC+Iw6qiMYv8l1EgritgX5KLdE3qriapxqUOKNLnM6cIn
O46FJ30+074O9uIEeb/OAvJF6l3OymAesKBDeOAJdQoj8MKIrRNmU7RIKnRxEXAtKciCOqeLvc9d
6uzFCfV+nQXq72Gxa65+3B/dSuvVcRng32y2oVXcYnJ5s+Jy+KoTBJipMjRgz3VSxGTXYqhzFMnK
pDtT9uKCuFlngfhCL00d1yXizcMmMLPd3/h2seDowS3wzCnBm5rt0aomNsd0uWfGt1Ni7diOq9dZ
AL5Msas6j/AtOEbz9k7TUguOnntSKnTuwYCYo9+VkXuh2OFHxFEjny6N+dBf9l+sUyvsxUnM+3UW
qC8Uc3VcgYu5t2AM9hu9b2TDmfspRU7jm1xKqwveCP5Uk6cmtU9x4hSMQT3YZ1WWibl6pPDFHFoj
XzFX7LekzFLS4XkK9SXN6hOrnbxpR2k/lXHZiIuMm3UWMu7OnaOOyYh3sNw5SEgvbEvVulzmQE2F
I+33tSqdHDnmMGd1Y0HnInCJUx29PED3nljgvUzEOSiDeLguGkUL/YW6FHK5yZklVpYEV58c7wHk
sOeg9mHPyRhMNDP+V/biIuVmnQXqC29ydVwG+PDSKoiIN8DVTS4JNOqg5oug5CZnLkWuRo6ZL+5D
rokT4PIMX0jMOSuDdrhiLqyUHiMxTIKl7oUpwNLqOq5dp0UFKaHsjVlUit9af7FGnb24iLk8gzXq
T3ewU5eKOiuDuvTMN7tdYC0qBMP0uS/V6zKEBMVOnIWoazxtds9WNK5kEeSIdTFzl7MTJ7j7dRZa
/Zfmw3m7dYu6qZMycEv9+roNDG3S2/7QhsxUUen0Sntwi0vyFI4drnJSrKXiyBv2KrAXJ7z7dRZ4
L7Pd/luqoCCM94U6dLaw1VDqwmfCmCWVswPUCb9ntO+lklmdhGDginVLovXrLCBfxmWrokraIw+T
yzb2R2uAcwbNUE0hI2jPFkDhsWUEW7vJ3nOGm2PZm6ZDsAB8mYwPyt7eCalBl4UNKroOj7g3vU7R
W1ZTxc6gAVhKGCkzkXAKYioK3565x2UvLnrdrLPAfKF3po7LXOXq066+hQG73YVWDZX4steF47SS
WOvzo58jmk3zGIFH6LnV9Z2i7XVeFxfg5TXr1lkAv0zY2bJBPVhhpxVYH/1Skx1hJ11O/Sp40nJa
TYU9TtH8EFgxI5bK5j7Ma5IqTtlyEkP2DYgLhV0dl4E9vFBMWngbOSLjCCiBIpPGna3obUfaHXZb
ous9b/XkRpe9uAi5WWch5N9tttvjr/vD/nx37+KZdwdmIP+poUspqAsdnejNZMeIg7mabtKnIvZx
HAZHjZ61rnOJCaJ91M+odSfE5RG+kFofGu2B2nAEukHGT68K1Y5wThFjJyAjdCAzSTRKYMmxRRKm
uYj0aszZi4uUyzNYY76g2lEdlZHvELtOOSpvt3gFiySVT6h1smgMoJiBm55TypmpnlDBGv2eGbid
bnF5hi8D96DQMUi4M2+RN1LkjBqJaU3KCa9lmGejOzxnUij9KQlTQlU72thog1bAyUMz6yzu8EWB
dTkrI943XN+/MiguuCLHqPKWJi/kkiZjSvMhHTBzrWgJlBHkWqJcSuImxcxoB6dMuVlngfmixnI5
K4P5dzQ5PX7e72+DMttoDPNmtpElZ0oUBW1C+AN3jjqeQb0bVU/CBFRKrTPgj5S67MXlDjfrLBBf
6prJcRnQuzjMy7ZZ34cFO5RN+vSXeuTM9C1oHecep7G8TDupuIBdxodBEFPSriIdiBNzHXfdKVdu
1lnA/tpt9Ih8xyXer8RUf/PYHkILunlrVyDoBmNwRAMK9crC76ciVAO4UwYEVFANMEJwjh8GnhEX
KYeo2N50WxR0G04f+aa9UtMl3388bHZ3weHem1JLxbxekR4jfYZyLzHkJpQh8apCxtU0uRkhBz23
Osd+nYWQL5kBkHJQRq93cr6+2T8GpdY55f5SXY43LQtQ/mSQvwvfmxzPQMwZE5ASicVym6eJTt0c
ch7B2kNbMnRGTsoA/o/meILmDdqzwBhbaSjxBnmxQmkzA7SunuIsI8ypdKZwHdq/mllEM2QCshcX
1W7WWQj5IpNdzsqAfrM/NNurEBU7bQbezPZKoq0kVS5K1EeSjsNeQtmMaV/Nme3sxQn1fp0F6u/2
2w9OgXV1UAby182HdtvswnLSUOsEyHwFWqF60jRQYosPsCZQA3dvzdDI52Z9pI4dKnqdBdbLjDcV
StT1MP+4vYOJGwrPoK5xqPi8STe9pkVBGpQ0eA2J36T8KV4xJVDmdhlyiUHRm+zFRbrNOgvEFxHE
yFkZAf8Hk37vtsz0YXBwcES9uMie5JyQq/Qi0Tn+1F04dtMy6CXIkadMeaKxYRqMSdiLC+5mnQXu
3za3RypYXBS7fM8l7v86b3br4Kx1X3BLKYwie6M2/RliINhhnga6TCIw3C9uWPfrLLBe5JwNoH67
/rBtmK/QBKXUJd3lT7gZCJozPgHfDPbOyTTvjEZUyl+ezPQp3mzFTbb1Ogu8VdDkZn/eyRDPtfwt
sy7vGHv54vrfu82pvb16f+JqPo5HVqpzMgr9p4by9/vmeGzboPBmroW3EGsFixt3NylypBwmqLEy
T4TJkcR4nUhkJi96taKLntiLC+DyDN06C8Dfnx+EK90B8u6oDOTdJ32ipiYsyMXK8iTisK7D3AnY
aUltE2lrpQEv4i/Jik5jIIf7T5GEjCGXvbhAbtZZQC6jMs8YWn9eyrujMpB/1zJndXcb2Ezv2Nt4
JC7wnKHd0muExSYT90aeWYxKTylhTXMhFpiblqPHHD3jJz47LUevs8D71ba527rJODYGsmEAV50K
N3vCboFp9cyba0bghWAa44+Yj6Qq10eQI+Jc8nAKIORz7Ya8Ck6umVlnAfniykY2eYn76/Pp/waF
uDQH+VLq5SoRhm2qIWJNvzsIv4C4pMafJXiTvTgp9X6dBeLvm0Nz3MP25aLW1WEZKdefFRTiqCpv
vSk1yXFGbWYM3ExKZiSNLTeG63JkGOqk1aAPMBxjutCNvbggLs9gbbktU+uDyif9UQGWRDDV3pec
UwnDSCzG3+VQftGMNlLs0EUUGPJUyTwTUf9/3J1tkxs3kq3/Soe+316y+FLkjfVG2PJYWo80o1F7
rLj7rdRdVjPEZilItrW9v/4+iSIA1ku3oQSkHXjj7t0IyRBBHGYiM3HyJFvRgA6d6tupcMtpeUPP
r0eBMCpVPi7VF6YfMeeQhpSVjFPuAV5cloI0DJnpqHCA7EUDuF8X4Ndf1b8/qHy6OSgP9f+rdh/r
+pjfPI0Zb9iPBMdfPE8DJgT9RxAbpyuk782r4llyRrA+oUGJdmNaj0cbz2bKLlO7LgBv64oV1zi3
R7fLtNre8dPJLlhHai0V5OXlHDI6UyYNWdWIQXRCtylifqi0zuZt/4JnVdoSDHvRmDjCsOG0p5eb
D7fyuqlKyeWTzl36Vf1eGE95hW6FjKdLYuSi60bxZU3UNj7acnrJs/iMsttJIMTlhTZ0Yy8axCnr
hE9QiZB2awf52ZfSfKXdZvNURg7kc55B8X6oOCLa2XLCzvz6jD4FJNnbURojZfW5ysT5nHATf13d
bA6N8slMTspf5Kd/KisDp+nP2Vksw21JyQ2VlyWinXMUuIcVN6YtCOXxkQqrbEVj335dwCWu5i13
eer58pYTxuhk4Ah1kmavoC2OzLUETxJ1oroFozQGbyjiFTRw+3UBcEcRGk2aaf3563q7bw55vZ+g
n5osBS/RWBeV3cUEUnI7lbYfrzEPD3oEUR2vXMNJWOxFA7d8h3ZdCNxqVpsclPfkwmo73Db7vODG
MpL5ctjphK+YLU3jSLpJat+De0m1hRAdCU8ptLnfmQ3WlDQn+Q7hcN8fd5UkUjyGP3zZo7g5Kg/4
i7rZf8gvBxfiYaLwHF0IyqYU0uEcyxxyQbSDOLoQBeIvyPdJUxIvqPaDT4jLXjQG7tcFGLitf2sw
bw/LY27/raziNYwtVXROlY1ojLHyUHpXmHLL/zqLzqUDhelosNcL+s1GNALYiwZx+Q7fxMa74flP
W+jpt81dbk5dqmFJMnDhQMznNAfQajb6eDK5pFEBLVbEftqGBPvBzqnPVf0IAB7egxLFVm4rhzZm
y5OtTE0s2XOZyIBwRa/npqVoQE+HrMz8BAI7w3EcIUGwFZWFu3UBPj1GBaTVprN4ZykLMZ2TKKex
bx5HEVrGp8Nrk4GVRIOdK1weR53QF7rLLhf09q3sRpiHz8uIKqPLWfkb3P5T+T2O4hFh76RCnbHz
1Fugr7ZiPgPU58w6mxPXmRkqvt7jUVcx2+Q7BF/jV8fLi5+b252qkt6elsf9JQ8n2fUOI7iWLFaX
xkLewjkXelC4qvulNsZSr0qZUl5IBDeSjLMXjV+X7xAMeVRjoZyVB/xNg3zbrrnI0tCdl42tr64v
jZY+2pvkZyOsZYnX4bbybGZUW4f1dBJ1Der8zE7rAm7zmIpbq31gb/P/3EF/3qIEUu9yS9ESlmHQ
9YKDjg4MofkY3YnkjHIcZVi4rkMtEPEQSsi/TRmmS2bMFvJ0s3HkmXQhvSgl4vmoFC/7dZjppUjq
I70My19E1geVN5arIHfrAqw84plUpgh5z57vM+lUJBxSRXBSQYXoRAYm3YODAI6QHtYj9t32LtjP
dQHcQvcwzlcIvs1j/HordmH9Opd5s6sQh9h/zMuv42DtyUde5Rg5kj7octLVK22lg0xtcblE4XLG
4znqfgRdLoawkLMXlZG7dQFG/kOl4rchVdahsMqYlDvYz9l1D0MxTIS3VN54REHhiXoLFfY2je2U
WlFjpgqDEzCDM9wHW7zZiwpvty4Ab3n10hTWhXV77tNfVTcPF/KP5WXeTDRIB/eckYblAgprAa2x
vfI6cFOoEZ6jdF1Lg6H9YAs3e1HB7dYFwB1Td2sdlvXoOdbdaNpJdn/zNs4EWmIyHsjL5XDsVYEi
zGKJYsSpu9jVAU5wy140cPt1AXAnaDwygYkF/dXmeLvJrGUcLU1raZE3uHj0QrKyJYwHeg8Gz6VT
/p7OQ9QiVsj3rZfug62JsxcN5qIH2q4LwDzCo7NfH6Xn6dGZOZbw6WxB0YXXb8RRhcg4kpXNpLUY
rqk8ng8CNtmLBm6/LgBuvUdvj8oD/vfrJjd5ALp/Utl2yXjaQrhMqPisqL/0E7LicomXZzKtpTLa
D7b+nL1owJYOpmDbfrPZoYhdqQrq8kHn9n2FVl9Nte3w/n7/Ia+obTl1BZBYl059dYr4B51HFFHb
lvDO81mBYieyToh5EbENq6vsRAM6EoDhBLfvpR56r2ollc85x/xFxQ/okJ8oRIFCi7W3eMTx1iAO
oNI6PkjD0QGhzsaMapqupfFoeIkvlQwYuy7Aqz/fKvNwc1Dep/+1fjggoF9fvKxpazkesrJzfHHC
cJ3BCChRg6fpGydI6Ni5NKpg4S3LbWDnshONnft1AZgj7sQLpyYZbw/Ko/4zA+1QBMvw5QzSWSI7
l3LbGro5kl2zFe0JE1OC7uTj9A8L1a2Q635kUi170WDOeOvwCmtMTd1EKDYzy7amjnSe87Cxrp2c
XN5Jp8vZEqVVJpj2jFxiuAUajsgEzBYjsuqyFw3kfl2AmcfFcHJY3tAzjuGohCWydJH9YdB8+xLa
ceq0EBdr/D3X+BQ1IF/rc/n4Uhe+sfn2dxKAtyUsqRjr7UugNfJc9X6gIqbCegldFZkPKuerVtRr
YOJQKVeUZ4QiM6bixl5UJu7WBUD+/Lbab5vjUVVZR6ao49nfNgRwN5kV3Sh+pUKcMWfyRDpbtLOo
23ems3scAjPl9Nn5s1r7QmuNnL1oEEdpIlz9JWb8uDkr79N/2Rzv80zRkt3jSIHQLtBpEu74dSAn
W0dNnan0p760LuSIv6kgd+sCjDyKsy5ZpYf8b/Xni6u7B9T7MozZ5dUrna2j27UoadRarMqR6VcE
cNTgVmhxS6/xUHBZ9qIB3q8LAP5NdbhuVGmaOaku7GYc9dsNhLeHrHJzat7JUF/DfkKU1Qn78A93
zB0K+xQ6ImTmxziOpQp1+Q7tryUA9Shzl7PyuP99DxnmJkdTN5I2afhPzCCfL8i7qaq3zysD0GHJ
CDWK1iQIcZ6Gc7rWYdGoAjm/LgD0OE39Thj3t+rTVnSaEZ4wmcD+4XlzUyPjfPVMhJP+7fq//++H
unnVXFdH5J0Hf3AY/Mk/7msRgz7cb49GlvRs9R/91UXnq0+/eyZtchuJMT81h2O1bXc2I5JOdqWv
0PCjyg6jjXFILbmpZ+NkcNBaycop15iqbPdKd4NOHvn5PSbN6tZ1vjNf+dWz7jEU3z3Tv6W1R3Vu
4iIhlJcS7wwZrlQXORMzkFVGFIQizJi4OsU5OhTgTqAOMhspssteNBe5XxcAd+wYSzkuD3l+6n0y
mCwR4FRboTaiHcA0A3HpA+ll3D362zKg+JGhOOxFA7h8h+A7nPGydzLTRKEdYI7Kg/2uPhxzfEZL
J89J0LZeQFiH7oLAF6z1wf3NPCyk+5hIjWQrreT2l2bTcqez+YUO3a0LsPC4oK3zdJpt0EaUCzaP
HPIXazYSgSO0jbwPOVi5NJzfs1rM9BJfbu5vI+7XvcHZh8rC3bqvDrj5Ddtia7aAUw1L9lheMnQe
F8tzCt3k06Wh/J7hXeAERE7/cXX1qeqtXL5CuFdnxsXhfbNv7j/canx7e17et/+wl9Att/6zMlnB
FRkglEFIuVHi5MYu+6Bj5Ay4nM+WVEgLFFyHvPVSV3Cd2nVf3dCN38re0IV3mM6zL6EqMwilVYUZ
jEpBqFPktsnP2jEKFDT63l2Vjst3CLb0mH4kOSpv4zlOqWWIcDK/TjhO6x8aAoVQ143MTy8dx+FT
cIM7IVLcI9UXK+fzSGDxSDou3yEY7qjqS1cH6EXT3OQ3shTeoTWzWGoEr2gyupJYfDU9TZTvAb6g
KrMmJ6fUNuA/EefrsjO3LsClR1RfzEF56/7+U/MpsxHU+EF3j8ZiDaeVViNqafRoQXcbUVannoro
3mTaWv+IL1c2npXfRjOgDUns/Z2jLwfuZKVVXktpFZ5OoLiVK7qRgLNn2sKKWhpWOzS3oXGzF2Vi
Ft6VEjO5Uo7KG/fVZst42iwnjsMvd7YWb+QyiZjnUqpuJmYboE5wTv2l7TUcAX2lfDOz6wI8egzo
clIe9EzHlZbpiE+rS4ZkMDvBPHsLnD0bJ2ejU4n3FelE8hUfW21jJyobd+sC4L6q7za7ZqtiPRXm
qDzgV9Xut2Z/k9d72WySyrypp89pM2Q4Cs3ES1QB+k59fjmjj5gXM7L0MbUnCM86+3brAgCPGE/b
se5cx9Piz5NlZNTTUdpGCQT6n7DR+4Cb2SiQIHhXg/jEf2UzA2vh7EVl4W5dAOBR9XQ5K2/gbza0
nuVWZUOOxR577P0ts2kR2jaiXieh3Z5HLxhVyov5siU3O89i8WYvKrzduq+Mtzkrj7dpS35Zb7MT
9vIvV7GQI9Up3SZL0nAaDZhAO7jE0eckB3+Mu4y7UT2K+3UBkMfU2LoP4tlq/hBAJbJyucYxcxHu
o4kUVW3zpHj2gDJnPC1V15JiHJKNI3Ebe1FZuVsXAPmL6uZwQ7+Y5l3cnJW38tebm89VbkzGVbIm
culEoRbF4MpTQ/HAwhl0VS4ovKD4BX3V/c6sU5+uVE3kWHh4E3lUVtZpIW8n4lw/b7JDPOGLONEa
IrtUYODLjRXS1wI3DEYGV462IK2Ur+J2XYCBR/n0zqN4jhNxMI6Uz2SU0tBwQneZPqSW13vmz41Q
I/RFZtY+0pmw0uXhfIf2HvjacHeeycjCL15XxzovIiOP0snsu6T7iGGC/G8JXXHIa2MMMVLMVNkf
C9PZi+oCd+sCAP/P3c0GpN5upDCqucXNgflb/Nd6n6fu8jphOk59BVVDiL2tTsTgJp+TqMNufUzN
jVHGKtzdugDco9JxOSsP+VWdH51xxlTgRIF6seRBfEK9nDkKMhVnwH+AsPykWoDsRYO3XxeAt+n/
NaoOGitvj8tD/vP9pw36P5mVWAsXM8en4yuZWblg/JUJ3/iHOxWY+eUC8tuMS35KWj4U1Mc/KHMz
uy4A8p8go33c6mRBZIPnNv4KUdb9x4tf4ctVH+q8cKfjO5Wpw29Dy218OA6qjcTwvJqTpK1J41y5
zyVoa2WCZtcFYB6ToLVFJfs0/v3ueNvsMsvOiK0TQU35hTsc6n4JR10ytL6JMz1hOmNozmOUZbai
ceroyYSznCIkYOSgzvx5df2Rinp+97jMJ0uEOFogsCDgKCL5IUow7XSJswStoOCGsvocCvsoeVX2
ooHcr/uqBt4elcf8x/udKALm9o7ChZoOcCirlL9gQdBttixNgeoMcCGuyt+c2pJGNGDseJsvYzKi
JnO6/QMAjynAdKfivKu3VWbUNljkye7uJeY9g8E4nRqBpxExkPmEKUgLZDoXUm7vv5LKXjTm7dcF
oB0zBOk0Qt1e4KbC+qq6v6n3N9U2u5gtWRlGXktLBlutT3MNDYG/Y+XSZ0p7IYL6iHIPpHixVl0Z
xq0LwF2vvLzmoLxTz1N5mYfLZE59eblkqCFNZgvE9OlF6T+biUYnf8x0JBmWM5wzL3tRmblbFwJ3
rWI6tefk0X5efZJ/Z19tc8vIkhVf4L5MkIFgFjWEpzVzanuZuHQcFTCaVsgzj05GoY1cAzcfFk5Y
jiu2cVYe8h+rBzS9chT7IXBOFqoj5QbiSDXOVvJiOmA8TS5FnXNKNb9Nz9zP7ZSLy140qPt1AUYe
W3Lrpmhn/9qLas+b+yErm6dRyIEQW31bXBKmMd+Khy1KbG2Qe3aho8dL2zhaULbhzOYLFny2ogLf
rQsAP1YgQk7LW31+AhFUjBNG7gw0ROuDlByhZWHYdIqtGDtpO50Is6JVeerjzVZUeLt1AXifmafi
Fa09LY+3CQffNfvjbV5GTtRlDz/WyFdc3AwuZEYxoNN21r/YKbfyU+DKXyLcMlJin7EXFepuXQDq
8UNy5MA87m9oNDxmOPoMwkI63FFzosa+5Fl8rAonM+hJ4Zml05bhaPDpdhOzFw3uSHmHq8FE9Bua
o/KIZzkLC9ahPfVYM19eLqRTeMlzGoW40cdTsjUqsk6muYM2HEIVKcavC7DyWN8up+UR/6F52BHC
56jht1wmw33FcJSF5TIOepJEbZ2GBaitpz5T+3M7hXDIiqhg9+uCYFeLdco5ecRf3t/k1q4wg71i
zzzexGExirT+ZPkIP4LcHGkmVHl5UB/q98leNB7drwsAO6bwas7Kw/2mvnu/b5iNKXL9mWVp61my
AG55yUBLZuFAfGP+dDvT9yxLk6YkVCIoygA8PEv3c7NZGltRoe7WBaD+st7d7FVTa2fmpDzor6Qk
s82tzF5MnLZapJWb93LAJAMrzQRD4wE7eEszIs0MbTg/nI3EXjR4815+WheAd8SDuZyUhzvbmSkF
I4UTOXYgx8KRgeGJ1Ay8MqnMGeTEdmRnJcoCK9qPzRDETvAme1FB7tYFQP73j9W2aQ66GWjmsDzq
z/dGu7H+nFVWjlLy02FbT0D4jySAnxAO7sriPq4OzO8m0Y+QwapoulPvQxp4NVocgmPttaeGYgZs
RfUbdOsCfoMx9X9zVP4n+Pfq44VUHfL6BcI9SYQ3Tgdlbx58oFZOGIo96ZM2FpcEm8uSmIyGZ/ri
+nEFb4Kq9z2/LgDw0/WgodrK55zfNC/2db37jAZVVojPjKzSI7SYL1QOZbyqcLJ4spmXVH5GXnQZ
2kWiWLbCogPipexFY+J+XQDicaO5RKzL23jGo7mYxZDO0EVFfkLowKwFHngx5E7ZH3YW5QGoOnSg
mNKR/eBTAkFgqCr7+3UBsMcElMZzWbZOvgElar725CNzCBiYUOoZ3wIDCxrW2CBlKkK8yjCKc74a
k6phLxpLJ4QNr/1GUKzNUXk7f1vf3GyuP2bl2Iu596/xcFPFJ30jPuMip/GxZ+ELKNgogU/QCG+l
qOzvzFo4e1HB7dYFWPiL++1vunu8/T7WwM20Hjz7z02dF+BU5e25RwIuNQJK/ZDpIdyOxOp4dC54
HnZOoibdZJF9qMB26wLAjnHnnagtW3fORI1UN3gxl5mp9EGhVcOYYUq7PfumBEhxYM0Tb+vP+6G6
7EUDuV8XAPnrZrdvdGw8c1TenV/d393Ve5GKvWB2dm5G/nSJoDtiiIlC3T+42DJ66AjV+LtnGLko
e5trnM4rRIAHqNNMs2YMG75dnLuLHqxXR99Cgzo3SXife4yhm5+xdevZGjoKj87eIv16wfBktOaI
3ZAoKuFQm2zmrBAoUjaM034kaGMjKrzdugArj29z7wrHXtXvq8ORzvmszHxGX1Oiu5yuZ0TG1tBv
JgTiNFX0nTtugAce7vupTPswFM3OfS570cDu1wXAHvWq15V9NzTrPKVjGVWfCHWJ4CjAIEdFci0F
tn7ITggHVc/onJjZXS509M5dZ+x8h/bXEoB6jHM3VYb8nTt3a0LI6WqeQrMX8XcznKdfhyGGYyIj
EyAWokxlP9hDrquw8x2+CeSclA/isr3PCaWT+fbVJSRIemOYzoWKpBmg2YN8gfGTWBVi60PIZS8a
3+7XBVi5noPXHpXH/N1mh5jFRUurz+pCR14oVU+FxO280DNBeUEst6I9ahC3l09FcexEA7l8g29h
5XJOHvFsrZzKaKrne15OJZZazBcIxUr1rZ+o8bwPOvw/yeIQqBvc5exFBblbF2DlP+zr32l3UVXg
zFl50N821x+39U1u8iVcrvZGHc3Tvv3rPZpmT+6oWxv4g2LBjM4NBiu348IG2kkiiodo9aOjCNiK
6ifo1gX8BCPCSTko/wPM1+vgBtIhTp1mzvv9ZLLgumllhs5qBZJBoIGKjs7SjGwfeB32ooT8tO4r
Q/4nedYj8EsHOZWAJX7MjBQyLdedcJKBBFOecRFDnZcy4XtQEWQvKsjdugDI9QMJ5KC8kec6kICj
T5UyElnA2GAgGIRv3DsjHwehJBweRBnmBR1cbX7RqQ3JXjSA+3UhgFdQtBW9eu1BecBf1fXh/f3+
Q26Jg7Oy0ajii+5wJomgncGrHmLlZlxzx7zFo0MBlaGB4u8HwipEmLpXe7cuAO2YS9yUs/OvCS29
Y42EHKIGpF5QL2f0aLZaOR3Iac6kGZdBcgz+XNDP564SWxNiLxoDRy03nKjx/ba6vr3XEX/NWXkb
f1dtbzITMi6meN0nCHj/G2mD+xlE/v6kVlGWBZoC3B6zCb1igwuG3yVa26L9MRpRsFD1+3PrvrLL
6YQUOecNCV8eYO3I8Mn5bEFn14h8OlwDqIAQyKYzeCQumLEuhx4jJeTf5OVh+md5efAnH2/lc+qR
c96UkXFaIOkxsHJEQJhNeSpCD7n9lK6UkH+Tlwc5KX/H5GvlCduCZQoKueACCYAF7rtNrc6qA8Wl
KLlNqVpSph4NLHSNwZS+w8kjUYFFtzX49ea62jWfHrJKHhAafDq2CE8eoBHQFDhDsa2cQ/UUUfZO
IMl7Mx3BlIpgkDFDfpA7yFY0Ju7XBVzkMSwCc1TeyHMWZTw3t0jXDuy05ogFLyASwAjts0dQV0bz
h4v8kSqg7EWFu1sXgDuZvaZA0J5TD/PXD8wszMrK4d8nLPPzfoQ+E4I+Zob8CNzT1VIE9ceGTLMR
DdbyBdp1AVhH1AfkmDza2V7jyNq7mDnWvFeXUh2YUv+jpDs6rhDWAH+H8ip132Hzv+xFA7lfFwC5
VnO1PSiP+PNtvb9rdsesrJv3l1TZOPRPyvbwBnhKhjYCsbR3iRf0iZOyTWUmjgjvuODhlJrJXjRo
+3UBaEc26HUS8pwb9IqUL3lgTnV/DQ2UIZTmiM5idZmQMF3Sfe4FtztVfvyz8iXPrguAPcav/0le
8pC/fbISGB6tU3cDcWZiUH1rp8n3LJ1SP0NqWx3tgZkDt7KDx677ynhzTN6rZ3uPy4CKRHhLmC6B
Gw0bSG/KiIQe3khvcsUj+EL6TNPHAHLZi8qzu3UBkMfKs8lxedzzlWfDvlIBLzxvkEeQi2KqyOMb
V9jx7cIFlIm1tGjz5Oc8jKu26oCX7/BNYvYO5tnaOnzsp8lh4b6dR3sJxHnTW5Tk5GPjbwjx6NyC
LNjquFknc4Jc9qKxdb8uyNbVmnxyUt7M/1Z/vjAtuW8317e5deuVXtUkPlOjnwPtDCT4DMluGMSR
t0MTZTSKid4da8AaOnvRoM4nhj+rROnnyFl53H+st6Kfn1WuVqCjZ41tFO9v/5ZL/+aTO/oiv8M8
jpJbZkGdl8l5wxgD+ghSPyvRABnJHgv2ovoFunUBfieKhixn5X+BzMF+39zvd3Vev0FOPhHiBBe0
CtEshJYEWs5UBeV4zoKLxSVcQQSeigLmL8JerixlfQ57USHu1gUg/q463G52H0SpV0ES45Xa/I4t
a+gvKILmhTd5e0K8ebwtl8w7XlMMGAg4QfJmRCrSDzNQb9uH+4UCVX2IYPK0LgDvmEJBpziUbTAJ
lysV5JQEiSNRaVvNROBh2aZYZybOLMUVzcGIfdBLilfHBXQgl71oTNyvC4A8Xr2/rXlZI397f/i4
yasjfI7eij360dDiCy5yBuzhq0WbCfq+8DZ6bp3iEH91eu9jdotLVm0CwV40mMt3aNcFYP682W43
ulH37Vn5i/xv1adtZvrOeMSEt/hsNWFGg5VwHsIN/5uXexFhHGAtG9Fg7dcFYB3j0ju3d7YuvYAn
k8i8pSQkrH1Keow1J7wxFZQzl75kPO6SJNIMRB9rF2QvKsjdugDI49R+5bC8ff+I2G9m7hzzcDdp
pDs3eJdivPP5HI6dvBt1onTUm5B1p0N8wjRFHnEHUTp7UeHt1gXgHWPinbpAtibO6KhkJUBmZ05X
gI2oZsn7fT8vo9qP0uZiReOeNO34avPpApetaBD36wIQj632y2l5G8900JZMtHzSr3/7itAsZWRB
VkAlmhcIBCCHM4HafkHqxja9sEdh6wPsRfM7RIcynAT6rvp4v93qukvMWfkf4fN99fm3Zn/zO7re
eVWFeBZMljIueXICdpg/UP+k1Ne7b3h7RnmIQoG5jYacIdmLBnW/7ht4n27C+ENzXV28ragxZVUb
Op+2FxllUCggwIA9Ak8Wpu9QLRDCNzNe+VXM0fgeIwDzg1Ch7tYFoB5fKGgl8Wyh4Ndqu99c51UQ
nJerVKkjT40y1wuqCEUAyrxjlYIpCgBTpjaPlvxlLxrQ/boA0GP0heSovH/PWV9o5l72Iy1d8gls
eE73RtuVZ3Kts/yRfAKpQFz8SQ7W1aXsrV7MlPQhuy4A9Ih8Qk7KY/79UUZ5bq4zHPNXmBbuJ1pH
v6AmiKVzm5M2rAsu7pnMHuokkUzzQHqofLSDi61oDF2+QrsuAPOYtz1zVB71XxDBPeQXxhFnu+w9
0szx7dzWaxz7I3N7TdlA6sSPzH2Tvaggd+sCINf79vaoPOI5zm+Fov00n+ALDLy8nPJoR50RBae5
yDn3DLygatgd9Nl555GtaND26wLQvqr21aE5qnK19qw83r/Wu811XkkaxQJ3l0ZaN5d4AbsX7X4q
g6denY4/n16uIXLQ0Ddn6FirBdLBW/aiwduvC8A75hI3WaeN07MtCpJMJawDr2HnFHR2zOnM5W2v
Z+Hk7QiBTvhvjHiT/2Abt7EXFeRuXQDkcXX/LkXsVXW/r7f5TVlDaSmZW18g8MJbD+OXUPbGkoel
YJHsKujfnEzXZO4uS7ClYPaiAV2+Q7suAPTXm+pu839+rG50bZqn2XHW2M2/llUdBqeYqvom2RnM
G97nIWPQ09PWqTrZGfxPmrQJ1ku4wYNGbNmLBnC/LgDwGMduMg+Ldb6OnavVVrtH7/JvX/hfJhMK
FFmpNSQwGQXOfJBV/8UR0hBNJggBnGgFLqqxNw1bUf0G3bqA32CU+ENXKvD0T+XmcxJGFjBAERLj
f1ZjIySml1IQhvzb6sYNIwtKwyq83boAvGN8jrk18/c5qHc+6XPC00WuGQZBFZA84Q0ZeddeMLmg
Mky8UeIE7N938wf2ooLcrQuA/HQ76Hi/clY+XXyxr67rHAtCRSrIpdgPopx/uaYMaCKHXso4nTJJ
i4SybSvqh5IFwz1VkLt1AZDHFITkqDzieRaE0tX/StLB9fIkGT/C+6UuOCXCtI2D1rGcrvA5KYUG
bL8uAOy4epAclYfb/lu5XeKp6r2SOCCyuODxXV5xIfH3PDrkfubzTqkZMU1gZA4UCYAKcb8uAPGY
S7wDd76JA2MYra2NJg5fdIkj6oKkx3xNlQ9J1j4TFBcwPSOCDnhiBXvRGLlfFwD5Xw7X1d37jaro
Kx90buRv6t2hum62VVZWzntbsnrQWqh/xOoo9jCwhdbvnpVT5l8yN2ZCqV/KQQPIZS8ayP26AMj1
k5nbo/Je/cf73a7eEqZkBThat6miNin0y3w3EKfYw8zeftVXnvGQ3p0v+P+lKIzb7wbq7EUDuHyH
dl0A4BFuvRumn7v1HF/sEU6z5x/v3GnGWxGOgy01/z7uzPQtyOCI8Najo7/o8dO92Lt1Abi/qG4O
N7WuMdMclbf0f9xvdtcPWZm5SDAkQlsEXhDkg2S7OCll9/w6Gk4U9/lBLGnTHbp12YrGyv26ALTV
MoxyTB5pI72ZnwwjDZSuzhlp2yLUVvJsg94m/HH408NbfClduuuJUdAedujJXlRwu3UBcMcJtbW0
YVtzy1eobcb8xVRGjrLLHF2XOUkyQxkorvWMnGkNVGcmePX2Ku9XYGQvKtjduhDYK6WyS3tS3s7/
q/50+7C/hUt/yMutMyIlHeL06AA6E1nw3sNWXF5SaOzqOIJO9DZjLyrE3boAxKNZ1ebAPPC/VHef
8srQCHYTxm2FaY7gsaRg8MpAhJM6zJoxvRTelyhqD3277EUDuV8XAHlMwM5JeazPA/Z/ESu/bu53
x/3D2/rDptl99+yfu82xvrm4OlZHaRLvHM70u2c/veraeufvn13823/8e3hBRkrsotTmbm5Tsjp7
vBe1BXp24S6itCNFOPvZbdX1p22z39xgOq0PaKOM7obMdqqbm319OPBdzP/lS9iFnf+4/XJPH8fm
0BhVlf3D8+am5rSuzHfuvV7/x7/3/oBZkr0/+cd9LWd+uN8e+0f2R381xMR+nU/N4Vht252hQjOn
wHV+NP6vvxAok1Xz2skzdlGOz9ilhIqWLpNLRUh3qHzDXpRG+k1k9eSk/qWNtPNDFTMchxx4EkEO
pwG8V7TLklTPW6nrzvMXlbPC8h3odRxUzqiwqnpd/LrOd26Ns/NHxXfPokgNclYe9BfVZldnyIGn
DTAVsYGsega9ncD01MloSKVn/phWxpKZF+USqgs/iYE6huxFY+Z+XQfgccxjG6nb7NFmWpm2MtJW
mCq7xrkz13aNXCJ0eFE96aPOr4IGJ+agmpmYo7JmquxavkP7awlAnUl2ekkz840s4j/WP93vNtXH
i6tPe4TS8kq2uNRdEBRZVZFLHdThqzCIjkeQ9n34zNqJvIm4lyjdlbyVDbmysheNtft1AbjHRN6d
Mtq/YOTd+fqPX+o8Uie61IEcaTPew4C7XKBDYE6oA3nJ1DLGY1p+tP1gy1RkLzrI7brOdx538BGQ
y0n5Kz1fyM/GAEZaOTlWyexBQXyKwtkYjalAAHkiFAjeRwdXOpw3Hc3BrQtA/Kq+2+yarYoOLxs8
B/3UtJyjc2fWSLLaKaJ2jKmBt7YoqJ0Mx07KRAToLwT3OH9aWd2tcrJ02YvG0v26ANxjBpSZs/K2
/hJ9vIfPTXPzL1JV6Xz7R30749yS1U6ZSEfuTb1khtbRiG+X2bNc+C1jeSx4Zy8qxN26znce9+0x
iJuz8ojnPJIOy3MGF+ngJYybMItusaIDhtn1Yyq1/CJO8w6GaTo70aAu36BdF4B6zI3+pwniuKVS
FeMmqA4zvwipqUfidrwAI8zx/6fX0vaDfRCnu9K5LoIhvzpeXvzc3O4OKjY6n3R+p19Rmzm2/1xW
7h3iaKoLHTOnTk7DyZKhY2PDymSEEYzWEgrgiolmIyVYncidfIdvhXpX4y5f1GUWQCpbF84DfQZI
VtLjuO4zH8jRaWdlwEk7dtjfKs7WS10VFrHUYNQj3Hs7NcGWZvJN2Jbe3iLvcym8g6bMp8PecfEm
pT3L0QuRpqEuQ1Jny3Vd985eWuge+QmOv4lxYdh1ATd6VOFdzsrHcUy0eV/v9w9ZefY5XKRENk6G
vmRu+IqJg7Qpy1xROZ0O4LAakZ0nk2vVK+wHn2xc9qIB3K8LAPxlvd9Vu5tGc523h+URJwloPmb4
1MJcj6ev82//xkvEb38NkX6HAANxbMJ6tMzsTLzOz3AOs3rCtAuEr4xCysx+sL1q2IvmZ8jrf3hY
+apWzjUxB+V/gr9UaKDeVodDnZkmzmySkHlDcwOlP6SMTjMQ+3gjpOFFzoZ4T3TEG/7R4NBCj7ec
058Ab4q31s4iDZzAAn4s1f9TWjgQwieDMDMTR2eZsw+Vcbt1AXeMdrB1YQ7Jg/09T4W5zUrjeS2V
YReI4MCR9uplWG7HskklGZG5hKhD/9C5KO7Jk8teNGD7dQFgx4rgyHF5yDMUwYHJnsiy5eqGJI0A
wQp5ad56TM3sLIJEeBze1oxZ50POhjDqNWD7dQFgR7jxzotettc2EgGJwMaNz+lokVyAjkYYWMN0
AQViVOzaAVXDBz22osLbrQvC+/cHTaZQmHPyZv38dlP/hiDtTVbJIaaRsADESGnRnKbAv5SRpz1f
LlF5uZS5hMyrx74dF8xF5RNdAYjv0P5MguDWRuVyUB7uXM2bauvTieEXcaKZNEh1v5RJkgsquj3A
i0toWks050VpfARw2YvGvv26AMDfaJte2pPyiPNsC4M7r9oPspGpkm5CNbrPuZWh3TA5ZEjIgbCD
8BBsHHQqhYbrPtiGauxFg7Z8h2DzjgzVTswyW+R92dwxoKqu8vLpaEakYtPTzjhHhRKSLU8r45OD
YepwscO0NWq1/cxb9qIB3a8LMHF5wHt1f71RkXLa0/Jmbt7q3zC/MDMJ4rnR2nykjv6FzS7wM1Ch
ZE40GsQTGVzec+yoxiFYu6CDYjr6gCd7UaHu1gWgHjVmUkoVHvMcx0zy0pYoTJecjHLxiuhsMjcj
wHtwzxkbQeA24UWXLvYhAUte/TRw+3UBcOvzMjkoj3WugRtn/HSk/r9Q0Z+6ED6y4Cc/Qao8JTPJ
pYWan+LgJygsEdpsjWgpTTz2t+9yh6mqnYOf4Gnd1/0Jmu9jw4pcf4IcVqoKL4DTTYkKJbmDGWTc
zx1IFhcUDayG5ZAMxl6UPue07usC3rlfsgU8nUICgM/WM+6OCbCP9csz23ZFCjmB7j+iggKZX3fF
uHUBcMcp3HfljnKcbEvvsnWrkf5c2qWXYIkUxklmtufPpzBBofhO6NOVeVTLft4gfdQq83brQvDe
V7sPqqRBtnceVOSoSIo3TwW3XN+01WLd8wnDa8sVuX/nGUdKfzPk7U4s0IkjpPjrWwc336H9mQTA
HRFBdsDO1ZvPVulKf9QF1iu6dNwF3QOcDBElnGIF188qEneYX7IXjX37dQGAv6z2N7XKvtuj8knD
fzXb35qLHBt16Fx1vjXSqWPlqJ5QzHVjg3ugUzYggAf1ktrBmA4te9GALt8h2Mqjum/N87MN0/Pu
vqXsnugyF+/OTAgudFp1CMnn5iGk82aL86c4wGgTE725H5z37sqHnem3eNiRg/Kmnq13XxSprnOi
NxTERV5hRa+l1AF7ho6aGRMnpWg0PqmGOF51nft1Ad5d/bAjn3KOeLZqZoCTyMRBfC6vtowfm5qa
rhGZOTNxEOctjxrhaQSZ+6nZxx32onHtPBuGm3gE4nJS3sbbeVabY16PefMiGQ1H3nUAfIJoDvZN
A4W5+Dp4L2RiBPTZlnLpCn0nvGUvGrz9ugALf13tUPZSBXDtWXnEf9gzwmyX2xR4LM7dpfHBG7E4
1GImfq/kNb6fopWSkcOwgxlHJXZk+hh70SAu3yE4eItTlJfD8pC/yVJRHqGShO86kC7g5JREZfIk
P6yxriHbkaGRlktfvfut2biNvaggd+sCjPzUSKWiYJmz8ohf7XiqP2TGv0qno8BoN9BEQoERwYx4
G8wXXFxCoEdiGubVuIUzYlQFt1sXAPdP1Nw+bjdKYfHuHKDvP1Xb6vp2k93YCEojLoCK9+sm75Lu
6sJMf+rF6vNLhgFRcqcRZpSWI3tRoh5eeotSk+9G689vq+Oxum2a69vcGmIgu6aL12l+otWOLH8i
3rvv2pkdsSBZL9Yr3lJHFA/Zigp0ty7A1GMGfslJeceeZXm99HzmSBsnO5NyGhQMZruNefbJJcTa
Fb2LiN+NFt7Yiwputy4A7h/29e8UXFUXuTkrj/frzV1e17iMYk9l2gTi5NpIxePPp63cUecthXkR
XPAUXiBiypNLP2qTvWjA9usCwP6xvmqOug5bc1Qe6+/319XNpsotanMvWJG2TXFV5CyRkV/y6EDR
re/JaYiBgEe7tRkK5X2KjdHhxWjQ5tcVLorzrvp4TxOqyrT5nHNX/nxfff6t2d9kOLCTDtRUNi6K
xdTKZUrIekrk1k/GCdoW/BjWE/4T49HtB3vUlXSnIpzuFBmqdyhPf6kOx08N0jhZ2fkM7rk9+Ug7
R7B4iqEzcpt5PtAeWhnvs4qbiOZQT0c9ZYk4uRkc030xZS8aQ5fv0K4LcOtRmmfd8kvWmmfzJW44
CZca/26k7vDwZiyAENk61/mC8U8yc32BYNLolDf2osGdQlI40e1ddbhFYFgtWyzH5a/0XxHgyGyu
H5F1ygAOejyyZxNTWZd2yg7iPKcy7m+ymhHND1VMZScavP26ADuP7JiQs/Jwv2n2R4ZwtC0Ymfn3
dFc6KqbUYNCvNXy2gZkjfbhcz7jNJwhpwl9298rpRudPVTe6XxcAe5R7bznZlhyRtXtfJCvE4N5n
EN7QmWEyEKFuyyU4u9ZLnsqRrSW+hwnZzoPrXOsQJ3SVGLcuAPeranesLt42B10Ib47L2/uL++1v
F2T79f/kJUjDTABndQmiOZjFKJ4hb7mQbHzg4xmeja2vZyjWj/BbZS8aL+/XBcAeZe5yVh7zrM2d
EDhhNEdoLiLlqxbYHu5zGVAxYwZYMUG2BPFT+8EucZsp31jsugDco6rtclYe9xeY+e7wvtk3eV3s
82QensRNRnnyTEoTLDI0AxGLySUwo1mCoHWBAulA15J5JCoP79cFQB47aaZbbzfqRu8I626zQh2e
aMK0DaIrcwZ4Y2nnsfcMncfUsuRSt+IlrjRkDV05jV2+Q3C6HvV2Lmd1buhIl1y83dx8yOtSL7gR
rY+NvNSF5wqrccq0ARRsKb33tYlmqI7NmDEjRDlYFSv3wRZz9qK51OU7BGP+mmr5Qath0lWiMs49
v0Is3WPu5CMhl3HNtB9x/iduc786w+i4xYLXGBrTJmhb+N+aTdvYiwZy+Q7BkEdPcTUH5m396h76
BezHi+ekIvU+Kx/PTZwqmEPRhHydWa2wIJk6YLKDXqEGpjAPM1ahqh/MyV5U4Lt1ATf762a3b1Qc
yPaoPOy/VL9TmEPZIivAoTQlq8ytLpGzWCJWDUtqMtKmhqwk01uRlp3P5L/yQmjWwbMXDeDyHYKt
XS8tKQfl4X4tw3Ivfmz2mb2tIiKU6EKHN4HTBnKmRSFSzpNaL4ijNs99joPnnY3m42G2xl5UeLt1
AQYew5swZ3UGeb1939zvd/XFDzXEuLzsnEpmItwJ5CjE0bEkmmTlqg10z2pyc15fKcYR4E2nlF19
VciaOVtRwe7WBcAel6T3Yvf6uMvMyuEcp0Mb6gqjIUt6kqi1DnQHIdSQpxHDoTw6piFL47KOQuHW
BcAdx2xvUxFbe8+U2T5L2Ym6hCoDw5GX09MowE7kJopFMN/Rp3pMSdZ2lD7yyPvY4Am+Q/BFHmfh
nfLry+p3emHy8ufmLeSR4/1CPbL1JWV0rvGSqUJrbLifmBeXEs0Rt03XRjzIBRDWobMXlUN36wIs
/HW13yjzcnNU/honN8staJslkw6RFzUZ60pD8WnIcy9oo8SOYjiGv56bce8Ede2vzILNXlRgu3UB
YL/aMAhGMmgJsh+eXVzL/90/vK0/8Bv47tk/d5tjfcOjOP1rh2cXn5rDsdo+b27q757NqPYYRoD1
5i+bgxDisjJuaOfu2GNLMIvLNQH4olwvEBadjAXpfBhs97YMOyRMyF40ePt1AXhH6oqa4/IGnp8E
vLSOWDuLB5yUbDoVEsyoN4cq0Rnt0rFu2YgKbbfu66NtziprtMt0aJdCV5+jH4s2MDT/AdW1YKQU
ksEk6iIoMMJ7ZC8qwN26AMDfbHY1BGfVBMiZOSwPN0yoNzVl1cP7+/2HrLw6N1OqUpu8pcBixZ1T
6ZaxzSZh7eTggviavjTaT1EId9eJv8V1IRvfof25BMD+c/3bbwCljNrMaXncX22bh7xu8fMKZ6RT
B2+eSFDwREEWCXCeSnpR2+wScjNjIKC9i6DwbPBeSrVVY+byHb4V3i2T08ZtFOaPm2vcRl7UCMQe
3NlHgi59acRuNJ1BNmY6+4D8hgoYcyHpPpXuVMT+HP3KGjl7UYHu1gUYub6eLgfl7Zvnk2ov0TzP
rybs3z+0Ef0/r55JPtvT3x38wWHwJ/+4ryVlONxvj6be8KFuXjXX1ZEU4o/+6qLzxZ8Y2u5fLGPB
huDKmwgj2wmcVzAj8Nidmgt523JNRYZ5TdCfho8nLFUV0/26znf+CkPbu6/jeVPeRKSrDZwjccez
T4EAhhPh2ZSRn/2bfHYJ8xW3z9hfxHxHeo3pYFIZuVsXgPsv1cO22evS8VbPzLr1N3VuA15BJ9mT
uLDYRfRnRq+SiMEYD3gWtmHk0m4Opa1lwPQ9uuxFA7ZfFwB2FK+1y2/M3MhT3eQY+QTbhcmMQpBp
YOg5d4yc7iSakttofWR201x3k3NfBIdvUUbeucszNHKUdRN5dBitErMRiJ84TRhx7yanHId+6+ki
H8TqENt1KblbF2DksYzWNuO0Xv0dc3wu/D+ZVRAHBckxjyIvc/huDGiTvuP1xIxuMYyRrn/Ht88Y
tcuNLtIh9jd3ithlLxr/7tcFQB/bndYpr2fcnbbyUw/icee5dInY4hJMS2L4nslPGe4FC2YGa4Ja
9UgVjr1ocGeUx2ldAO4vNx9uZYKirgxnTsuna9//TlnnTbX/mJWtA5CrhMVjvkZlmylNRHIyo6sf
uDOeDy1fau28vExHFP9kLyrM3boAzOMqr3JYHvLn27raf+bJbZ8V5jx2JEzWhM/K5GzoTUju9yGn
l4UBG1NUnCA1j/SqyFY0kPt1AZDHjdnoKrk+pyJz/H1Tf84KcewxVeRODY5UDC1X9ELmptmw59kL
CvE8rpLPSWPDSFmGvWggl+/QrguAPJ7BLgfmLf3V/fF/8kJ8me4uh9UKO5ngzFbTB4iLzxctV9qO
ZbhKL4ZDdEZ3l7t13wJxc2Ae8V+qu0+ZEaDgHNuTj7zKSc8RaJVe4imwE5/3w7cZU9OR/WSiDnTn
sS5z9qIxcpjyp3UBkEd1JslZebQlKkDlMS8Tn01cthSJt4gFwXajF8E2HvVMXGqyEKRajz5CiWEr
Grgp3oV3JUVV4eSoPNx5V+Fk7nWqUvtSxukuUek1Y1dNInuWnc8vKbGTwiEjIprtw/4U+O4a3DHz
07oAM4+itbYzwm1V5h/3m931Q15WTqSVCG6KMbSTMzcZLT6RZh9IghG60WVKxo7UhHk/tR98KsbQ
pKS8yO26ALijQzdzYN7Ws7zIU0Euj2mEZYUjKvcvcgal0acAUWqO+t96OEQdS1VB7tcFQB4l9yjm
4dGGDAUv+uMhKxvnsFzMHHuTry+ZtkA/IQ2mwnDr4z2TwXmQZuYyCnWUFrPQ9abwFYKzs5h3FTmp
M7irbX2XFdZEPKmMm35ieTsTxU4IjytTte+9q/B4ii4Q1Fc6yX1CaN05W9Hc3vIVgrGOJDKb0/J4
v9wAeHWbGeL+VSPWunkuZ0wOdj0tRTqiLUeeBWy4+xVcJaauGG8+eDZlSoMuUHfrAtx5TKDO55zb
98tmu3343DSZ8RxpK7ChUyziDLalmIbKH+q9p5bhjo0jvM8TecE7+qiNE9irqm1+XQDgMcL7clLe
vnMU3kcrO1VCRnF1hlCAlMtbCzexzZl9g7ZMTKMTiWYGaSW2PzP7XOpI6I8kiI/0Gcp3CHbpfz9c
141Onbs9K4/3XzeHw+buLrfBGnDM7cFH2jcBunQhMRNN5Leonhr3d4a4aADx56iCtAKu7mX+hDix
o+4Fxa0LMPC4Spt587cpeKYaQBxzKpcu3CeEANDtQ67XMGLEA55BTjMxefpiuS5pWxp5J5W9aOI2
vy4A8ricrOPUr5pP17fNp095FV44rWQv48jvo/FCxkUiLmLr5hX5DHHK6aC9RPeP9pWRERuyFyXi
p3UBiEdlZeYbWRu/OtabHWOT8puYNEs5DE8mKdCAhmc3d/XAyiHGoAjCM4qRihk6duUwPL5D8FUe
1VYsZ+Wv8l/qbfMhu7kqyWQ78eqi08ecYtjMosk9vMhpUyB54ydhRpw65+Iucp1sZ4GiUDDekQ1o
XdXOTBuSCKecrUVGb1Rg4Dqcv5D0jFyk96nMSBvLqPi+7EXj2P26AMceWYIxx+XtPL9eciwkVYIm
Vk6yLdPIT2TmHuDU06nGwVoX3c5RqSc7JePLEjT5DsFW/qrWdph252rkOpqe90qXGMdaOENOeSIl
KRfNTqYb9gvqDCpnEOZ0RbNpi7hNDK1bZy8aC5fvEAz49zKW9F4ntm/Oypv3u2p7k1eDKakSoDxi
Tl8o/ANdHeYqeAL6WIMp5i/aIBAaJ6OBuuxFg7ZfF+DPI+nqcloe73zp6ghnJrvHqbLOVkxXoBOh
NKXUnluHrg57dcX8HNeu1P7gXN1NpwEk3yHYyvVl1vaoPOgvmuNtldcjCvotqYycoI1Rtsjv8grK
S+iIwD4U9ZLCOQpfENoHXeQQW5VBm10XYOSxQZsclwc8v6BtzhtWKsCZiUPBbQ7WUzvyrFNwM7OS
GIPHE+kjTUhr1R0u3yHYuqEtHHVjytuj8mCbtjPR287Kwmn/e/phvKd38EeKBU/oHISKGfAKk+on
yNQ9mZdM1oCgFBlj737h3ZZnAGJMCLdcQ0MKNVvRxBW02IbfL7EuR07L/wrNv5ajLjBdx4lQJ1tE
f0ak/inxyXCPft13gRYVGlWwqKFSj7XHsBcN7IVbF3DT/FDpZAXNOXm83yAYekcKkpvfmVNcT4Q3
BEsokksmeQCmmdfUM3PTG8OkDydnYD/YhpHsRYO3fIfgi+aq2leHhvlsCi3J9rA86PbfyuqmIZNP
5tdFvwKkffdLD3HRFoRh3UrNDYZpy040ePt1Ifa9bz5X+xsN3O1Jebiz5s0zdsWaW2RRSF5wEYQl
OyhgWMKZ7oGOW4dUy5QPM/NhmEDgnlVVAr8uBHa1W+/WBzJ160XCBrg1JGmkA9Gba4XFiA86+cMM
Vl4xJ3Brs4sB0VL2ojFzvy4A71f177p7vNf49ry+qfYXf60zyx5wsemsm/r+uuRhlgnqdEMMozZa
oRAIXi0Y1zYf4cyzFxXcbl0A3PqorROlZxu1UWxPhDeku4Vwr6j1TImjaE3qmXdBcZDHnKUlWboP
tlEbe9HgLcIn7boAvF8ySgmpikZzjcsHyXey/AwIus3HQ36D2BickfIhb42c+7I8zWzoGzkvAUxb
hElNIVAERJ13OYEue9GA7tcFgB45xMP8kC3ob5irWl3D28wqVifkSZWdSTa+LqjCACwPPLS/9Oyc
sA0GFk3PSA+eNMk6RX7Ziwpyty4Acr1fN1xhh3amYZs8u6Xz6xOGLaJDQVEXpaFpP2xDj0a6oJYo
iJrpmkO/vlKZuHyHYL8eo0fTHpb366bw+7LaMz45LyNHBSod6ExIl36JFR3tsGyNDzyjWiIRPBUd
C7RqEIgfDthkfpcueHPrAoxcLxEsB+UB/+cd4r3oyOeF9lzK30ne641L51kHvrTE6SbT7mRmlN2l
Xcpy8gZ1dVy6jj3v1gWgrXfpHeb8WaieYVmdXlP8bxLUUauYMWxrsYI+D00GanXvIpcJ6QxS5cnv
EWVo9qK5yOU7hDv2anvX4qQJ2dvj8pb+A8H7xdvq2OzysvWEkoKSpsG7m9LSyviGsuhX3aZwd0Sk
ZE5RjhK8b6m2EbuTBnzkV/hIbxS6R+HFdT1HQz7m3Lfn2AoH4THhRb5gvMNqJjM7oGqUQ7hnhXj8
OfNURxM09qIxcvkOwUYeA3eXoZEl3MyxTuTTzVMpOv9TyDUtta7n0yHtQNBYoD23Kh55KtU1RfEd
guHW3+Sdhqizmzwvb75IiTcT1sjNaIFZG1ZOD28zRFXGOLVDnIaRG3tRmbdbFxC5xdVfuq3N2dZf
qIw9cmF+GbkWE5+RXTGZpZX8ldfQXrC+lPY42mjGmyUI1nVdcG5dAOR6EzcVxNzrL7jfZPUXXDbK
zgs4Tye5mR7e/B5W3OtWjMrnB6eATfaiMXG/LgDvWNKTHJcP0/PjWcJOSKUaWayZzOIGrJFz9/Bm
am6JigUEmaJcM3rPORYboLMVDd7yFYKv8KhWCTkqD/bL6vPxttnv6qwu8XPRp0geBIn4GlIb0fmy
pCBSDFIyZEQpxU1mq6V5Rx1c4rIXDeJ+XYCF+ykMykS8E7s9p7C+vXjTbHbHrGAvyIkTXeTYuXBf
0C5AA1aanPvjsReXYI4+EcRG7vuRTJy9aGCX7xBs6C/ut79pAG8Pylu5bZD5ucnLzvkeqQpukpzN
Z2RdTqCg59m56SnEMdCnbWUfDHCRvSgBDy+4qSO39mEo98iNM04VuQnejOMhWpfqKopi/Zucl1Lp
aH60rVn2osQ7/OVMj3cnZMs1GRdzS+XQF7S3lQvmtIB1sUDGoGfftLFb/aER8Wc2ogFbvkCwN48M
081ZeZ/+srljjENd3WR1hdOtlsrC4TxJmyvcl0enZNPlLmo1tLqOTXGQvWhA9+v+P3dn1+TGjaTr
v9LRN3s1HLL4UawTRyfCao1H3m2NNdJ4HLt3dHdZYohqKki2tT2//jyJIgDWB2V0At0T8FyMIyxD
BPEyE4nMN98MiNziOE/tgVzZcp6WhXsnxYbrgM6Dm/RKSQeSVL87Zi4VFLqQaGBoMjAuuWsfaOxF
Azop23AZopiUuhyVt/I8U+rJeI3c4ry9ZKgaKTXTrd6BG/lYVP3JuIuuZN+vc4mraI1+XYCJ6y/x
FqPx5BLPsDbOMyqV/jOgE3txi5+I/raSrIsR1GYppRh5kj5Vna2oTNytCwD9/eqO9qN3272qB6k5
LW/mf5M52bvMHmfLhXOu8V4dJgQUw3E1JmQ/RjotxhNPdFoX4LQj5m40g5t8vvPqC1UShsEw4ZWz
GK8uR+XhztSrp6Q8cZ0So48pf0vlu+fVmYwN+wUdaEmy9iSgcc9KypNdF2Dherf+B6I8FTBREr3Q
cOtk2pbCdCCbOjeKwy23PqfzdEoDObwYqzDZNnL2ovLrbl0A6v+5uvm0V0pPmbPyVv7d5tftLq/n
GXCnepADN48u1F+pfpsJW13yyxyddwiPUF1x+7QwuPDB+nT2ooQ7/E1+tdp83N7f6ZKsclancOcm
SAPaqR7joI0Y8JTxWmeI6jQZQ2QnN8MwB6bm+ryPR1v1GJfv0PxKAowbYTDYh0qwWxm3V/X393fr
1aeL919267sP+6ySMJyZ6xOIjNzAnfkdSD0vZzNEW/uNZ3N4rMRtKAZDlBlQBZG9KK08vPEszqm3
XmkvV/ubbWbjWpilk+gOJ+dG1kWcNS6bR9pAP8q8EOVIGdJB/3ivPo4EpIrR6NcFmHn8+C05MO/Z
Mxy/xXjbRJBj4SjGQVqc0Es8PzZanzzNMHCZ7oE8G7EblRaX6fOOXYU4jiGcwxp3jbfAfrkhHjjs
D9uvmdHU6SZIB7kZk0l/eDOko/8+A2c7vsN/rEdc2WP4CJI6U3WofyivcpM0tsXSl9u79a+rh7xu
8IVX9Iu8wWFCIPI7pjheklPnud2N01GHlReZn79nf2UWbvaiusHdugCXjrLcWhm5maPyzvxdfXu7
vvmUFdxQjFPZtsh9w3XCZyMVsOzrvkjulc4TIwphiuatJ7hsRIO1XxeC9Xr1ef2nV6vbWmPezVl5
vPOjM6LGkyyxCruNPnHmY44lgdrPucCSoHx6XtFf9qIC3K0LADyW3SbH5QH/z/sv60O9y8rACXYS
JldLFAKYtUZjsHCZukQIHEApBdKqIqqjd2EgYFMmV4vjugDIf17tP/Ju1r/GWznWq9XuIUMpEPqA
7F0aeYkTpHPNyQRNNIGhNfbeZbBjxAsc+9AGk20qO+eHG15AiQa9ZedXH9dfNtlJPPnEVzzklEDR
cKJgZlUAOul0qKbY+AxJVhnc4X5rNm5zncDNFd/bz7leUrcuwM6jMi9yVt6vX20PuItbhqdm5doZ
c+Iy270jflz3EbHbYoHBkTLnYVZORVamBTnB25xxa2N0v4ezL+xFdZu7dQGQR9LczHF51DMM36hQ
J3LrNCdM+N+iYl6mtAn3GohpP2JENt0oMqVLOk/tBx9tfKocfe7XBQAeMyvXnJVHO2dxTpHit8cf
a+gLZi4RuMNvnFNCM0MiOoZOhVREepEKYHiTv1Qs7uxFZehuXQDusWG7HJeH/lW92SH3+bJmDExW
Dl5Yx6lwX8qkVHoNeZ9P6EyZGi7gSbJ1Qol80YzF9hkBe5+zDw3msv9mXQDmERwYc0we7zer9WGD
GmBeWJ+EUZE2Lnl1tJtIrJXTQWkvOpAQcZswFLtRXh6I35Qhu21YC8BbTYKRcNOD/b3k1FfrvDLq
TBdOdpGXdBeRRiXXQtJtLPpwLX+OqPqU671CKYQ/HPDnbEVj2/IVgm07umxmzsuD/u5+/ykzyLn+
UtGdKJUuGYk949mNPB/FswHMGdQEkX18nLNnL5GjP5e9aDD36wLsm1EHu3tVGaU5Ko/2dX0DJTav
sWuILbnsVwJ3LhEZvMUJmRig75g4oTxah9BcJzzZB0xc9qKB268LgDuGANMEI7Zq9v2urr9sd4es
rm8yZMnMezaaL7Bv2C9kWydlr2yGSCNcB3rKz8xGlr1o8PbrAvBmvO1uqyujmKPy5o2Y+sXPNJzl
hTe0BOtVI+2b3Att4Ah1ObWujn3TqUJDObodEzKtA3NwaGZQpdX9uhC8I0tnclwe8/xyLwXj6VMB
zv0t2qvczwhEMP+km2yj02yBLieYo/6EmXdzL7IXjYH7dQGAv68/r++2G5WJN4fl4aalJTvCMjES
7J0zCexHZldpLeRpjRIIU1MXkJ26hTOCdFqIJZID84EbXPaiAdyvCwA8sp+Uw/KA59tP6snisW4d
RU7IDvM5s1Plod1lOpFwwZuPxzIOa5C2vJyrEm2FWxeAeUTShY85RTzHxiOk1pIFbXQOwheXjiNa
B5li2H2TieouARt1tQoSK7M0rW9xeVWr3nLG5Zypmcl3aFxDANyxeVU5Lm/kJ3/bXxmhxQSFrEI4
VNBT3ehSJC8ZnDDnQV5JTs0EOyfZVaisvN0YsMBgrHExMC+DvWgcvHyHYPSjKqbND9q+0f66I796
8W59+6HODfNUlzqYMw+n4JnGu3xQBGY25+FNbG7+C5cNsDl1dNmViIeTl9U5Vhno4g39+uHu7uL1
6rc6rywr3QLu1CMvc8AmeCM0G49RZGymWrXSrAuGoBHPW0aET+86uOfKHIxdF+DeY3IwTVbJ2vdJ
D3qGZTPzojpzjT4ucgd3Rp0JzRFyxIzLW8yi5dfJzxS8zWnQXEqnUudWxz+rsut+XQDscX7dPD4t
7m9WfL3cXHpKeQiiNxKsFW0pwN6TgIHrhiYIDcZTqbT0iylMzNLF7G5dANxqp94oEVqo/5vC2Yf8
mlE4/lROnToKPAhpOMOCZ5RTulEbz3I7LaEfr7MPzf0t+w+O2OLrZm23fn1/+Fdu8Voq5guuXHpR
mHbDWCte3QPGTWAuAw5x98O6nDrmC7786BQCjDvOl7de5NLYsrq7W2UF+IyGIHuHRsZsMm98Sl8w
UquMPEFYvVs34wcBPwI3TjFlKAMje9GYuF8XAPiPn+r65uP2l1qVaG2Oy0fq/m/LCnXKG6nMHNSZ
V1cVxRTRrkr0vTohW0GihiIqIm7E8oxB6yVi2IsGdfkOwY49Zq5dc1ge85f1ZlOv1rscCW7cuoms
HfdelihEIMs6PPZqznMdTWYqp6Y3ZUD5R1dFw72HN6fEufd2CS1H914gyJIOcMbaLab0n42J33Dj
HUMX938i79czdNmLxtD9ugD3HjkjxVxZNmLPc0bKFLJCIsjx7bSWIsxqcqyLftKtGMFanslvotH9
6RZOZS8ayP26AMjjfLsclvftV3j23ddVfk2Hs4RmDt4yCglFXggxlencaaVgyMGKiMdR0s19sMu8
zXRmDk8++D7Xy+nLQXm8f66/rj6uDzcfP+UVtnOputTXYNj+55v//T8f6u01gxoPtNv//b7ePbyr
9/ebg6lrPeKPLlomOHlx+f1mu1vfcl5ftvvDanO1va1fXBLTJ+uVIbRAHpIGSCYloSnUDymRimX0
4pRuuOGQUvaicTt+Xes785WvL9vHULy4jJGtkKPyP8K327ub+oIe+es6s4GaotCe6q4h1yeNcEhL
MVKTdkdTETnxO5DsF+UY2ZrjOPTeXcNeNKDLdwj2O7EdcXJcHvgMWVlGZiJJqh+1EtMLRx2XRyGy
gSaZcgI4IpK0QdMLxyticEATe9EAjpWHA66/aOYtqLOd21Im41WT/qVyO6cFUgp6/WBygookTh9B
5TMK4GxFhbdbF+DV/7nd3O/XOiVoc1TeummDo8s5t7hiQbyXxL65xSWtizqFVPOQe+4mhtCR5P52
Y7MH1CsWui64mV0XgLe+uMM5eax/uNvUhxwTQhx/Irwxb4h3PBWnMC+lsdE8rE78OSzbEhY99V2C
uyGFf/aism+3LgDvGAJeU6+y2YEcCXjUS13YNPhsaL8a9t23wsWG18Th3gT8ogEtfx9XNDSNofIO
zpz0QFO47WeDWKpC260LQDtWpkROyxt5jjIl6PgmNHASfxR4sGJTvjGHc2LgxYgaANMVLebup2Yp
l+xFA7l8h2ZdAOTRJVxzYB70HBVDF67GEm/kMqoB9gXvcDMIWezhBHKUv3H08GvPDVGdLZQvcbsu
AHJ9jC4H5aHONhlESj7RJU7QJo0wKFVAN4dL1ej2nABeAjjTNBEOPqrI2g+22T/2orFxkvzhNMvI
JL/JLNhrPNMkP/rr9uQjbRxlmuUcth2BugzANoJiLRtHWJDmc6o+THURARP3W7Nunb1oIIdJHy44
dsJ9vxIFgofLixv5p2Q1P5DgfHH50x1agbcX7w9k7/ed5KR81Kmln/xtWTLpUQRMhL4Y/GxZkfLn
3T1HR7Tj4MtRIazqwRYKbFbn3N26AOceaestB5+nrXPMqcgagrZpmYCkA+2Kafc9uKVpYsxk3WZe
T6+4w140ti7fITiEi4S8RcrKFvJUUTuQTyFd4rjnFdkWtIL7kFOYZ7ILFT3kivo8DZpslJCHR+2R
kLdTrTRGrW62m8wyb8wwTuTTyayb4UzMyJ7CvkSaqAN5MSJmX/BYY4w2gnP9zBt7UUHu1gU49u82
yIPd6zKt5qx84P569fXwcbvLjUjPrZsKcZN7o4rC8xu6Go2PHcQNF1cUoI8Co+6nZsN29qJC3K0L
QPzlrmY24q1GCpwCUMutX21vtpnZN50MidA2MdtU5jYwZI1ca0+PiKAN/i3yFczrKYeG7rEXFdpu
XQDacS5dDssbeK63+MS9lSIfaUBOlpXxuFAiKJdSHu8YOJBT1yS4QwFeGiT7gdtE+S63654e8j/E
u7xM+C7HnaMlB7vOFEy6TzPqa9zvGDlULZKW7kXonuWl8llu1wUgfvKQVj3L5bS8mWep9z9POp+J
6pgM3iMXQ7xuDKKTfFvAu5sVwxrByCEojdyuC4A8zq+3x3Hl6tdTTlJlSAtB+qKUdte+9hh+nX4Z
Gb9WDfbMALlKe8yve3rI2yIWWb7OEIb6tnLJ8/Mt6ZtLF09OIdXJT7BCTqWvj8WPUIr2pIEl5CyW
7oPt64G96OJJu+7pf4Ts2V802fqdVMx+eULwVmTQ54S7RFrp+/HklITwAkVj8O5X7xHiUCIerp8S
edO0iP2ZIk6vdCIjJymEuB0ZviUkO0ZPNJOWToILqveMEpszgYBhz4yQ68aTBXtRQe7WBRh5VFKo
eRTZwt5fEamu9xnOEuL4E2GewMqVeQI7CTgA8kgr/wPkCYTmnAjxwmjZ4tDJCs3GUPHMtXdi5WjZ
lqKJSIOPsXOXoLCvRvaisXL5Ds26AMijtGxbFb08tWwpsqfCm+5rUR2Hg4cKGoPguqTLgmHuS/4T
+iqaq9x+sMWbvajwdusC8I7s0GshnmuHHlLh9ujjc4HoGoqYLQn/MQrkvdCNHhoGxy1mU8hbyNna
z3XRurK6w1cINvE4ry5n5aP1K1Gjv/sMKz0vkQUzrvYbXPp/w5tx6vx9/I9wXggLDIKfFcFvsYZ4
My6lT3RcQSwSUeX+r1CZq5o+F1FMDsv/CvN8QcCWTpaQXkrZmJeB9Szd2AL5JvS1K6S0ad8kbdVN
E8heNHeNXxdy16z2N1tNibE5KY/3tShu/vgfF9erT8InW++3JsO9e2gaXn96fynSdh0b7v0LKPSd
/+QZWnHNtKlvOJ5HsfwhENCUVYyZYdaMnmyZ+QKFtgLZHyijSLj1MZfJVxrM/boAzH/8hIzedq/j
EhxHc9ln49WO0Qi/reuvWUEOAClDSgwVrQ+ih8WAjJNMOEJ9l1wCI8SHJhWyFw3k8h2C44t4mr8c
mLf2/Gj+6Camygai84GEMondSt4KiNh3q8uinY56Ok18DMUYSADLXlSQu3UBVv56/eGjjJlTzThq
TsvjLV794i0UpPVtXoZOyGUjqcgQTpS74IBBFCHDax6HnYcEb0d0OUkX8pmUHfvEb/69CnW3LgD1
yLdjK4TL9u2YUjidrD4jEvDstOZOmofWSX5ogbA6zMAK7a4z97kVQD8TX5yRzSdwDE/8x93nbeX0
v3zYrO8uvkOujYm0yGy8XO3rrCy+WKZTaJQRGVB8x0vke4RD0K360KIrDfhQCGUO1gAXmL1oLF6+
Q/DVHtOiK0flnXyWLbqlCKWeMa7HiWnTkV1SzqGZC2EFwyHqOHiudQQ5IQlOlgsp+ribxWaK2IsK
brcuwMHHzT1qVGVt8G5udXRYH/KycCwyFeRU+WQMJQ6+EjWdZgrYiX8vRlUlfQCTkgzhmI4v+8EW
cvaigtytC4D81fp/1yr51cKc1ImBb24v/rH9mtmYhLk3tMgQTgp89GNORCuLS3smfNPO87xEg9nl
6Abq+MqpGHyHcIce9TyXw/KIv77fbX653x0uvl/Xm9uszLx5V6Xy7HRq0s1DygX8e7OuCsnKzGCO
zpqmHkciOFq5bEVj5X5dgJVHzjczb1Dr2N9/2a3vPlzIqz8rzOFNJXPt3ObGcU/w3gDbm3nEbS4/
CuZmNKJ53fSr7EUDul8XAHrcbS6H5W39GqWBr9ttXlbOQydh6x5cPBCl1Z4X2URa8zrenfnECGrR
12OEEF2F0V7m7EWFuFsXgHjkY63VuscT7XBxnKqT4RwcRozacCryYoetRWWXCfL2Xu/WWjB2ojwq
vMcp8+6DLfTsRQW9WxcAfZRYmpyVt/VXtdRb8vLt85mLniPhNnHcmDca083KqlpKe3/X0mn0IMbj
6T5cTZ2pSmt4q3ANhkhLN97LXuiZWzp1zlSWThYWVjUieaRlTPNmB3rR2YJfDTWTaYYD8hvQfnTX
ulsXYOlRrZtDUyxXeT3RGSDKMyRN7D4nrS6TagdFMGnqQioB2eMzgytlIxq/7tcFoB2rcttu8slQ
5XaeUk6d6I02fIRsKwSre0R7Eu7MJCfZygjyoSILHlr1VPPrAgCP9Oytp1rmnn2e7MHGpY6KCsyJ
CROpmYDTa+dbjNBUQ0CRqquk6hbdV3rBXjS27tcFQB8xw9IclQ/h3qx3q8+rLMfipJtxJ5EcxEta
pZBINK+yznUuU1K4yGnaPSe3YufVnbltzhbY7LoA0OPYme0Zd5ny4miXT3WhL0TXmpc6nBm8PIIq
HciRW2FUNS94fhfCx+2+1ZhjrrrT/boAyN+vdqv99qDiSMkHyXeywftf7j5s6uwyM/Q4psrMQJ3A
fKcT8nFHRkwPchpGidsXyzNtFuxF49rlOzTrAiCPo040pSML+fvDxduasTh7ku8f8nqmUwH9pqX/
G/iZySY0SYwBzZxinq/YtxIH6HXSC7AgChFy5kD9RzegCfmo8IL+yXBrhUiEfNSp8zFqr7xH63/l
xeNARNdx4CPTRUh2otVIJyeTVatSRPY77mc8ojlElCTOVHllLyr349aFuJ/V5nMjia+hYzfH5e+c
n6HlXni5kbxcEGJr33RBjyJkw8njsQBdA2YHYUUH+nI0pjZLc/egxD4b0eAuanHB1060ubcSw9ma
+zjdZAXmXRFblgQU9HsJe6uDOZcA1X/JDQ6LhMAA0kUbbl2Aub/cbb8q1d1kf6cuntFam4fs4kuM
JNWTgmu9RMFtDulaEgP9WTkLmF0wuuBqT63eX/NctOUf9qI09OfidchhefcO5IfcfHqq1wRoi1Df
eI5gZ4HmhkRprSBugWrvZIzY14L5KVA33M/Mo62yb36x4a+JuBzhomXg16v7Xb3JkM7Bgy7dRU6v
RTExAo1NL8oJTa+UHhtGp1RnWulATlnvs+sCPHpclkhOytv3m5tXq98y67Wgv9WlZCMjdkkLzqSA
y+DkqbTYdOv59NHxtKdAcE6glb3oHLpdFwB4nInLYXnA339cbdakg3Nz6ikRn5DvgwpNhh/Jzj7i
UhtAXuk4Xdl9sHfqSsQXx3VPjrhULDziwru++Mv+8LHOC3QKL6luchj3Y3qkmYdFVzxC+wOpYLpr
oNvzmWawbZejJ3vRmLlfFwB6TF6wOSwP+qv7u/p2nRsBu0zF3sCvM62SuI1sL3W8yaxr5TzHqfNM
KnR7hztqYPBqAOduOq4LADz2RS7H5SF/s5a5lnn59UryJGcKao9uqiG7wpAkxpiOUUtrnjEnoRtP
N+r9ZF2R7q2GgnX2okLcrQtAPIqv067v5Si1Xjq/Gh+3kTun0kNuBUUtlLXFEk7QJr8+pwUDkQR6
3Jqp1Z2HeKmUxrTrAtCOtm/jtWypJ0P7prs7VYJVuqLpiGa8GS59qCt6wpxy+UmMm6mXPZUT2YvG
vv26AMTfbjefVFl1c1Del5uGOSggmSmcUHlNZeEFdDwmZtBZNkOtSLogOxbO+DNqLGignEm+yF5U
eLt1AXjHMvLkuDzq+THyGAHqkl6RLl0MvJK+CdgazSzyDuAiY0QinVwcjZJk3F3V7vgwk72oAHfr
AgCP1zeRA/OQ56dvQjDtTj4Wcgooc97ZZxk6qGLyFjdDygeUb2UnGsD9ugDAr6h5rOudxqk3J+Wx
5iF+s80rPp8n0ziQFxlkB6rfYrq9VLqURxmLc3x9D/AhrFDBmcfCWfadXRcAdXS41uJDZBiu8XhN
lXEB7nJKKxQEu7kVLOkE6OhKUT5BpcxW0roBuirjIt+hcQoBiMdl0uWwTqx7i6BJZuZNq3Kq5zcC
B4xAolPqqHfbfZBxe4/5U4ZmHKeU2w+2aVX2onHmyJ+Hd0rFyZi3CifZypijLmSPPvb6BnNJuUCZ
nlXVfDKQVZ0KhZ4eihlVUoos9oMd5hNViM5wxOO6ABuPwrypDtgXeLaYIwdojz4ScymYUSdjYgGP
MgpjonXX8uvUxBl+ZydY9sdf4Z91du7WBWAeWTBrGfrf1jd1htMKyGwngpziCXc0LzNHa+lAzlUv
f7xg+vx8QlnN+Rdr5uxF5drdugDIozKrclYnN3m9+WV7n93YUhKiqRCvRjS447IRGiVljql3EGcm
CYMMELc3LNcTFqVFnL2oEHfrghBf3f66Vc4tNYflIYckt/2UWX0U2c9UyVW8OjwGqG10O9PPzNiz
DuA8zxh5CKmNlhN4zXOXAbCAsxcV4G5dAOCx7zM5Lg95lu8zPwU8/h43zetQW+ZjkubyEOje47Ac
qY7i12f4dPdT84gr7/FleLwed483uiw2eMv0HmeUxDe9+rN3ydAj7y74yB+hpHxJ7zHyhl8aef4e
+0o69CpejEiqNL9CexTHH6HsReN2/LoAtxOd8jUH5h3Pyx2KKrkV6s0w6zO5t0cW6nk1IrMATRpF
W0n+Gq98UroluJC2TWnGlR6a/l3DXjSgkykI742KejU2g7+t48n21biQhoZUmBNLIrRADoiWOFO7
ad02GDqtM4y4OzcZnb3oMLfrAgyd/Px6e6fJ9FOlNBGThfxdfXu7vvmUV66fzHwquJe8H6Qjhlch
1VuaqzvBhahkwdMh4mxm0LgPtsEFe1HB7dYFwB2lktV4LYv3q/plfuK2Y3fqsde4ePTZcjGZoVkv
7/8Bjz5b8sCgS3Fw2BmeWQe3WxcAd5xHN1/Jwp2vRx8nq9YL5kySwsIlhKMLpmPi3OJSsuWKZ5iB
PCCsb7EmDm1LZeJu3ZNj3irUZ4x5Mt1yMCc1QA8rmYLjIKnOLU7T25RrvpiUg5Jo5IyUmIdPoImz
c9PilbudTyHKWXOL9e3zERr0Y4ROZc4MQ0dMa8FJtE6Pq7RDLRFOI1fQj9ZlLxrM/boAO4+kYZnj
8g+012uId6uPeUVv9CCngrxC647S/biEPVsKX6Pn2hEjhWI9Z3wBbC2fk3KuXTlbjO/Q/FQCIL+u
f3vQherN97E2/gOaOet9VljPGAaSCmvh3TBqAtIs5Ltm7kDHpdMsxQDbJWV2yBxeIf+ItexFY95+
XQDWcRpJnTQgUsYfL97y/1lhToic8DHOuAaBFD1L0aPovs6gatDHKoPHqP8MuHTZiwZzvy4A87hr
vPUazzh0S0XHQrca5jytrFzgZu4r4XjHzmeQ86BS08XOP4eSbjo61mIcTseKw7zFxsoX83QKxmCO
y56aoQQDWhXyQpMpRETzOH4/p9Ld4kr9YnRTg2/xKMTb+sW5Is7xJ0vEIH9HCyv5NkTFmDTUGztT
8ICzfc9DmMteNJ7drwvw7DFtrs1h+VA9X/k78uHffqM9e2GP9Pu3dxSuhtVcN1wjR1X8Ht0b30OA
wYDLAvL/QFgpe9H8EP26gB9inPMxCS/7isjV+RSLwiXmYjMFlTD/SoYbVY0AWj+spMEe+V0Z+Wqa
AOwbxl04haqYK98h+MLRPxvloLzjgTB0t8+tiAu7x555LNhS4QFHplIe4ezEk0ysZOYRHR+wgicD
LFC2orJvty7AvqMKPHJUHu5XtfTWr7J6MhLdJXs+IGyJUCkpPsp6s0UjIdRKApIgpKbvCIH2Z3Y0
bdmKBm6/LgBuL0KpyQs1p+URbzpwJVmQF+gJWzrKEfk9Gjoo404mUHDMjXeCOnkCCkB4dESvRNbS
OReLumvNOEMiONO0NXXrAlCPZueYA/O459eQyf2XMDWEpULixneT9xsi/tJvzS/BNfG1e7bYicbM
5Rs8xw3eygpdfVzXv8rc+rzsm35Z61zj7/Ap1VmkDWmARrZGSrSdnBCj7cgazQskTPsJAn4GKrT9
ugDzfrva32xV/twclLfrV6tbRtuuDw9ZwY2kTUK4JbFHrp8pRsibLftwFxX1Xfj+S+ZV9kn9sheN
dft1AXiD0O5+rwG8OSoP+Peb7W61yRByI3Vx5sZ8JNWSoSaU5yBgTWewvWeN9EDrBhdtUxSr6eca
ImnwQ1GRNPy6AMjjqjuNLoh9h9u/Kysj5/pzoVOsT5ecL2n+xZjh8mhl9Bo5piMarlHQIJA/6hd3
b3Ddu4yvEHyDR4wZb7/KrnbbPb4iN6cOaSopJUdIlgjlQLZaDlHvlpBTj/z6AYli9qJx6vIdggGP
SrTJWXmvnm2iraySZfmXo7mMIoVxM5lQw+1pnwm7llnTUHKo7Q+8yyDWq7L8fl2AV/+RLocPRFzb
+zuJuW7kn7uHd/UHKNYvLn+6Wx/q24v3h9VBJK6+bPeH1eZqe1u/uJzKx5xC/vP6jgE3zJjYZUao
puKaKlQ35dvlEiUNrnG4N8YmWhc5MXpVMWDiOHLafrDLrc6UuVW7LgDyKDNvFDrtPZ6rmfOgSmbm
NEfBv2DQNDpCdFf3SPTFiPmFzJJZzpYy5azHsJW9aFy7XxeAeXz6pT1vOr/0y6xIJ6KCvPwSuUqK
X/DpB59opOMQMKWKO5HJ847ydzRz2YsGcr8uAPI3qzu8tsq1N2flb3Na4W6JP7Oro6RTOVyOqAPT
5Sbd1RPUabtFM+5ybnmScVyKQy+0otSpHPp1AYi/rz8jbbRRQS4fdHqbf7c5rD5vudEv3n/Zre8+
cPuv91sTJuwemgjgp/eX8s7tFMB7/2Lf+zd/v68lxNjfbw4mtfyh3l4zHPFAyPF7f3TROobJi0tJ
H6xvV53YhAJnshp5OSIZU8LDo3VmSrRmgp6TOx1B0zG9+AgwUFFlEHHX2GUvGmP361rfma98fdk+
huLF5ev1h4+SJFWlZJrT8ub+vv5FIM8LcfJKNpiKfZwzWJicugjQz0rGyvR67mU8nAyhKKWhBiq9
+2BbUGEvKsTdugDEY+ZFmbPyeL+q692v63pz24ybywp3uJDu+GNxR05FSHgIYc1nqFIP9ErR+Uq3
JC1yZ9gwOtzlOzS/lwDc46J347xs9C5OI0v3zoElzMQx/3Ei0gYIXk4I2TrVlakwJBhBflQ26Ete
sheNsct3CAY9IhUnJ+VN/fV2t6/3H7d1hqY+pVstlYufk5uBo0LRvOlk59Ju1dSQT4N4yVN9LOJp
A+1S7EWDunyHYNQj26XMcXno81OtpgyW0LcTwo3BlOzLRKgSHcCN7iXFVZ7wE5Ohtb80l5lRtrrz
HYIBj/Lt7Vb3XDMz2GSybNxyRGRL6I6UBWlY5vl2MJ+MKKCSe2UyiG2qaldZ2IvGyOU7BGMekYA1
R+UN/MedvAByk7ad85RuTj0+fCNqm5XkW0oIbqhWdOAuRjRQME+eottwvp2wTwW3W/fU4Zuclcf7
9err4eM2P/1DyYqnQnxZkHaREqrRw+sjThsVU7zpizYNcu428U5dWVWbP1NVrakgZB+wQxVMxo8h
3z5FuBay49TyX1qhGzc5OqfM/vX5mpZXl71ozNyvCzDz+Hy7HJi39fzy7RhmMs8u2VfpdCUPx7CZ
aZfgyj1OaZ1e+LG4/YFGd7aiQVy+QvA9Hpd8bVrArJ3nnXwlbE9m7BWdcjL2FTV6mqGHimvMmMHQ
kTwFfogV9mrxHl5l7PIdgqG/2qyUGgdyUN7I/6t+2FNkqS9e12RmDvusEnHike3hx0Zy0sZAUF7A
ZkWzvj8VkplSzAGm0GJkL8xjru3i2YvG4OU7BKMe3cdgnqDW5DPtY8BOEmbi4DdTRkNiEOmiZWXq
USeFFnmiw6BaloT4ePmBTui5MhNn1wVc7HFP9FYu7vhXZWXlBWIzqayc3jQ6S6cVBRZERg0LpxXI
UVib81Q7r1fPXjRWLt8h2MqNXarYUXJQ3re/3+52+KjcXue/0/z8qFZjkZKlRErLezVIjaKoxlNu
qN8dfqyqhOrXPbVlyzl5sHN9mQutIdXLHGVgvLjY72RgKiRCsgWjvgnrpoOkKJDThexu3ZMj3srF
vFnfrO62X2BQ5sSSoOMgFeALkmuiAH4UBpbLueXMCdl4TgnVfW6myrXjNTai8eRTty4A7ZiCuTko
b9/f0296cb26v613t2jQZQU6lpUwYitmMwTHiMukXi6/phboRGyEaxO6T4e7y9mKBnb5CuEXuFqA
rmmftgH6Gy7wtTzPMkM72fARxELEwGWuK2Ky42U3C1MwuJ13uGRpzkhTKWeP0LX8DGi3p478eBAu
+9WurnMjs1fJXDp4c4VDauYGZ75rr0cJ60ZmgMkAC7LvQ7PbF5XKqzNs4BHxudq85aC8S/95zfzY
/MybumWqG7ykJY1xS8TfTGbH5rrOXCgRNLKIlAjDI+k+tR9sU23sReXN3bqAS/yHu9v16u7i3fo3
3axfEgetGWL/rHfbHKkw5TgZFQYxMuS/K0rg0NAGU6wl8jAMjpTJL/w6urgT5OuoMG5dAO5xYmRy
WN7U8xUjg5efEHYyq1M6TKmHH9WBO7EbYwIpp3PRD04LlL1ozN2vC4A9roehhXqmPQxUvayfjc2q
VxROic34X8FkUMYG9qP1AvVwBEVcYbX1SuNeViHu1wUgTsehdrZLQ/iw8bpJ3L28P2xyGxcICS0V
4tRNGbPNaN9jJ7kxiJOMOoXTCqoz8mBjaUDtZ9TZi8bGaSYJD9kjCFDmqLxj/+7L9ssnWkFySsEg
65oK7fmIVBqZVUY6VDK+t1s/YQQAZRPmfpOG5f/7jSrsRYO2SNM26wLs+832bgf7WJFRl485vcap
lpKD2X3ILKXO8zgV4DSYM8qHcZ++86h1hU9GIh8Ovf2oG+T8io3Y2YsGcMw7fABAlHkbWrb16Fcf
JQHzebXPy8LRbk8FOI1JJNrgqzbzm3pyrSRZmfcARwavPjjkg71oAIcVHe7PY+viclzep7+kMfDi
3Sq7vBsJkVSoc4sLY53nUskLnSR6J27jFpduNV7mhg/X71BhLxrUydeHK4THmHlbIDxHGjMhc7K0
21zEwaXzZFpAgeEy78A9HjHIq+KXwJTG43SnVpgue9HA7deFXOPr1ef1nxqxtsdLhzTH5Y08w9YU
aCrp7Ju/jK4TuogZ5TGRzuXONU7zAsM4eb0Nt6awXAM49n1cFwB4lH23iuMZRumcVLI7XBSZMe9y
jkefTJe9fkNRBWLQ91RcuhAa3Qe7oE2n/S/fofmVBKAdJcncdMjbqC3DmZtTihmpjBtvPpfqCGM3
izGZtoG6OGk4wrpmEISnyR/hlr1ojNuvC4A7ttFQjqvjzXNMqtMDnA52uG1kViAOFGizGt7fSeKF
QH3JG13az8qhWgoXpO4p7tY9A+rt53iWd3iyTiTpUJiOCyy9EYXoFs/w6qgxz2eMTC9krvaAV9d1
IjHiM9irR7YoGNdl3XrmLQqIN6UydYGe9hQU3Y5yT73wDdLEnL7DIzWqWz/jYlbF635dgK1HQm9+
zn8M6NFcdQjEVlSWtJpJAv0YuPde5ki/iXwAImBndHudgv4Z1uUZ5X35DsFW/7re3UlfsCbn2hyW
v9obLagL6W7LKgmHrSQEXVhOYHpU7hxw9TP0RCBKVTN6kfs8CfaiiejkOwSDHmnvJl6x9n612u/r
zS/1bveQFeiUOZM5+VJUYOBBoMaM9FPDJziJ5zD0CVK7fOKgBL/sRAO5Xxfi4le71X57WKns3BzV
iZ0f/66s8C7AJ9WlXo0YtYuQK1IOMN+MxFcnJwPpFblmSBAMZBhIuRbKlKtdFwB41CNdjsrj/aq+
zm3Cxgzvmgpt0fNEiLmS8ekEaj1mBCnXij8l70pWZmAMnuxFZd9uXQDc7w+ji+v7m7WqeNqclgfc
MNjfruvdTWbsdfgpqVAXGxfiAxSnM5qeoE5vGoQZGb/cI77hb3TyMG5dAOpxRm4oAPYez9DIOeJk
afYGbiRcqaKZi7r3TqOGBnPdKAzg1PtP9EKZZrfrnhzuVp49Q7hp/k3WgcZUNNLrwEi7ghmb1IFb
ZuzycEMYip9EU1Vtl9Gc+MPj3mbyHYLD9Dhaa1s0Il9aKyA5Y4t9kpNvR7wVgSe0HLnPexqeXOWU
TRH8WiLpOKTdyl40V7l8h2DYY/PtbYpEjpnXIpmd49anaOzZxGujqHHyNGPCKdOLCeanJXm46cx9
sKunFbpO09Kue3K33uo0zdGt8zZOFbRh39BgGKbQcB8GKFAEbdgiE4xRCzpRonH1NOU0PL7Ds9m3
HJeP1bO074SVFWQ7uaeXpM+Jz2amCtG27xnB+ZQJady8yyH7VlZWivDKSlyU3iqs5DnCOF1OfTHi
KS4R+ngCzYmbvBO3Ib7OWCXUBcjCDaVeyMuo0qt+XYA/j+U4NpLy9mH2NxlfzOCkzecMq+Y80ZI5
d7gxc9RaJ3SnGNll4wZbts7gS5w6nUuDcxBlL5rgza8LwF6vCNN263+53x/W+9wyrMkYEoI1pbNy
apx7IU0vnQyrzFRidsawmQOZiiHh1z0t1K1WhSyhniZLpksbEmQ2SIyMKB6Sb4Rf3vQcc5EPNCFN
lbl0uy4A6bh6mRyVj9dyrZcxmi5Zsm05KmkdxZFX5E0rM66hY93QoxiwgokbcRCXynevsqky2WbX
PT3orWzbX+u7+re8es/AO1naRXoUiNcQjCBY5zHe7T2TVziqfpMJ9/dx/mkr2yZ70d3cdl0A3jEc
5nbKJdtZl2W6kbZCZF4yxBiG44xM6rIfrJXTBf2lCPBDjBpS5bWjaR+XYOWnEv4w0wdrnXm2jEm9
vfhhLwr7mYVs/kUcm1tdjipSaSUKIFTFGrHdjlOH7zpH7WlG4nUgt0rbuTLVZtcFGHnUU1zOyl/k
5sfzut7UmWk+lZIkOWNUj5xMzz1Os2cJfbGoJvSaGqJ360WGVgDsRpgSZGiGsi8zZfbFrguAPC54
azJK9i1uMH+zyozqxGjKhJBzgTO+mPnOkxKFp24CBiqzjE5CM4T/pmkzb1/l7EV1lbt1AZBHXOXm
qLyR59huSAt/Mjoj8j+i8gWthYRbMe9ZOLJPJaEbklDD4y1lLyq43boAuONln5rhP9bKmXC5Ivuy
ys6xJ0y1leBJAwoCjkcxiM5dTtX8WwKtzL9Uwe7WBcAe6dhNRGohz9WxTxJm3Bh1BdmJIbZE7D0O
K080vP2YjNtyTIztw0b7JGeQjgpxty4A8Ri/LieVt1+XCfKpIrfFCLOm5r2oZsBtZpB3DBxWG1OL
+UEYXbduXVz2ooHbrwuA+2qL6qJOya85K4/3D58/bz8hxltn9jybJ8y5IZwJ3UlEGk2bWS+jTg8a
0+qr8lxjwlyZc7PrAhCPc+lyWB7y6+3dh6/bbW4P8nSa+mTdpAoq84iNhlc/BUP1BIlmFMBoXBiY
mFEqdfXduidHvC2s/+Nv6zqzCYen3QGxCRiRBoHjIAK59Iv3a2aQ27i3z1bG6VPQeHT5Bs26ALRj
qW0NoccGbflRX0SL65tX+J/bMzP+fl/vHt7V+/vNwTT7fai310geHVBB/L0/umjBMXlx+f1mu1vf
UoT4st0fVpur7W394hJajO82jv0BkgGkz7Xi5b9kruLQyBaUK6jdw8A8I1ViByydSU+daXiU7xD8
E4zKAMpZ+RvGhqPrw0NWYQUoJMsHzUeiY0Dry0weB/2xTCQIGNNFwDHnphGhKvvzt4w79qJyO25d
63fOz/z6sv3TL15cRrodc1we9tfbz/X+UK/yiiyQfkyWFVqOJjKEizm53CdNE2vr9SANjxVKk2Oo
WpDne02ushcV6G5dAOjRQzbNgXnYr+8P/8rKzHGL7tkW79pFJbKaiXwgfIzeAJcJM/fmQswySWGe
lR0zl71oEPfrAhCPc+2clQf7Rww8s8IOYgMJk0Elau8MTT2+BvuFHap8WPZ4ORkUi5W9aOD26wLg
1lZvm4PyWP/3arP6mBc5Y0a3grWweNNGFJg2RqneHmVBW858MkKkiEYow8zo9TLLTnRI23UBSNtA
6/Fags1Beax/XH3KsEgvw1XOhMSPrtgumMKFDjRMx4JMUC8JRCWXYi28jOEpPQzx0aCNGw/vj4hL
AjWDaOwTMceUADISqeBeQIenrWkiHRANebJl2giN8VOAd8l/Re6gZ9zU9VS3tl8XYNwxk9fMUXnr
frW6W+flyDGMhJc2ujMLtCFpWZ3Avepf2vPJGC8+m+HQB1XGFqpLW75D4xQC0NZe2s1Beajfrtb7
TZ3Xu7tgrEYqy16OsFgu5Yo25iGwx1Au6XNdjkvKOKJLYz/Y1uvYi8qTu3UBYL/cwXrd3Wo0Z5qz
8ni/QWNoe7+7y62Ak26cIun8io512pOP7rp3d4u6OyLBjYZgz5ljQapHt18XgLg+UpOPOX2BZSgE
PCULZs0sNiqnQDs/Zk96j22ubTg50G5mTEsmzw+dusWxkn1obNuvC0DaN6RpzLs5Km/e9DXuVg9Z
NriV7vhjMYczTbmdgahnRrTAwaBcT1fEoiqmlGrdB1ufXpZKyRm7LgD3uOhcDsuj/n519+t2d5tV
Vm228HdpPOA8xBjChDEbYSmTgjrhz6JCUkyluZmK3pCYv+xFY+h+XQDgb1f7G6U8pJyUR/v1/e0+
twG5ZDutc40HGz1nOFQ2JuszZ2HAi9S3z7m1vLqoB2rA9usCwI607lZ5LEfrlnFJqQAvR9Le0qJC
t17fVEmmBPGoqCIsx3PNxQ62NMZeNIDLd2jWBQAeXSUxB+aN/B+rz19WWTn0qZEBSpNeE8jRm4H6
flSG7MToDEVGe8hNb+jF6LIXHeR23bNA3ugm2RxbfpDjEhNmXaA78dC2ijLGBZ7c4aTPaWJHk4YW
R+TGhoI2ZdalfI6sixyUt+43koG/eLXd5WXixDsJyyXM0oIbz1wOXmhQXXomjgIR/x4RMZmH3GtY
l71oTNyvCzDxGOW45rA85uah93q1+2W7y8qvY+Qu6ZUgdhOZIVLldLSKFGwHdIasTehRnpNglSaZ
HstF9qIB3a8LAD0ydmvF6tc5kmcZseFiqFjEqZwUkNgqdNqpi1SNGzxx66IU2GgXNGyIVqguG9HA
7dcFwB1VN5GD8ib+GqL9Q3ZcaXgoyeqii9GcVjWG7kBRm/JG63KlSblJi1uJ2piYdz9wYy8qxN26
AMRjU25yXB70l9uHOwZnZplzWya8zucMbCDNshyjDNgXkBuLUGxVkGhpqE/Owbic21J1nSN1c1wX
AHxMHYXPOUX9H+vD/f43JnTkVkhZJkzEcI+LCGxFOpU2p76tw0+mTHpGQk5EijSm7tc9OeKtNEy2
iEuUleZZjk5BZPhWqTIx0iTf/FQCII8L35qQ1D7JswzfOK2E5XGIEEzJRUQOxz43j9iT6E3GaBKt
0/40lidcv5uVrehs3K4LADymVion5a/yfAWHfNIzNmCnPC40xSnD1iaoTTWKTG3IqbRAh6joeuVh
7sjw7iKvVDE7v9rjuqeGvBWyv1mtD9kxGZHhdfFTLN4o+NOCsERKyA3J7GTXERqj4/UkL9d+o7EX
jYnLdwj26dHZdXNg3tD/uv6FElpu4+6BKZljB3aYjITkqAYO9CEU3PTMR0a9H/mxwbkNS5Vjl68Q
jHpM9q05K4+4+7vernafMsu/Vc7Hxho7ARxtRgzSRBSS/5PxnC1jn4yI5uHCSFi/gOHMn7eMHSet
5D7ZdU/t3Fvcp/+pN5vs0jEiHmCPPR5v2kpKhh9D8J3SVNovqtCOsIDJOl0iUmMGsLXxZi8a5y7f
IdjMI+I3c1TeyLNUmSqrlOl1FCARmEVyaLArYQrlqSroNWz0Qe3PzIduyux6dVwXYN2Rz7N2dn31
qb7IUEYuJX2Z1lFITThzc1Gb50w7Wi/pLyUzRwcP4boLGy3kqBDpDNyuC4A8xsDbJfIcDXw6TRes
L0Yw1WG4yJucMYrN6/UEbsNonaEhaZ5u/SK57EUDt18XAHdMQcWclXfoZoDi9er+tt7dojqUV9wG
QcU62AT3uMj4MxR3wVuMwmkvbqNruEBDlGcaSdkhM9flWvkOz3KPN4MJbNotRzMnaZKQC0NOjQmK
J3qvnTCdpmJGr5GkEScgE9E7YdtYx4XhOzwP3C02TI5wM3zcPY5irRuvvkTTHWXfYXHQCY/xuXuK
9wWmZC8ar+7XBXj1KBG55qFpzftvqy+bep+ZM58kS70sR4hHcUcThA/WzUiqc3OjB7tsOtL6MdtE
GbPZdQFwx8RsclT+Ds/Rujl/aOWNT421bhLqNAdPmKc0plvcKH62nPnYFNUW8oNANLTfhSR70Vi3
X/fUcBsGvjXuHOGWkcSp4F6MSJIJCaacnFGPo0WF2gnj11CYm3ua/PFFJnvRwO3XBcAdE6Kbs/Lm
/XYLUf1umyP9BW21VKhj5GOR50eUjaT6rEdzQ9eHKio9xI2+fz+xyl40qGPk4YIQUT7dpIqzNnKq
lqngRs5d5iPSZQD1pQnAWz6d/oTpnAbDAiGnoRkdDHRRsZ38ugAjjy+ayYF5S393v/+0zkzLHRXP
VJgvqY0whIdhO+fGJiLQxs9iJlwoamsuie9SbcqxiXyHxjUEYB5j4u3BiVne4/T1p4KbAmk1Z8SO
kJapjAhTtWXiE5mgOl3g1KGzD8xkoTlJxXXy6wLgfrvdfFK1jZuD8qb9crU7bL9m9iJLhzUvsjmy
PTJQydRF+1l05iwh7z4txwsM3DcuO9PWYU3AH85rizFtOSqPdo6mLW+jVKYN3GisMkgPdT2aPKXc
2jFteYbRiHIebuUD/BFjE6Pgzv8BzhzyVHCXdA5CdVmgQ7qEFtJrOhqP0PYinzrD3Q8FawV7UcXm
bl2AJ4+fvdMWbPtnvcvzTZZyWuacHjMI6BDYhOLWL5pQM5VJuXaSnv3Bea+uLJo8z7RMeHt/AK+e
MM+GjBdDViaYspHQ7nl1/D12jgoI2ltDk3d0CtrcTOHC/VFePf88mxHTS5NWpWhSTSEo0yE8RiS7
iXBapXAucbF+CG+95mF5oGlcul8X4NJjkmzmoHzElncdPF17IZGbuHI6wycI5QsbthO4zSWoM42m
xzdbpy6q6y7ExJ/nCd7uLMw0Tk9YBucxXCwxYSqjQ80nNIsXZFshwwyNRAA1ZRXcrgsw8iiHnn0V
XJTzbNQUWydboNo2ZZg9U65hKHJDd4x7jFLnBFY6VVNy6X3Sg+xF5dPdugC4Y1uH2zyXn5l/ceH/
yszyL8ImTnOXk1qV2K2A5MCz3KROO34d/iIDtuaz5r3uknwuUp+roOd18Dz0poZ4nXX1ZJaOpowm
JwJukkyfl0U5NAwXkQBayE+Heh2RnrINnZHbdc9g5HJSPnZ7yaCpi3er3JqNEA5OaN80l6HNKJNN
0MtvMhWtWJ2ZKMz0mqALMzhBj71oUJfv0KwLQD1GHMCclYfcJHPoKjysb7Ly6Vy/jkoYf51DUGT6
MWJdUBnx6r3rnAwrqfSS15mpsNjLxFo6e9FgLt/hEZhvvyqFtZuz8phnqv2ySMlrY/wBMzFkHO5Q
vo2iOEpfTLWfTYrjLd96nfGaV6XV/boAK48uipsD87BnKNpHGGVtLdbICdygINOBsiDTwtSb/oMc
VuvJZAx3o/jATUV2InALbx6OeaLJUXmw83yQi2pDsjiduahz9J2OvJaOT4e5yrAEusuYnDE0r06y
8Rqf7tcFWHgU3Nm/yDkqRzxJYN10lTDfyAvrdp5lTLuaMbASmbbhBIxuPKF8h+ArPApuU/nN+lmG
aEMq6xbmKu9w2gSJ0AeUP0jAyJR7P/jGfrCL2EqVM0e8OdyZxyTVzVl5b54zc/V3xh+3px/vuzOP
LzaMPj7QVffishDuCy9xGOrUUWC39ckQCDGPUYMRBga0iIErXBWnY+ThcXqUkbde43le4Slld2Ew
CQ2ZWUbIa8tl0fXpY1R5m+7SgcoZ6ssq5qpf98RXuByVt/FM4U4ZsS0ooFAMQ3YR8qrhgZ1kXhiF
MqfEIsPux5RZBphtdibZmQjy3Chx0vTPcoXL2Lfc4U4poo6qKhQHmk/MgGHzemnBPa0QcqJVmN/C
kHjX0oqhPxZuu+6Jrbsto56jdUNFS0ZkNMOtZkvaCOfMLIPG1HPmdCcgm3+cXdefH85eNO8x+Q7B
1n1d1yqKsjknb9qGAvHmod7ts2w1WibkOVH2ZtYJAmomc2oac9o2PkXWq6IpeDDNhrdX9hPadU9s
43JUHvccbZwjTsZeJcUmrYIi72B89oBLR037SG0dUNSWvWhs3K97arjNDzjnRzhHlTBgm0lnOFkX
WstEJL3n0mXqrFNr7DHbZC9KuJ8nYJOjytu60ahJ1kgIixFeOlPjmwtc+kJbzzEEfRZSUjlOnW7X
S9iHBmrZf/DtHZNvMefksc6bxJhSRVsYTmA+ni6W5FXIqLQwJ4vOaNqZq4e7kqwrmlg17McG6Xbd
E3v0toZ2jhf4jD5um92MzaJXmLBIMjGTTJJsiy7cxYhyKANSiHebicP2g49wy140Zu7XBcCNiN6a
GRZXMpfq4fLiRv65e3hXf+Dfvrj86W59qG8v3h9WB9Ft+bLdH1abq63kD+HRt2eR/shNvsqK9YCc
lktqDoL953Y69e/3tRzN/n5z6CZWf++PLlpQTF5cfr/Z7ta3nFfrTFGP+PaO2hv6vfzuhMblyYTK
O+2Ns26JVuRHUJGy909vIovsRfPz8+ta35mvfH3ZPobixWUU96ZNrntT73brw+Hih312st78EJM+
G+YMWyHDS0c645f6l4yM1Dwzhkd2ogLdrQsAPSapLwflI4scrxiOOOGjASSnSPmiAiiI9vNAZPxJ
9gvrEsWQvo2zFyXcz/NokKPKHu5v1+X/DZfMOFmMs4SbDzmbC4bss8gldLzNeCSDO8lR8ralX6P/
akXNUPUDdOsC/E3UJSNn5X+Bb+rNL9v73V2dVaBDT3syxOcjZMXHqAeXlIyZ99atI/JwpcVe+ALD
DXhsRQO4fIVmXQDgb9arz+s/vVrd6hLQ5rROMJe/LSu8Cc2TZZ2rUcFYdTqqZiJU2acJ8IqBuk2t
QcZK+I/1bxhVzlm+QTjcMW+Yds45vzcM5Vv7bhx8wzzqxQBZH6MmT9T0YfSdeevJ4J4qNj/BXjS2
Tb7zMTyg+jclc1s+J39nzrdIZtxc3+iYoUnGO2EpOYo+4vwkIAmdm73NXpSIh5t33PXdsu+m5W5F
omO935qcx+6hSWf89P7y4s//7/92grHev+DF3flPfu/l/418Qfs1/I2kgFcNTGDiCN/Qd7FcVMyL
kF9SKwVJvAZLCDnDudE76hWO+fHp3oduXcD1HQd464GYKeDpwrVyVInwBeEYHXe0afTDNTpxmESy
gAk0oVXLvVWcT7dx1yNzzpShgy/wKMDlrHywlivgyagh8iKLu8R1zTgy5vuZADcpLVs3zvRFtpy5
6k68Ty8mNFDz3ELNipGcXRMvRvJvK8i8iB7hh7thGyOgVERevy7Ap+sFC+WgvH3/1+rw/7k7+x43
bmzNf5WG/98eqUr1oovNAmNnZ7w7TsY3fWcD7H+KrdgNyy1D3Z2Mv/39HZZIqoqlDPuQrQGNAZJB
bHZTfHQOD8/L83zcbbeFsZFCXJAxSOfVLRzxTM7OKHtxg8OTwru8XvBVmEn5sRddyGbXRaCd5tBH
gJdp3xWTUvkQp+0OMrNzjfoSs52Zmpdt6MC2654bbDkmb92vNl9I2WzuNr9tD5tdYVG6lFrOBEny
tHjSQ1xGL7oFGdMFyf3Ao1O6Y+zKBelB1gXYVe2dft2zwz66w1/t3+03paHtrtH0+5uOzgqSE0bm
mcCYaQUidO+o4h5JS10q14XolbJQa9c9O9qc1YmRF4c2YxQZk2w1hKMtT+xBe3OacqmQ4SbdSkiH
HOvM2JXsRePS/boItN9u7t/tVU0h5qQ81j9uf796uz88XP10++7j9mtpNp4T9UbqJcKFImQnYd6l
oxOQNxSpdga0Zp7hlQp1PPqFUqvVKLVankcn6Z0trdpeUyAjOEfsRZJsK1PEPunUX1yLNyeEZ9pu
jnhY9qKxcb8uwsbTGjxHadWiGzx5TeWL2yqZzuAfdNhAXRhaOZG6qAusGMobFKGGgNHf5CrcsfIL
pdMHNQSbe3m7eTjcvvt09ee/vCzNs2dswUFymZd2XaHKODNXS6xOCygPcpHnDAukQKfrwHHrokw9
oWZWjVpwynPs9Ne6iDlDqA4laUcDHZNW9dw1Dgt1AwvKWT4zq/tw5qF4bqqWzzBcCM+N9lgwwqBd
4Nhd3beukJGOOUQo1ECt/o95uZ5c5ujBIBXDC22uv0k2orrJ3boIwPW5VTklH6wPP+dW+sALKo/W
9TIb1kzlVNK4RN9sK3kXU1o6wZrADR7K9Vk9GNmLCm63LgLupMBNzsojXnbglm+eukd5ta1q3l8S
jg9Bzgh2EReAAkX6n2a7GO1Y9JPd+oVqZnJUHvZS3TrzsNmy6h1ctG2H2O6S6jciMeb5eoJ5BTUx
bEi49RapRZOVG8XqsheNqft1EaZ+szls7vcPG1UqxhyWB93+rKKcO8FbxtcZBszUJVVQZlSQbhOT
OEGcOgp8R4h9wZRxFJYYIS570SDu10UgnlQ5k7PygJdaOWsy2rhIdcJRSQ96PdvthPrbqqEt8KgA
ZRMB7j3eqGycr9dTBm0THmdyVieIM4H3y+ZQmoWTAj9zbz65boYILylUGh0YtKVEFlo4xogzH1gq
Z+pmVu7jzH7OP8/iZULSLHzU3VaqhdcZsy/A3cmo/FroEYIBKCTeaG3rSMWZOmpIYkdKRunT4weg
0hAfpV9uGMTd7RjKLfBRTqdxxkQM3U6kWJGHwYOjGBBaOlk5vLuodoYyULIVHex23XNf5QOlk020
lmro+Zrc6GOl95geGPjlzNM8AJwrnAI6E81IxMwirmx7ss1xz474qO3prwdUBIq6yCVsznWRt9c0
QjCXQBl8QHSCNi2NjCPRwr6sFlz4vrvuGLjJXjT27ddFoP3q4+aw2z/gixXsCcNp+dDt7eMdz7y/
7g/CCVBQ9o1Ql9TCmXDpyeFbbUinieEojYajZjzQmGJm0uysV2+UbU92XQTqSZe5nJXHvGTGAoqY
GWFHn5dumOVyIEqZGPtAVIEjqOuhp9X+Yv9KU/ZG2E6aZ4fdPET8ZV4sUQX8RBnTMbSsQyxO3zpV
EuPDR+mYisFTmtWplcOYNCf7xl5UPt6ti4Bd3Qg1nJS39WEYubTaCt49J94kXFGBoq3NkJaGZg4P
MdmaqofncoaRmL1o8JbPMKyLwDvNu4/Sbz/t333abd9/2BZ1n1OIypaOaa4FTO50mpz4uYPG6Sjh
ukLds6LHeQEZNZMpE8cue9Eg7tdFIJ7KFSDH5c3c/LSiAMc8smVjumtAruGgPj7DzItmDDgJeKhA
iB5MpW0CuOxFA7hfFwG40Wi7oyGVGQNN5D4cmIf8ZvvL5v7hdlPaSJJQwueJ2ztGjqiJt1aQO0zG
1OseVkPhmZ97mbfKXIxddxHQBwZ9G8P9v+1hX2AKrsbR5kK9YbIYflIScKjG4OGNHxwZeyWK3Aj6
zuuHyF40xu7XReCe0ithzsrbeZk6f5hctvd5RzIdScc188VMkwYi7Ivruu8ZM+h7pLkHLqjBv7h3
Wqt8ntt1EYCne3c5L496oYYO7Nnmk3Dv6ErwCqOj+ZhMHz3UwF3yMuh9zlLMsRONmcsnGNZdBvXR
iFKhqCP4kM3YEQWj4Ym3ec00ElTypgw1cu9c6KTjl7BDzWnAyV40uPt1EbgnuXc5K2/o5YqCcSFm
RJ2nmnSxQxbCGMMc6sJP3Zn+mZlOONmLDnW77rlRHwhRbRxX7KWeLfuKd28Am7anYRzJGMXIznnQ
NVRbedZRYA8e6fhpZfbVrotAPMOtPkrBFurfOeuMb/UO6s6G1KukKkPq2AXygFz3sHai4y005vbd
4KM55Vv9CQJhGXAftU+Ui3u2FncJ4mGTANq6atrZpBz+nwsAtSBIw4PSKt9BVYu7X3cZex/1uReK
OwF1tpI6z/WWxlcmWfjf3OMNM19x6XfSHxu6edmK6mJ36yJgT8zFmtPyEV15udiaJ5Z1s6ljS628
xqmqYcrdLN7VUmglkBwys2qkakePddmKCm+3LgLvgaxtu3n3UZOIHU7L4/1y/25z9dPmYV9cJtYd
firoJhPLMAOgw9g72w4JR5jvd3Y5An+pK7uk2uO6CNQzXOqjVqlCnTsUANmce2cIgRByJoonQzdQ
Io6CeJiEUBWjo0r4CEK1V/aisXb5DMO6i+AuB+btvVzcM1Ze0HuteL9JqgYOofDxRgQH0wS0zaYR
1t0uzt51EkPgHj+PnG7vY6GhcnF3Be50P88QOm+2I5vMDMFIw8Qyc2u9MATOkQB2qso6uMcPOmTA
fVRbL7PQSstaNnNfyag5ghqQAZr+SJPTGLl5muHxBEdN74BFSPaicfN+XYSb/2F/d9jremLNUXkH
/4bpvKu/FcYaVVMHsbF0qpkLly9vNqih5KdSXZHr7wTv6hpWyEY8gTCChmYuq1R4u3UReL++3e3u
f9kf9o8fdGG8OTCP+n9tPn/ZFNVCg3lkS8A31317Kgw6hZxiG9OKTDqcoYeTvaggd+siIE98p5vj
8oC/vt3stpuPpUHuYqlUKycz08EfAuwdM020uk6sHEWdFRQk9ExBCwYpqLtOjkEckOue6m5dBORJ
lbaBdd7VXDY7UegD9CI7aBbZXusA33f0TVEzY37RpFpH7l2A5zpfUX2ZpZ0AeNVr3a97duBHD/XX
RQPf5Ky9QCWwXMPniniaKPNNLB5NJcg/mWA27IEhG2TNXlRO3q2LAD75XjcH5t38W4z+4epVaS3w
kKlni+foj2XQZQnHL0PLwu8c4N41wgC8WMI2BdGMu2Ksp2cvKtzdugjc397eMWK8uVelZM1heczf
bA4f9mVd7LyWc4Xv0IBKw6vwCpGSA9gJ3Ph3crTIPyPQeRRPHOfg2YsKbrcuAu6Ui92clUe7ZDYp
GULIhTsxPI81eD6pr/Z0Qs50xsI61K9Ix85q7sheVLi7dRG4p8bwclwe+jJj+HwyS0BeIYO6bgwr
wSzjL3Id9E05grGxpTPFrEQ8Pg+bjLh5i7oovshXW77cDIg3Iq3FqAv0j7NG3lUwgbYS4Q+5mynk
urucBr3hq3IJIzcRSsmQQ9eY7T7veI/BJYUc4pB9nbnP4ZsC7oYpR7SQXdx4DN9kLxor9+tiIN8c
Hm7vNMHbcFTep988PPKzyoreeC7nusVbphfbRS1DLMu6a9dmuPMk+Ur01jC5zCtNiIdmZLXYiwZt
abiLNvDUDgo5Lo/4z9v7hyv/I8uCnkdTLuhJzCyWTJ/T/k4ulupqELjXMBVUtFKYHumgR44ATtUT
69fFGHqayLU5Lg99mQFcl62iSruUqaauKKasmVkLIedrIDz7K7os5maVF7YyOtzyQVL4DHUc4w7x
FdWUtxq/59TUyx13WKENnsvQe8j5kVUjrX6U25kYOiSw8L8ueuZXZ4YdZCcaD+/XRZg5CbPDoyoZ
MxzUiYnvP+/vN/f3pRXXltngxq9j3UwswTMhUpnTvKvosnChQw979pmmAhy/flwXAXjyM23U8V6m
X8/H6M4zjR41quSUWiTXHvp1kulMup3rlAE6ZXHNrrsE5OaLXPIzjbkxV9YMrs4n0oiRdgVQhluY
Se0ZbgohX/biB2iOpl3SdFVMXuaVMhlj10VAnnSVy1md+vXd7uvv+/37suJ1437PBEtPRJy6CmyA
y66lsrmYMXKopIQaEipQ/sbMLBMsBjojd+siEE+vp43L6C9hiHxfWK87Zo415gFdqueipAUvqOHv
NzYxep8ztMi7/XynjJW/PLOfsxG7XRcBepqZG8/l3Pq+SDNnfDwX4qizwO4KZxS1UcYWg7I5GRlo
SPqhScYTndjiKTvRROsyAB+dj0nB25yUd+tlV9OqbF0yXOcLqF4XXNcDE+Dkjcagqtz3Q//7DPMv
PkfZJWPXPbudj7tkyrRzxC7z2TmhGy1PVE+WsMPNdLcj2kDWla+F6Yp1V4q1dPaisnS3LgJxnybV
5NohyOG4vLG/3H+9Y3CtyIa4fDJMzTXDCmRjoBNbMMg0UOuNrnR6Y1C0hW7mTOFcp8NENvdYmIkA
PvV9PpZier3/TNJ9uykseF/UzuhSn2vNNRE7pZSG6TViOZlNm3RB0vdKEQb9ZFj7QyEmwNPVWdy6
S4A+CeUKBT2biwd0oSAQ3UTqqXPpduaIz6fhap1/X9h1l0B85N8LNfNaJIzPPI+e+EYneMevyyQL
00sIqoXPNe769YJ+OKGWm+lyZy+qS92tiwA9KXwf5J7tc63o8B3bzIc7I0ywfzKNKHSRwiMzce/C
Ck0ZZmCEDZ9t7EWFu1sXgXtqMCfH5YO5osvoTBzkg56hc7pbhRHY6J2H0K+52ZsK/qkGCW33i10c
b9V2zrigcxkaPsNFXuzmrDzu32+3h19vt7v3ZYbx2WrpK7R6CN/XiG7RIUMDXIA7HTPwENAsPgwu
2i+cxZ2Hncrk3boIk08ZUx2YzK2n/z/3u83n/WFTmHILD2tncKkx/ErEUmH9pvuVKdR1Z0qQJw83
NLKJ9pDsacjGIJTtbheHuLXYJ1o6vy/a0lMQH8txMZN8JU6+rIILPtYaWjrecAfRAcVgIqIsNEdM
LHyJPhPfLwjkakNA4B6LDm+lPhOf4SJ4T3U1D5uHj4XVWiSeyoW3ZN5rtHHXSCIjkltP3+hL+mgQ
cYBR7gi4/cVHvGUvGo/u10V49FckTm91nP7DWfmb/MfNl932vjTzzgb36hrxxDXFUihGaH4NCi2Y
99KwhoVs/ry2VEj7dRFIp3jyhlPyQIsn53uzv/taZMyWT3tNIKdGDvXjkUhi9EgD8BrmqA4d5TOJ
V6ug9tT72657btRNDGojth+QVS/On0N3567R1Ptbettx1TAE1jh0MyIxwhvJNR7s0H8aqc0ZYhH2
ovHn8hmi7+/UR7kcl7f0m/3jw8erl5uvRXl1sqDZvHp3XcPVvK5okRmisknQJjz+TCXWLf2Rwtbq
6vb2EmcvGtDlM0SDfvNwffXm8d2tikBoOC2PucnBvSUmeFeYCBcCaTaCSjV12mRoBEYgG8IBWL7X
06cZPa/des27bKi+BKhzMevyrm5djGtPnGWQ4/Kw//3L5n+8QX1tU5SpE19ne58h3gAZLt4WYkBR
xzYxz8l7nE4ZgnWmmlDvmR9ObJUTyHZdBOgpyXZzVh7xcqcZQD2bgxfJDiYPaXpbLRFkasK5c/Iz
/UDzz5+GqXb2onHw8hmiHXwa6uaLbMO4clGn+yPbUEPP5BIpGJKp8wWW5XXT0ykJ++tA7O2CSHut
sxcN6vIZolH/+/277X630bTKDGflbf1vt/f3t58/b0u70vPpcGHn5N3obbf650EgR4tkR7dEs4Dg
P5RuwF5Vc8h+3bN799FzrVw758ScuaUGcoI6XL+eHyhAXcj9mVele0rYg8IcuxXUeuob3a57dtRH
D7aiUc8WvoM6BBK0QkIRRA4mLKVBCEsvpBlnI3Pjvm0u0d4qo3e77tlBH4Xur6ij7a5uvhxu7z7c
lxa+ZyugAjqTJdILJ1ygc/PnS3IzaCfj5ueIJnA7ygKqXffsqH8rw8g8nXO91KEXobe1WcIjZNsh
Jkk5vhXc6C1Cu3PtEvB3qGzdr4tAndSpnl5kZOol0ovQqpQLbQgHoORf0eiOLMMwkzZFW7S3eKe5
Px/ube/ZVWE7viE+bE97rJlUU/mPtRqmtlyow+jNG5xsHHl3seLpBPoS5hFcOuyQR9duf7FFnb1o
HmvyGaIfa2/3u0+al9pwUP6l9r9Fiwc+mcOn0m5yl/rOELQL82PH83y5BtgwJQPtLxl5Ed3kBT8X
tOuG1rgnovFOs3LzFf4GrBzZBGts6ahTNmcqFXZPut96qdJOfDvFVPLxUBMQuq9Dnlf2orJyty7i
Jk9B3ZyVN/Sie53pQ8yIe7umX4LcunCHLUNrX9Z8MyAAbhbwuYdM7uxFh7td99y4y1l9I7gvvApW
ur0bwgkidwjDIJeZtkdRbmmlv7mHT46eWJ8Tsrc6e1Hh7tY9M+7mrDzuJadmumzvNUnNLCi2dM2y
Y24laIKkssqf8FeMqc9UWzrVcw0fcVz33KDLUXnQS07N9NzAZ7KeTx5jAvIGlrgO8gkG00NTPyUi
mSOX6ZW5d7vuuVGXs/KolymQDsuLS3+nO3c6I+hbqqmvLZBcC2I5CMPoeG/pfxea3zAD2+vml/gI
l4ngB8dlI/hSAV9ne6Mzm9oxg4g0Ojf27MQaf15TY2euCXnFmY6Zte6NToY/GvHUKXQ5rlMrL3Mg
OR+3s1APQClBso27nH+EZk6POEMs3YovhsRw9kJxIZyO25kJuctRDwzSUt7SiwR9+S+EGv707p//
8WG7f4Ma9MPt/u4/H7eHrz9t7x93D2Zc8Al/dDW6apffvfjLbn+4lTGvL/v7h83u1f799rsX3Avy
0MsTXjTXJAxI+jJJwWg8CaHgtiFzgFzUWuapZrrv2YrqIeHWjT4yn/jNi/EpVN+9SHQ95rS86zE/
raz8INDkwpt8cMukJJn+VgRiFtOMQUWVAIoEIcNBzXWG/IK9qAB36yIAT2euGzue/2KUav9QIhft
8l+wVP4bfE+V7bvYMMRFCZHJvkYIruXBOs1aytSPm9oNIl0o01XfRbcu4ruY6nzkuIp2Pst8zGoA
3vRMYbfMcaJlIo2oE8ArmeelgfhMHxl7UQJ+XHcJwM0L3cY8Bd42yzrjy6aT22ZZwUfdV9AuzAAu
8nMdwlU8fMK6BHvRAW7XXQBwOa6iLbzNJzhIeEHXL9XFo0rJ1MIRkIahgfgDO5eG8cClsxcV4G5d
BODJ4YU5MA95gQLSlH9zRZTi1KkpUnxaLYUKNTRxGHPJXdRM/Mw1DLIVFeJuXQTiqZf48Cwq2qdn
q0KAN1N7uPUVFechGzW9xFE2YZBTHP6MKBXDA7oyhFt3CcBHlYgiL/FsLSUiPIciCYUlCk9DEXkC
OHVG/oY0nSznmgsQrVJaeHxLSbKFj7pKygNcZIRyeXRRDSZgow/cqIRLvnkEuJCtcMMPactwVlu2
osHbr4sw8KT5nqGIZt3537Z3m7v73253u21ZaSGmsHJBjlPvGdAjBQjZ7WDDI8hpKEBUkjrk8S+4
6MFmo9mLBnOZJBvWRWCebOPhy6xEEg4eTPlghyRxRUMBT27meNow+8uLG2YGS5EZhOvsRQe7XXcB
2OW4fLBuvkQlws5QfS7YW15hUBw3MCGS6DWy7xNrF9/OvPagehCWmNmLCna3LgL2VDYOOS4P+/fb
3WFTJOdO32SL5Hom+qC9hh+zgisxHPNhcrclypNiM8w7vnHJOnm2ooLdrYuBXd0LLud0Avjmt+3d
l31perKmYztXaa+vllWPnAjEeKRbTCJ6xMnAH64QF+46eEVnSj3sRQW3WxcBd+Kdbo7Lg15e3A5d
BjmybIBjv8ueGeCaG32ogY0A5+vAlB+kekwChXw7shcV4G7d8wNujmsCeJG3ufeuqf1i3TWjmzX9
QfNUaoTuyJDBpSi0LGFTKGGACnO3LgZz9QyfRCmnXv31/pftFcxad+8Le6qtXOicCjcdG2hSoSpK
oX41LxzMJAiiJvR0mAScdS/2Fl+udCl2ty4G8TR+JX7VKerluXUZrrLnngo4NGoL6KulIZSHGHN6
cjQnbh3NYB7uaJaQZ5+Tl5S9aEzcr4sA/AaGw/v9g45wxRyWd+r2Z5Vl4quc7Lcdye4lMrFD658x
hhPEFzTx8DwjYVM1x1HeIYKwJs5eNIgTKcbzKqW+z+S4POZFSxjQzZDL2KWaJuLASxA2FMcTY2fG
g0Qcbd/hTc4uVKC7dRFmnhium4PyoJfn1+tOnlF5wnXS7HCWnzTbTaCurgnpIEwd6qYh3mxFhbdb
F4H329u77W63UcnBD2fl0b55uHq7fdge7n95PHwoy7cTQedCHQOvligW8FCjZsbA7gR1occ0STn/
QLBenV2oAHfrIgBPNnDTUGpLKwUaOGf/h1D/GzouVxnLPDD8QPSwYH6o62fInYR1H24QKj32EPyX
T1ngWV2uwCMH5f2NUK2/vL1/t/l6V1hhr8k3TNZd8xiE/IM5sdmckCiVI3KMVgpT4hJXTHFnLyqn
49ZFOJ3khixzYB75m+2vv95tD4XdMfnUUujYIG/Swa4/jIzNZH5hUIXkjQkjEVNxhSVn7Fb15Eyk
c04Hiytt+LJEgJ5600wUUyThUBrgzthSUwQAXsPrIirGqFiuhp7z0YNR5DWqhq5MSfSHsSS6WSor
d+suAfjowVhgaIHcpPWu6YDL43C55J0oT4iZsS2UNVbUdsH8qHE7zhCwFxXgbt3zA26Oyzt1A3iJ
qf5lPtEUHg8YORzqPRd2TctG8HggxQ8H+6JybTxj2NmLCna37vlhN8c1gb0sx47GSS477xGxZT4C
8vyGcRkG9iaAU7GXch5/OtDquyqDvcnZiwpwty4CcD1921jX8PsyS/YMz+aCm3sccl1YXLxMwijV
Ty2P0g5yKr4UMLVvZW2nOa6LgDs5cCu8tlPTQpMPcO7uNUQfKwbjBkXaCeAih0I3LsJoR4WFKeDK
pK8VWbkE4OaaKjgnRCUsF+CwsIp18/hCGKNrhcx3Ajjv8IpmW/gzZ1XJ2YvKobt1EYCnlnaGOT8L
+EuIEa5+EmrOsq7xE86N9HAd0bN+tYS0x3C4hA9yWHL5QixQvKP7eib71uiucT7D8G2JQD3Zrxee
+hWJi1xmTs2eYupa5Mh7pC2nQ3GU7CnlM0bYmPxLMPcqW9FYuV8Xgbcts2uYd4ez8lG6/VmlWXg2
v05XjnCo00p5lJwO/Dr3PIy8fB1w+ow92G+aDdSXjc6vu3URiCdbuPkeW79uflpZgFNPteee6tK5
yIU6n9ZaCnmzOhnwajcQ6B9zbvb3WrzZisbCadiNH4pLvsdHHdXl3uPZQMfK6bNksNWacWjlomgL
Xdtinqltqeygd+suYeUj1Au0cl5K1tpSrRwxS9rjJcOCGE6/6E2IM0qsU2EhpiNko6Q/w2fAXlRm
7tZdAHA5Ln+V/8jMxMcrA3uR2dZ88oZkY0BfmrF4kAm3emDt9NozWWHG4GdiditSOLzYg6/i2SKa
XXcJ6EuvqXT5xie6a4I3imM2f26O5sTWK/68565HEIcRKjM1N87FsBeVrbt1EYCnNWTJYXlLL7kh
K5+4IS4ejXn4DZC9aSk+mOzkCezkXDte5kOvPcNSLvdnIzn6dFWwu3URsKdG7nJcHvgC73T8b647
vWWWXargSI8vpEli+jgXGvU181NI2853V7MXFeBuXQTgSWIZclYe7aLFMmhIy4U7ht4s6iVP8GP7
9DTxSgIODdOe8unscJxVpXzydX650ooclge+QDNfts69BvHSE4nzqZXDjI+61VrkiOeG3KmadnTF
cacjU+/FObxfV5ZWnqBkmezXSy+twD6cy75pdRS2bFiK3TzzyMKFew5JLCTwoN2eE8NhLyq/7tZF
+PXkVkdzYN7GC+SeQ2wuF+S0RxCXEbMRS1FeMYmLk9ANMmNRryQbUxmGWXeVWBNnKzrE7bqLIC7n
VTTiS5GhO3NtPtmr098oOde2b+bno8it81SHwQJaG/gG7S+2kLMXFeRuXQTkyV698Eoa5pjNxEnC
8N4WRsE1o1CzokfMvosk9TC6EPYyW/nRM1/A82mYo2+4BOAjCy8vboMzzBlaatzWX8NEtVpjvDVC
hvhtcX5jp25lDqluB63MshWNgft1EXi/3h7gjHu/V5VOzVl5f85Lb/+pSPq5NmNdpYd6DtnSlZOZ
GGHOk5wcLK1SR9GC4CLnOtCALpO2w7oI0JO9evl1lYz962tGERg/6RY80pg7mhi5AE7Qxiya8NjM
SB4xs6QE/HLjaIMsY8HlcmQGbfiU6tWROyK7CpLkWo/cYhMLFwpCBp6tfKH9xS5u65SFNLvuAhYu
x+Ude3nXeM0goD33VMBhgidCX+DQ8dpolJoIZ3SN08fMqKkwl8wKzbAXlYW7dRGAp7/GBzYWa+MF
vsZXvbtMUyEXWsk1HhtuClsMn9j4oiX1wlVv1EuDrjfoJnXd625dBOSpPTFyXN7Gy6WVhN85l6mT
ae0rkiwtMh/i3MPLHMoSptDOStmxF5Wpu3URuKdGb3JcHvcCfTu6G7kA7695bMPtX1XgLmQVk+it
Ii3H2BKtkGZKMdQuZC8qwN26CMBvHj9DNqJ5odGhPzLyl4/3H4UGpaxex1au3DM5D0m6/RuILLqM
aUDkb2EuQMkLcoO5oj1tWXTkMv0KsflJJ78PJ5VpwO5yDfVyXGW7nEW2ByPFHWEnWy+YmqHvNija
i24hVX3aM6v58m2z0D0Y3boIl5McTvLLTiF/eZAkU2ljM/kCSgILGW4nXKRBR/SFJvfM4nqFVHZL
sn9hJHLdBeesXBlQ0g403E8RoKcGFuOAssDAAtWnP7xoxvK491NR3KsdsrkPj6JsWwE4xXqox2E2
RBe5ngOcOJMnxDyZLVtRxRVu3SXwNtGSfTEWiDfUA7nwbpmagZEa/aC+X9NYPw0kIbps1pBVQVe/
EInQwMDZiwpwty4C8NQX46CqYQF/s/m0vfpZeqwLCyfzqUJyl7fYMIy18PxizVPUmY6j9NNjlP3S
sFbbr5t161T6VKi7dRGoJ9/l/LLTu7y81BCNMs7eUlNDPa30K/opEfw15PMz2UDiOmTl6vnxONmL
BnK/LgLyV7cPh0cV1eVwVD5Wf3X4KnrtVz/d/lYcDdk6a84fyhLU5VEbmW20laiNrwUZQxl7Jm80
vFetnRPua0CHTuG4LgL01PBNjssDX+B1znPJnnuqlUtndc+ABMFZBcnk1MjppCesa5oF41KzeLMV
Fd5uXQTeSY3VclQe7LIbq9fZnLsoEjTkYlYMPYL6gh88yftzi/NK46XWzSuCrlXOHTu/3DNNjstD
X6CdM3yey84p5sJGReW+NQpD6/CZRms15T2EKsz3wfUGeceu67vkMwwOIsLQkx27cV82bC8PcBqa
svXSm54s/DqvMUgFIZicWDjZN4q9DX3X9OHOvNNkLxrP7tdFAJ7YlDXqpC+3KWudLeVKMkaMnKQr
NZ55skEg75iaY25Ghp+te/FWrku5MlB7OSsfJVzLs3JEGp13TQ3fBHCy6DzCTN/lwpQfTlo2hH0O
eoMjb/1MNoa9aKxcPsOlADfHVfQ9jtSXNbQMgFdMttJXacZaJ0EbffakYpEWw9/PdOCxDyXYFwva
zFGVDPYKHaBcYPcMw8AOjTog2XWZf5rc4ctrurS422m0h1k4pLKQvWgA9+si7nCTHX2FvtvD1xdX
7+Tfh68/bT/c7u++e/GPu9uH7furm4fNw/b+xdWXvaRYXu2lcIBM3Lhk/2q3PXze3z2UlWOFVSAX
2vhyeug7oRGEL5hofYK2DDkz7Y5kmPDAd0sXNdjLm71o0BbR4Mv58tFzvMTLO6csYAen/4IGWoTc
JWseAt4TyPFdIEMz1xFBI4UOcLsuwrwT32RsUT5VuW8yPHC2aA35KKpiyMDRZ8VAXJB1oYoCORmd
lugN4dnD+Wb2ogLcrYsAPL2KIgfmIS+vigIPpHsYpcZr5FchKUH4z7IYBDa+rLoKNUXUICieB7NR
shcV5G5dBORJCVY5K492yQlW+ENwVn/Qf/eEtoj+mtnHihoJTZWdNFxOcMfUkYJYVBCKmhFJF0Uc
L3PZiwZ3vy4C9x82B8I0Tb/lcFQe9u8f76TdsrTGpyqvCuQCHhIIJpuKnrawkkLfowTyyMLyQgun
nNmLBnCeesd1MYCnafya4/KgFxi9nSiop3p2pmXoZyVwo9WNHEuQepHLnOABYfdBDdK5FhuusxcV
4G5dBODpl/kwGmDjtwIvcyDK5dSpmjH/hEYXrzRCKrktJgmYmql3KMMHspLwMmcvKsjdugjIUwN2
Oa6ibZyWlYyA8zxjMqpGy1saGEPAG+hMqoVIgKxPnIu1cfaiBPxiVTNzXGUDnpM/lHZ1Uqc15ILH
qtjEwiHvlmG4uiNLU4cyfMzK6gC36y5g4UNmybr0Am9xAMhl4S396i0c8A1tDvjuQd3opIBCipX+
NiGvYTCFrPs0TmdITtfw5NZFAP5mu9UE6bK3U1/+591vm8Kyq3m55VDkgYz9KJgbunIebDUTj+2s
nAddMErDvlx4LqdVuCd3Se3U8BzqSDqYWvJsldHmnj7AyaaTlyGzStuLjC0E4TkxnBLwi5XC2WLZ
gMPr5xxqKuDd9Yq4nMwqAqegOjCwnXhy3mNkLYQlVvx96MllLxrA/boIT/7D5o5SmMqbD2flzZtJ
s/fkqopLuaxzPsfoYoEBXEqk9KeGBTO+DDWKPYMOo7zQh+Sei87XyueYXReDeGLKRY7Lg15gsEaf
kT33VBNvr3lc05PKDb6WWfXgCmcwBQqTumcQBdSda7F4sxWNhVOqPq6LwDt19Gg8Qfx283H/abst
LGrL2tBG2wNNLWbaQIjcJ88xqZ0SuZOKE4L/APHK9qWdyeqfYxJ06yIQT024yGkVbeFoF+ez8KW0
mzdr5JmqLmQSpJ+tWbTkZDzr3NilsxeVibt1EYAnlcvkrDzaJZfLMDc3/pPu2Umu0YgsysnHqdGp
oTOlsIa9RPogwsQqW1HB7tZFwJ7q2YcaoE27lEtD1OVLqAv/t9zVNKnT1kTSbeLf0W+B2x/CMXT4
ZjkF2YsKd7cuBvdbKW1uVFOGNGmO4jea3DaH33kCHMq60utFRlMXShCZNsHB97MSTZKCFYG++YaI
hc7U+QjDVyUC8jQPb1IN1s6L9vCIoWa82Sl7Ux0nnpunD4WHDMTNn831wSjJYPgIF4J9FMaVDfsy
Y35dMud2HoXxsomHJ6Cjeo66D9OIdLxJtXkS0C11+fXarntuc5ez+kYCujpfqyN9b6TjSLZBBWKY
QGZwl0sfwgh46fow/cpeVDe7W/fsuI+6HAu3dx7WZ17ITxR7aK+pnqy9nuqMvTdATpMUQ2pzosp4
AiXu8XWWpOt9OSqylI17zjrqco0+OlXUNe3LkL4H9o4yG1n5c8qbBHs62O265zb3cSm1cNhBJ5e5
M4xCsoYZY3jfwjZXqmwtMrwE82vGUc31P7neK6Wbt+ueHfdvx82jcJ0Ld+GDEt2uBgZ4MnXVtNtV
mh/J5cAUjqS6ZPTsL7apePaisne3LgL39ObHgQ/FPuUKbH6ko8GefHqKjhQ7eVe0GBkf5/0eeHiu
7h7GzxVeXqYR7S+2kLMXFeRuXQTkSTf7oCNr0S7cxbtSSAbceZ9RMkff/MyUGqQhwu1LYDfX2E6H
uhL3+LHENNw5q2/kBUdCzZpdKu6G8o/RY8jAKLFD5Tqx94oGmo76OsxQg3aA/cXW3tmLCne3LsLe
k128OTAP/vf74tjfGB2zJ58OObQgK/pez3LGoMxKdA/shuTR3S0Wcvaigtyti4A8TU5dDsvD/WZz
+LAvKxOPRmI+uJkuJkcDB9gCB25OZtQwJTc9pXcIOGY5PdmKDm277tnRHqaw7I1ebPFFwutc77Ul
bRKiroqhzxTcoOdmrIVaLLpCMtMUWHhd6TB36yIwT7vMzVPEQl50EAdndi7cpdBKhxymDENMSPMI
GVhNQo6pdDRCqMO432sdO1tRmbpbFwF78l1uzss79yKfa+7kU+9yErGwCKD2clZLvaJjyvRNzva7
15UOcbcuAvE0QzcP0G/C0Hk2ZzR03mA9HL34+AVcEmHULhQzuADTXhX2xLIXlaW7dRG4J1u6OTBv
6TfbX3+9K66lQmaNst3qDCAuRGmFARdmUyegmyLrgkStUP8tZhS2ue5VoLt1EaAnGfswl/VNGHvt
SbPTfTxU3VRdWuyB1op12B5LRwWKoLRTzl/r7EWJ+4V6aeSsvJ0XHc1RAslp77zUaZWRsYfFIGh5
8nLD3mmm6BFkQJ21mbV35eVeX6iZZpAQ/zbsvclYbWP8QbgHqKgY0onAz6PtV3HvI8wwO50Mi5jO
3u265/bzclbfir37+ZMMfp5QviGeWyOcNSedJ0VY+WrQKUtw57o57PON+qwOd7vuuXEfa/IW7ech
fMnl53m1yzgy+XejwBI0z1XX6C9BIlWdmVlmKyrY3boI2JNjeXNe3uYLfLXDsZ4LcdS1eJpBSYBg
4oqC25S1HXWtP5p+YScqwN26CMBTxyDksDzcP2/vH678jywqF7+qqmwhXXcNXzONc0w2Arupno8G
YMTU6bA6m4yXvWig9+sioL/ZHDb3+4eNhoxiOCwP/N/vvxy2X4vCm96GjIn4Dq5P9Le5zqlBSqZ3
hDeGzox6g6QafTRzVzp70eAtn2FYF4G3t0sN4sNxecRLNnU+SzZTh3KG0oo00jDJJvLrIfRIrvHn
zLUPLO/jljm2okQ+/vGWjLz5Ptv3W8nIr6qcLRVQjvBsp+BqKNuntzstFYyrcBH0cELPUlToWirk
M0QbfZqTl8PyJv+jiGZeveWfZTn6Ph8vKDSR/DQys9RhzKt8Yu0QTFU83JZty5dC9JdsKGnfbqxW
mbtbF+Po97tPKhdvDsrj/XrDrCSDkrcPX8sCnMO35576WAdw8i9k2xHjEGklk9E4Sc4RyTUk7uDm
Gtok3WvRAs5eVIC7dRGAp7/a5MA88CW+2nIOO8EgxTCrpQ+btsqRj2XWhU65s8QkymEnevOi/Xrq
lT5mdS/5ShcOuFzWzoO9p3kKFm+q6FJkmbh3oRmjLZYhdjzCnGgHe1FZu1sXYe2p0MtxeVsvGnqG
k3JBjzoPD3XbKmnklkZPOFHnYZKdqRgz+hKOtrIXFfRuXQz06ptdDsqD/v3mt+3dl+ICORImueDm
2bZGpWHBk5yCKywloaVTg22WvOnlURf2ULEXFdxuXQzcm93nq5fbzbuPqnDOHJcHvWhLpzKeD/oW
0gKIJJlUb4WJKoQeNat22UttZvbJvtSFdHyGy93vo4DuZyhPbu8+FEcvuJLx3FxdNfD+ooHct9DP
zBo8tAWwlFjOWFoVJoka5Sgzn+FyqH8z2fh6JcFXLugxZ/TQyb/SOzNDO0cennLsOSpR2YrS1cfn
aVKDuiFU/RZSdHDGZHP15vVOpaXpF9IoJ0xjo6BOBluptyJff4aRir2ooHfrIm759Ne7HJi/50t8
vVc5A7t5NVUEmoReciHmPCPGRkVLhbRbF4F0qpHLKXmcy47nqmxG3l4L9xg90jLYOqOrSvFtXdE7
t15LF5Xx/5ObXTnSCm/lxW52OS4P/cv9V+GKHt4GZeVmIb7Od683MEjivxluaqQTeuLdAR6G4Q7+
cJ553PxhSFfpGqX5DJcD3rR/24u9aOBdMSQ1Kd9eI5BeU1Ot0PIZ0nCja12A57G1aizFqP3G2aQ8
8j5KZ3+5oqt0o5xa/LvN1U+b8l5wdcabnWor/bD2Dg+Ts6Bek7e3bJMB6rXyirfrLnDFy3GVjzoF
M3v4qbbeXePB1zTPcIkfq+gjW6+Q9OmZmqC9AqKyme549qKydbcuBvUkUlk5LI/5DR10Wyhl7395
PHwo7G7PJ5+Oi0c5naEHXu6U2hpjFid112EIasX8qynLhpNvTL+qYHfrYmBPzM/KcXngX6KrXaKL
h0Mil7H31+K+iePtrIuczwnqFaH8qsHQB5ndMKJjLyrU3boI1G8eP2Oeqoy8OSqP+M/bX+6LI4/m
is0Ft7zchF8K4jGmm/DgE7iJ41AHgXFsuZbeizkj13XT8BmGr0kE3KmPdjkuD3nJAfwqI48wJXbk
vMjIQkGDBEwAPCk7JLXx+6hGzBBXwESrsnO3LgL419u794evKjvn15yCDlXJ77f35cXuq5yxO6VU
OCXpmVnCIDlznYMzXTUwTwrBYNBGBb+JEvDjugjAU2aa2d8p4t9vt4dfb7e790WmaPL1S7a0x0EM
TXM81zrTq6GHX5KUIzl3TqiRR7wS98t5eDku7+HLlQLB9v7wZv/Tu3/+x4ft/g1x6sPt/u4/H7eH
rz9t7x93D0Z46Ql/dDWyxuV3L/6y2x9u329eXH3Z3z9sdq/277ffvRDqooxZYkSlalxQu1jAYj7H
qrDiRmqPkcaMKE2jfFDYdaPPzEd+82J8DNV3L1JjDTku/018s/m0vfpZmrYLe0Y22SLMjsEbmDTg
NDTJg4GA4ORBwTOS+jwa735Qa1IbaJT+x66LQP2HzeHh9k4XaMhRecRf73/ZXt3sH+/el4Z4xtww
JrykGkSlv1uZtqHRE3JxTV8+I1qSPzZaBdbludxwo8wN23URiKeElgNVry0IFBpaMg9rzz01Qdhf
U9rDgJnDQeevHwZST0ycnAHd+xVj1/yFOfJq9qIKMdy6CMBTcgbj6v4r/BPZB2kaKMzG5crN1dBD
dx69mxXdmRCjVHNRJcWh87263PQqyN26CMhT7/IhQrF2Xuxd3uVMGqAPjCjsmlYuQriw/lNTA14s
qjO0GWga6EC36y4AupyWv87f7P+5+bh5ePcRjem/HiAzvi/M5PtsZSDqARDUtmQPyCHMTmZAlbPo
2xb2cv5GSJrCwL0OfbvuAujLcXn0S60HMA2bz9GvWsbrmgbOcqpBM1kjOjfxBe0wlOGCSBfL9cqs
kV13CdAniaPdYfO1yKxRvslqskbMX5EUQj4WjqxASFT6OxpSww3ywrOyUwT4SmO/XMfueLa6WGMX
RftcUR3ENTBZC9+pyAeG9/uSGwCp+EFbcMbFr5VRnV13AWuX4yrfxRsp7zyo99eUAIXLGuYrSBKC
DE0FlQ7uncIBVKhzYtHsRWXrbl0U6vfv9qoEjTkpD/j/3375+PXwkcdbaaFcviI/oRyte0sGbddr
mckwFnHyYGfIFi+AFlV/hjFFWeMnSzB8UaIAT5u8G49blurcaZbP5dxp4yLbRmYOI6eda2AAPgEd
spSG59sKqjTqwYYEdfAvNpRjLzozt+siUE+exDAH5q39p1v0Z3673f5e1rONdvp8sK97mCygQiOW
E9oEuf3GsEN1xrQ9wf2sPjh70cFu110E9kExz+ZqypMdwjVmy8d2cCTAn7AQXZKOsq9pYz6BnAQ8
Tfk1z3mMnYZdkncjS5e9aCD36yIg//un7fbdR6olW82tPhyXt3P/0woz9Dpbcg5yU4J32nCPcoKm
EHmCOmEczOVCrCLdnDN6gnh/Der8tOO6CNTT/bscmMf97W5z91AgPxLUNdbo0qsvVNkosdItzU8l
ARc4eCSKSMSjXtLOKsKzSol7PGl9SvVleJBY127S8G83dxBn/vorPqQwe8/X0MWzjcmbBd17rmFr
crHT1elHMcJ2ikbZ0OXWRdj724362TZu5yr22dasskXwII73hs1WzB3Qp+kZInjRDYXb+sy0HXvR
Wbpd98yIm9jUGjrDtbstzZ8fN1+2hRVam1W2WE6sHNUpHusdpRVa+ALvThcv2nMEdIa13P1i92pb
qWK5ms8wfFeeGXMTpnwLmDc5I7ke6XcMHMpyimnTogvqcgRydNfQmE9zVe1KfA7zRhnJ2XURmKdH
cnJgPpIrUXMKvhJ39ulhHLc1KVbqqytDbRcYOqX3jmwdshSwZQS8prIXjXP36yJAh4j08AgfKf1t
wkj6Tv4tHagfaEb97sU/7m4ftu+vbh42D1InHzWSDkfl4X6zfUfkXphW7ElXfDrcyFDgz9dUU4jT
hibC8WuNfio0JBekb+rKl/GdjbfKu9yui4A73cZljMCDXuxrTcS6hxRJKu680nv0KIwYBZHaDB8O
nZOQWa9ajH0oxoxyM3XTKu9zu+4yuI+u9XJxz1ZaFdwhyYAKo61EVSiM3UUtllK7mcILc3Lgriut
unWXwX1UXC0X92zZme66J+cmbzKSqnROzcTv0JXTHk/bLI114YBl0yqzM3bdZXA3DaA2jC+06tLm
LLZROZVXWdPBl0EwH0Zz6DShP2OYT2fGK9mLJppjvOa47hKwmwPz13t5tGcowWSz9J5Blpbud9hR
Wmbm5FU2ycd10l/RrIXOfmaUWvaigdyvi4D8bQJNxnBYp3AfvsCAdfPlALEp8f7t/d48DA5fh+Gx
f9y8uPrT//qfk5m14D/cB//lAmNtjX8/pUd0wnQES8ZqBZG0eRFOcOe1TrM86gT2ezGN6JTtM208
FVKGSN5UEQv38HjjfIE8nXCiKTU8z2YC+dUCIk3ILdcr6Yd2fsY94DpdZyyfIToxlw67HJg3+T9/
2e92+xJ7Y2E6yIU8lKYQk+PiecehL9eGoTxCwsT6gzuYaaRhLxpHX7t1EY4+GXlzYB758u52SZPl
gtxQYPXU1qFCIvcmxjzx8fTFQlw9aFLMzD6wFxXkbl0E5Cl3+3BYHu6CKbBIkGaEnZnGNYE8NFjC
gxLAzmAElzpDjbbRZnK1d7oons9wSR8/StLdPDIIjeDU1TDnWFhcl6+LCjkSGXtBgALC2hm6AumX
JJnDm558HUUY963zF7wyU2e7r2JsXl9fHwtOfb95TyNWaTpj8GW4uCo1jl/T5l7TGXsy3DDx8Uuh
SaElmhm4mUyN7EXj4/26CLwhKqDUoivADOy8NoL/O/9nU5pxZ0vHinEzqbhAMxTRiX6uGXpNCZzu
mqEJ3uX/vXEr07HdcV0E2AnNM90oD3uzubv6s9BV35ZWcFs7r5pq3v01NJW4a4K3QQ00uMtpjpYG
eShvpKbufrFDfK28y+2650VcTsrHb2W6c5Jj2dw5ITsZddiEIKRlXn2gcBgVWEnLwEhOflbgnmmP
W6vcuXyGC8ZuA2Ojdeo/337ePH4uzK3T0JYvYKcvjowMJVYhnpFqyuQOZ7iFRino44e5VfuLrZGz
F80dTtr9uC7CyNOf5mO64gKf5u3CXajpfp3+iSXtUH5YLYC84xKHoJqJ5nBkla0oEY/vj8uA+Kie
XiTi2fJvlNLRkoKXFlCl9XnGyGmYaeE15fEmw+mhkSvzb4t4RsMMkI94xYqEnHxJtq4ZoIY8kNyb
SImEkKMIzlAjqkLz5KXYvtLKL1hjYZOnMVyJkC8zplzXEFB0qIzIsCpDDsFVDtpIzpCB5/1m/nyc
e6P2ooPcrrvIVS4H5sP2IiHP5thFK04m2GiHMQIiAeJIxS4XTK0bYehQEJYbQYn4Jf26CGoWjjju
N5dfZzaZggrdbUbkN+x0R1yKjom2Pj7T7C928fpSl4aB1H74qlzGyM19ZR9pRRp5tnc5Rg6tEFbO
tCq0rwEfdXWNTBxaM6049bl4fal7lsNXeEnETYWwaMTzBm8MmaL1PCsSxziL0ILiCbjuydYEmTfE
J5R+/ZLB2zBmXzDkvJese019lEMfBqY8z2ACRtV3Hfr1hWhKwU1ASYWeaOddrF9nLyrI3boIv/5G
Rz1Qm3PyNzjJ9dtfSptQ5LrNhbU4dLjCVsyoDHOnQdgmsqB138uLHc5nl/mxWLMXFdZuXQTW6c9x
OTAPeol3eJsNcjIwTCADOI1tYsChedcoglbk1mvpk5rJwLRKyO26i0AuB1Y45C73NevRJ625F+i7
ZcQhl9/hS0guv+9qm+0P/A7EJD05lTP91tR/lZlfu+4yX8LiM79CE53ruWh05HkQwl+znOu8hPmW
gcoWxlK8U1jTY6hOd9XYdReBfODVLjiSbPucV40UboTuYmFaMQIrXzFPh6r8cZhykgPslfeMXXcR
vOW0yr5n+mw5QLw6jAeoVS2XDMpSog/wbiTrSx6wIQ6f4T6gQKAzcbvuMpCXngTsFu7NNhtajIWq
mPEZ/4erHQJWD4+iMVUxIrmsF7CLNx0PCfMYnFRwoa2CVX5BGtAw0NrrxD4g2IsKcrcuAvK05mo5
LG/hBTdX0yJlTz8VdqRHV/TNtnTpMB41x4BA9EYxgJKfqA2E6X72ooLdrYuAXZ8jGKV8Qfz/bj5v
Yc4orcO27nKW9DqyANCYCFEhk1NhSY88ICK0tF0DetiqwVZUgLt1EYCn2fm4mlewnXPB5rJzGvFA
kyIt5flqQft0cKNLS2ZFr8Y8GynfQF1Pllv3/LBzWN+Ee6fumhF2VN6I02CcZhhuphUPl76E76hD
elpea/YXu1tdWc3lMwxe4vlhHwVxRVt7tludYK7Dg5+KBUyCOap/a/7HNOPsE72zldkzKQMTSW7e
vz9s7+9R7zT/FqFSt+75YZ9e7W+36MHd//J4+FDWPAU88NboUoM5MyAprfOkhYW3KLza21paMFGY
53VHkc/+YmfttdLJ23XPDvtA6GCzMiVbe02+/ox1CWHD+KX2r55uqxpWCzjrhqmo8G6nLsRY1QJd
uJl8XFfrZuDduudH3dQ2vgnUXV09i7GnTUPrRmngrL/Q1V6PpmkKNvY+33AFhV6mJ3isk4yd4zRa
Xq+X1AV7yBGk6zrMvrMX1fvNrYux9v3uk2Y8Eub0URAvNONwy78v7Ubn4s3m2tHxRB4I2jrq94HC
a4XoL8RmyEeY7EzYwkEUoELbrYtBO4HOCMoDE6V8E749Y/yOVoyI+pJ7r2CUNkYxGptjvoruXNq1
pJnDyxj4QE6XleNBcCnf/u3E739cWb18eZ+6a1b/Q154oLKXZODkHYnOcCPZybkmUfah9D3xTaJp
mcKxqEXBAQai7vkgF3HJuoMdb22IzwPMkR/m9Qh5rrmRwkfkSpkgtuue/cqRw/o2MoX5ZC3IHcCg
B+zwqZiHYgg7VQFkjc6ElVxYOmO3654f9W/lNcFUdT5jJzlMphA6e+FDFj7GiYPnv0sqsVub9LB7
vbpAwwpUnIl3zyYK7brnh/2biS+Fnv7MMT85Y0SzTtVUsGFS9ZlrHRWVA7hxjzrybgrBwd7o+jtQ
TrhQfDlw+dtnxavddnP4HUWEQ2FPyXzTADKwDbk19Hjc6xURW2jq8GshbAS90nxyWDkNwDjJpTAn
Evf3eqGYr6qc4Tu93/RoriHJpF9LEv4T974SxnNUbGBQm2NDZi+aW10+QzTmN5sDMnIPG03CaDgs
j7n9WaVZecYHm5R3uM0Z26Nfc4ZwR8iR8e1kcSkD+UjCe3YV4swIxiOe9mgbhhWL9+xZB0GQk4Yn
DemimmdbaOVU4yumPNcI0gpJog0jHOZ2oONMdHE2iLPrnj2IGw+BFOrZkQpzR59a/aEMUNNyvVqT
/zO13MCzCycDAjbNAHkYuOuEquQzRHv2NDsfsp6l2zndNdbcUjFvr9EYFGIGwvY51aLlNaR6FPiX
jWns82GEtXP2ornNodGO9+3qXk05J3+R/7g/PHy8+gv/vPrhK30dhV3oorh1xpk+8amGodOVjUD4
WYZ7cn9InBDIzbdrWqWxM9s579svVeUdq5OV69uzVX8EcgK4YyfmTNId4gYafKQ+NN+zpxSp6uy6
57/OR8WfUiHvV39c+XlaC8+S/Gu1gm+j4qlmfOFJwQ/XTrqG7rqjeolzL9a1sxeVa3frYjBXV/Xl
oLxvf73/XGJVv8tYYhFhiqaGXwVuhjkJaWnOJA+Pa58v73bKEotdF4N2UlVfDssj/mZz+FAY6THM
GLmucDJvEOn0NZE6j28jRTLJwiBbgXUTrM9z2LMXlXG7dc8Pt3lz2li9SLiztmNKjoVYXFQmcdVT
tOEzdxH8EJZZN075TYl0vBxR2qtsLEV0s/18e7ffbQsLz/PpU9BpT1W0pp+6r6BPksG8CdrMzYlC
uG/JniKubNB6ij5FmisfFdDKs21crguXUp/gPeOSsJVDb71ohWcnhFvEJJEfXCxMndz94qOBy140
Bu7XRbjy19vDHU2Te1VCfaIm+fKw33+6/+12V5qNY5a57m/eYxWasaTaKi7vMFxbXvPfgB0HsKSW
8t/cnUtz28a2tv+KypMz+aRD3IFTlUFI2Va27ViJc9nnTFSMxJAUKYLiTaJ+/fcsgA0QBBhDDVBV
vSfO3pZbBPvFuq/1rnypodLqPIsO6LA1vSIG13bO5aJyV+3P8Ywq6dlVfzOYmabVW6yPsy84CMWI
k1OnQF7S6rjneOZQbMhy2YpBmkCzPq7O1RDzhnY86eVTHpupdrzNAJxBeFoZYSyvno8VnB0IFMNq
omP6JbRkPDt3esQLQbipiGetKE1NuURlDLlDc4xrxrrgZMRoL+Vi0xDHGDzG3k4ZMZU5UVqdzihN
xOsTYjaU8aTHQ8m4eZ4bxcwWcy6k1yAoYgKSmAxu27JKp5M59eHLQzM8iB7W6tzJpbtIX5S9N9f9
xcQwM55b0+YiTgqN8miIjAuVcdlbDyw74p1gcQzc15n7kEl4qJl3UedOj3oh72Iw6mFerWyKOu46
7Q7sJCDrVrVzyrpgMzB0B7bwoIQVOwt4Fi1hz87VgV3bXS/OLFyuZ3eDgWkSnklaU6yF6IDeNlJt
6YhKkqooGHFmVyx0AH/KOGQWE+Yirumov4KoLBPLXryerbbvzm7lv4vtr4MhayR/ePf7bLwa3J19
W9Gfunx3No+Xq/60FwstF4wKwuqWh2c/ze7G7BH8Nb6dLE3cAE5qRPlRTbFHzqmhQF9BkcQL6Xs6
sOhMwpJPh6COPxLw1Qcr7HkWPTlX504q53JROe5mTsKGbWbeOpZL8o1+pnQIpQJtpp1ZQUY+tqqx
kWfRRPstkjByUeaj3dpcCrKdDCgwlOJQBy3RVYlssyUUcntfMm7luWe6YTTR3p07rWwfpNQNnHJ3
2dGqFGpTTR5ckEqnUR3SGoYTqJAeyDa7KaIOU4mo8mSBYPaa7TS5PIsO2vm5Gmir1nKtrHpyWbl8
/zGYjW8N89oYFGgLb5FuelfJvSSZF+swLqsh3XpeG98hfU9q4H2t7aGndLl52sVA6YaIA1DSSmVT
6QZt6MBtm9EiqqA0mR1It6AdwD0Lh0XlEIo8i4505+dOi3byfUxHu8VEOmjCMgkpQNrNUkabDmYZ
QwOfyui7o5dIJ8nzFrJdSKIb6pW3RyYbXsj4sA0REctnLLpSD9C2aWUN2UASUUer9so12WRZc/MG
aBeZZE1Fu81GNtkKCeWQ79J0noQshWQLWVa2TZEHkzGk3IJkAbcmhywz6m8BdiGXairYraVXqI9J
vzG8U15lqwstyRDC08aa+nA5JXmOtmZ6xXpFL5u2k2b9J6RX8nxmUydN0IZpimjbo63BL/efM0vK
qkgYqZIlH1nol4OtFYGxj/AtsityT3n0Zapotxl/uZbtR5CLQSGGPj+w2njkNKh7ycR4uSoG8Zie
O67OndQdLy72NRTq9vYCSoGEvnPXo5cpaWMoQf2d2WA60vXQVudOinZxH2C3v1jFT2YVw2gPbivQ
Di4oZvpeRJYj0dOHzrh14XXoZKShLWlhyiuumRK3NQNtda4G1lfj4UgoPdnCoVENS24r1+Q/buLZ
mXktDpSe28OcX0ZPara4tyTfVD1hBxByp4plHhzWlO63CLblmnKwu/2/lmbC7bTZxYRlZvyzA6ik
zJIL2gvBZE4QKg6HVe6kYCp7GzTVufMW8bZc1D7gBqpzobNtJ28aXDA+xERJJDsyccbKPjlLHtj2
K+1NWPfyaqZQk/s3O1dHnfcX9J/o6fIi8283fpqOZ8Ozj4uBaZ3n9AW3BzrdiXDzQPGd9JaXQScC
s1jsEflwAiDq6oMzG+5oeufqXA3Q9UsjclF7Ar7o300HNMSMl3HiDSy2advL79/eCU3CAXVu6S/Y
inDwT95geS4NR+rO2wi6GTKAeQtQWeBwmFBLOtVCFm7uGljKUbdm0znf4Q0SasUNqn8yUbKYmga2
0xrYpMoZKnHhzaXdVPJmJU/NZ4aIdLnnumz0rmhpcDR9NXXutJJd8NUuZXxoDnuLWbJNRqQt2ZbF
iqzLpMhl0XCeTKMVBkOtC3qZyJ2yyYEVyhVw8yxarnl2rgbcV4PZ3WKrZb2Tq8pV+YfB9K5vFtgU
pNoCW7KnbNJyOzQjVk0PMSHo0YNKncyvBptn0QI7O1cD7AZWO2nIUSXu9/3hdHAmmTXD8HZbLIQx
FYTHjb4m8i5vTQVv2cshw6I48BUpVFdvsABurzew23JPe5KdcHAN+nfGwZ25S839NAIt4WPZjfmX
o24aU6HW7dhuJIQtWQiYOeWK5PxIZHiMhAsP/y3wTvxOJd4fFvSfzxn7/ts08c6uvSneuGqMC1gs
0rNZqZasVzmw3b4URUObFSyVhJrwquqpc3XupOo83Quo8L7qww5h4k5ken9btN/MBLEcV9iY0Njl
QCzx4SpXZfIYmli/YtWOdplb7ijX5Sr5buAGbBqA20Ib19yXLfewoVt+BRM6SdRAWNgiMm8y5Z/p
FaXOeRYtyLNzNcRbm0dT7ilH3FQGTfgu24I7vLBBGT5sFyfcTWlGCylzUqsOI2RWEpWX2ZF5FC20
s3M10P66vB3EUy0KdAhfkySh0uc/CX/HLXt5mS0zUM6Z12sPeGHZoquF6ncQJsvUD8y4NCay8syj
9SXV+ql/puScZ9FDXp2rgbx+VCYXlQu6xGNnP07/XgzuDPPbvNbCMpkIdC2WGQC3TPIntq8g6r5N
kzlRWcLTU5Fi8zTjMnXutIAX4rIE8Kv+w3i6is1i6nEhYmhPxpnfZ8aTbYlOUhIRmdiD3KYnwu/A
jQ8X4s6VL8i4PIuOjOfnakDeG68Wa62Gh/SqcinvLbYyHHz265hkumlyTsb7SPz7Sk5smposCbwA
vnKVjXXBrmu22MD6UD31TcpGB3QnO1cD9AaKPSkN5PY8mfhOxP094Ccz4kYVzPLW4KaBOcBjypkd
Qc2HNLWV4zRAl1yM20my6lmCN7fomsGa9xbBWsoeqYD/uT+9XQyWK9PEvLU4LbhIJvtJsSa9LqXl
dNaFLVIOdRPMXFV7Tai3aYp5/fKoCqm11DsKpRCtfY4XY+PKKF4mZS2IN8TXFo1qDn+UOZpoYGQG
GM4eWl6olpcDc+bJNAF/BSWXdi5GLio35YlC/7M/FcoPo9R5m4uL6HwgwYJvFiTcXAfOm/ShBy7b
zz2Arep1UfuHjrgVR9Pq6txJzXhxZ9GX9fSvwWKxNQtsnOu2nDb/gnQae0YhzqUynvSiHnjqHTeU
QjmjwsmMifpgZbt5Fi3hzs7VQLs36i+m8Wql19GW3FYu4dfrGVvtPsYL41S63+IUmdNhjUFEfi0t
hpZEHJJ0BoEZD6dCThB3iHroa06RqXM1UG9ow+W2ctQTvX497d+OTUvE5JffgiGHN5PYDNctAt/E
8BWicuYQ+PnxGSPNrUUsSUp1RA3U9QO0tD6k/HQzNXvotxiOswqeHDr019LTVNGUzk5KZkghBPDB
vGIu2NcMx9W5GmhfNWhUlqvKBfzrrG+WEU/4q4+4SK/OvECaSO6FggollbA8YUQYJg1Q9pHtojyK
lg3PztVAuoFcF4KxJMd29mt/djsyDO82V9fQkcqkP4JLH2NVo5NLXxsz/7AwOpXt6JqrayjX1Fbk
Dc233FYu3d8Gfy0YQzAKcTchP2xHwkMmiERTgzqEPbS5lRw2kGZxFVPD6YDwgcMmz6Ij4vm5GiKe
+Fga84PpReVgU2Rf/rVemIU2BNaZl9zcUfOgyGWTrOcmNMgVaDNrRlwD8X01W0+wc7iOvH1HQ3B1
rgbaTUx3OlOhXLU/++vb0Xpqmv1ujwWdCmkHhQ2P3q7boSzdHpTYUO0JL34FXy6UyTrSzdqEt5gf
LJKgm7vKBB9LqdWmEi41cel+UJFYYuz2QjFZXmMRZB+dEFZc5q8VcHWuhoDre2xyT7k6NxZw8mGt
JdFpXiXT4sCWK5SaFSRNAR3plmwPry6I8yg6Ei5fobbH1oQRO72rHPTf+os5nU7f5uK2mZZLlwjq
iGC9MjITlsWGS6o0E23hW9A1paFmZseNXVIVCp17a4gzJmznqr1sy+H4KXSxpx+sEuo8i46kY8t3
506r2gtJF2NVOzMjrbWp08mazAJbaTBekWijthLA/pIXzA8QjzTbH9S5kyIuF5XrdUNHSClhtSXg
dLuwqSiQsli6vqIk4HQ0+2yCT6eOKvh8Iq3eNl7Z3bnTwl1oWza1HA6PbVt4+xdwPpBxYUi0ckUV
5XDamkL6maWkUlEr41m0FHp2rgbe+nMJ3FMu3T8zVTg6M3U6gQa09kBnZQXpcssnLGcihV9cKIsL
Ozbtbuy4ObLFhGfRBL3+pgN90JOvo9y2Xn8uhfVFf2pUepW6dGtOGzIuXOdMHnWsRNZLcJN19V2H
5cIwaCe74osmnGfRhLu+06YPd8FnM1e6WzPhjJqxyIR0ububLCzBHVmBrJPeNTllakX56DROaMJd
34Trw12w4ObC3VruRSw4Q350OcnAOGXSMtw0KEMcYKWDhxVwayVf0FD1ky/6cCdtHIYrc5fFf23Z
7ugCsj2xDhaMmiFtjAdw28RrrAyncuJU763hWXSkW75Deq6Gw/alv0gmAV/PtpleVe6zfQV6w0on
UXurDmRq2OHi2TlFsSwJ8w4dNZd94aw46VSTAvAsOmA72bkaYGvLdnHTgbGOmtVa3QS42Q4txbId
a8+BbDMkLlU0x0/626qCMbW04Ei271hlFNtQW7b14S7UTYy13ELif+R6X5k+B27WCsKKHkDpw3RR
OQxjrWAHX44dg+ozMx9NLSw48ijHka6vxfWRTkr6ymibi3SLWRYpfwsjusyEJxHWgR4Xkj76lWHP
TchAynBrZllesepAH+5ClsVQuImHWtPj4QXcDgz4sz5Q6BWF8+0Abte22GAUQOBWxcMnz6JjtvNz
Ncx2A/qH9K5yJ+3TGOaHhwfTdkLTF6zkrGnHA6qcJXMEWLL5wCoTbcpOKloVyZvbLvttymlznkUH
cRy1N8iopZZJ6XNzHbXMijaHG+bFiE4HGJMpfAWJvSs0uEQsv+iEIC0/LtNkc1YT7jfIqBXXmZgL
d2s1UFIs0n4qaTX6UB2vDHfISHDS5HbMW9OrgWI+3sAvL5RADTXfKEIyIUec4Vf75YHY5sBjDRnr
xpKEY0G4Q9lXxb5vJn+gZ8u8xNw31xs44Cu8AdpJwkjpcsNLYnZrLpt/EQh/g4dbVumhk1bzHSvg
fUjGjYQXIH3ZMtBtLZeNRZZvEHrLPeXuWje+ZUR0wUKcgWE1MbvF2BvuVKY/wxDSXHHJDlx0+wJu
Rrh2KYujC+hKLuOtlUYF7zcIwOWe9vGeDAbTcd80sNv0zql4oV7dkMbkqjFwuptIwjA7Wt2BHtma
3rk6VyMe0w6/7SRvpDQ67tpqvDEO6xarny4jBHDckyRNBsQOBJve84iVsXA0dVgaW7GtCAOg55qr
cyfFulD9hJppsIgNE+tclTaPwkiastqCWndC1lF21CKb1aKScKsg8ogcTYOtzp0SZ7mkXIHnPvlZ
d9A3bTQUCg5lPJsjznggaw+yDuOScPuM+FMg3RF+ZFol89IczUBMnTsp6IVA7PNgxNrCsx+Fj8s0
Ec/uvSngAXkznyo3O3s97HdUrnbTay4jJ9jvhE9VvWk54Jra3Knfy9KQwEWSgbmsX8vqg+w3GgZ8
zo7VFHiYeyh5k0uFRzlxykqSTveiDQ/xrvBdDsIVrf2RnMDRApk6V0PSP07ZUKFHwhYVCfGv+9OH
O3i5jMIbsWwt5xJe0G1K4xnbbBKqprIth16XammgGpEPBF2eRcdty8/VwFt/BFwuKpfxq/hpsD0b
z85Wo8HZ1Xg6NUvBu9DequtvKueMl6DWYUOnZ0k4uA5TqzYrqyzWHfjMi1bx4suzaOGenauB+3V/
eRvrbKxKbyoH/jM5l7Ov/5UsMjILc1nn3RbmpNNlKR2VEfgeHN9BdxfKo5J7oe/BgaUvzbCqD86M
uqtZPVHnamCuHY6nS/ZUON6NDcy9SOu/uvOmAh5dWFGA7obqwQ0inPMS2BKddZhA4U2oyKbLs2gJ
eHauBthN+hXlqnIJN69fkRC6NW3u03wKD7IbBr6Y87Dc0UQwTrzODgQ6VKmhqLdsJ9nyLFpgZ+dq
gN2Lp9PxYKGlz5O7ytH+uT83jkuVkR91601l24e3x6bdGF5c1kqmtMJ7hTKaHmBno8+F1gfMR574
yfS4JiU6XyF9S+qg3ZBdk8vK8TaWXTNqb28VoMPUREkkKYWz0Kik0G0IVek+5w8o1HLlkqGuubyK
7/BWqBc3WKXEmqal1NtbZkQsjh/m0YcOEZ8wMpUQh4MxkHB9Z8OVfskR10zCqC1Ip5fz4j4js5Mw
mVVtrt8ZEevA8RFCDiTFkhLwHX6QlVIqutpcLXOOtag/WpTlynQMunxSQcGbnH2T1RRHsl2v7IAh
7SqE95YMlxB7HyZjaIawmCbzycrKW1GBu6fZrqzOnV7g0z0eKkwzWuC91grl4E62NWIdPCMH1FnK
th1pZ1iEOUOS8nRHqBcu0/SeZqFcnXsD4AvlcqOBb3MrAnU1ZgrZhHGETtm1mSdmLYpvWRKml4BX
6w2OKKCj6XZ1rgbwzThXWcm1r+n/GMzWpqXg/NbS7f4FmTdKJ2DesSO7VFdj0oyGGJd8rC05mwon
XpNUmaaM2k68dgpO7ikP2vLquVnVFQohSsqaO3KobXpiHAZOZBj8MOMqu+Nl20mICgg8Bs7UB+/0
OsydWhnX/FwN8W6Ul5G7yiE3Mi/TXs6VBDs5uI4lTW8wQViHZtwiAb/X61rhv+nlXIU46vTSXUy4
Gtwm0R5lugwokJLZTRcmzU6FigqAM9Hto+nT+aPMYcz8NkV9/lrzrc7VkG9tdV4kSzcWcEZEWmtf
Zk0dnQ8A6mC+EfFyVQXSvt16m9LwsDxIKqavQzs/VwPtL/0ZayO1dhqlF5Vr8+6CNouZaRtn6S3P
zGhz+43kQpHHZGHIdjKfX1yQbwJy4dalko6dh1o567/K5FsxI78OcfkOtRV6w0RMkVbZ6LhM5gGP
XPQrEzEodhpexBVPKyhlx43xQvYSItEJtXKFYtcSdSz5G4wppHOTKgdjrGLnslr01ANfqDXpaw79
kJr5gaRb9MPkbnpJtcuj6Kj2/FwN1X41mN0ttnrpVrmpXLN/7tPQPDWs7Q2l2Fp3hJRWqJR1qI7K
6jKhkjlQ7HQyW54MI4YsOSmvseJZ9PBW52rg3VSxF/IuppZQZbN3W1pdlgw78G6yoOxIAxSrTxgd
h9hJkjPlNgmeRQd1+Q61zfm3/qK/jFkmqbPzJrmsXM7V7zIqAYOct1lQYUYFz81Be6c0uodybklq
hj+kwFoRkYeaFRV17g3kPHFOlDU3Vc4ddg+1JecSljOLxoRCwgIhbnkB9YRnl1UojB4fmV6ItORc
vkNtOdcOy+WechE3liYiajFKQ3ppYLfofpMk6qGzLiQwUj7DVce9rqqeRZojaepcDSHXhzvxTZR4
Gwq3a+cuVNOgHCvOGkIW3zhZo1NBum04gTqk0wnQpBWypNPlWfSsuDpXA+5GaRi5q1zCTU3DRFlQ
3BRx9DlVM3LnbKWsmiOnasasgrDx0nxcSRoQaZbH1bkaiOsLeBJrKgE3tmrWJvuqDdG9DSs6Xa5C
BVEy3xB6wRzg7YpmmbeYVc302Fdls3Ft892oalZkYDWwakaBMbv15tJNWwu/j0YIm8XS8osL+lxq
4mh0ooKkr7WUZJVn0dLn2bka0t0I7vQrKQk3E+4Wlbnl4aXB3LULukpwM5vEngy1CCdzEzPp1luC
wWtSn7KvGdwFhW4m3FmHWQvSjXdObpW8SzUnJ8WTjoyYVg8rAJuet5adO7l0F7w1M+FuscGJFBQJ
dFpUmVDxwnILBFOnrrAvCz9rmUobuPXmibNzJ4e70ORkJtxZnbK5dNtk0ZlIYdSwakQh6WcLI9iV
vQ59raXGVeDWGlHIz50c7iR5ZLbtbnEwwXapcqOtsd5lPi9pZ8MzJxWDiEPRmr1muenWmksA7VfM
JTQZM0z56ExGm7CprTQqiRbK23Sjg7mLB37omJNoIb3i80dKnp5FBApunkXLMc/O1RDuZomWQlXU
zEQLUWt28c3VOetrIl/VwNM81N5kqSwQ77C9jo43dhOWKVjlWbQQz87VQLyRb54mh00WcCrSbQk4
68PDyLVdj2Qqq2Q7iakrwE1xHLc8lP1WFdUxrLqe9c7O1YC7EV++3FWeSTWTLx+hatM9h22Xyjb2
22FK+LB/0WITDpkYOl0C4U+vsOCKK/lIn9WReRP5Dm+UWjPePWfoty0BDy5oT5RNVrQ1gXs6n7En
4J0LqqRSIA8ghyC1njmKyoLzLFr6PDtXQ8C/rS7OPq9vx3o9q8lt5SKe9C9+W6W/0Ki2B0b/WiyA
07Yq1W04/JIaeCnHBgGrDaO+C91PZRRuaxXA5Tu8jZjLXeWoGxmFC//SES366m5VeJtknzCjBolH
uyfiEoFj5THxlnS0STEl/VAl4nA+aYl4dq6GiGvWxli5xuPmMHfj2ZjGqG/zxXg2XBom3U6LGXRW
YaDPKYDjmyUF7sOCCak32F+I1Ct2mHGrWtXQ/NxJES8kz81GvLVI3L8AcSCVZShVdKySeAlh3rZY
WMkwQtmOM3WmKeS7cyeFvBiFGy3krbluAjndStA7weVUKeQsxZF2p5wO6FCv67luuIm1Tbi+Xi/U
TMyW8tbCcY82FloaopCcOluuOuXgTIJwG0ZmCHpFtZdNuV44TihYG/JG2RfpxcrNeW8UT+JpvISp
0TBb3t7KQu8iIjAL4HmqJtq2iOB2pH1Jvv1AxjX3FeIMvg3gclE54F9vR/HcPLBbnCqTkCyKZCfp
bhvhgeMmaRmoHBN2n3y4KXPVXa2hMnol6w+VNZJvN1FZKrv608NDPIFc2zjpbs1vQ7olJiOhzthw
ZJXzq6TT0eQk1I/UyxRx7pE48Wi2TZ2r4bY1A7zgukHnemvWWhTIlFpLuoQX9DUxRUL+tHIXKWQA
doQSh7sr4VovJdt4Fi0nPTtXA+2vrB8b6mXakqvaU+b9yRRabbMsN9Ur5TQ1rZWRW42ItLIsWmLp
9hIvMKjTjOw4Pom2qlXiNLhqTR3k52rA3aw6WjDehlZHbXGjj6jPV6bZkvFB16Hq5agou2C+QZwu
JNqSs0xc0VvjUbTkOzt3csAL5ttYwLMUZ3MRF7PNRmEmgXdbbg4Ah7mtyBJwiLhebhWvoLZ/3kzE
i/lVIwk/UIiZKW0BcZJoPml0VtUxK5wIREGpE6jRju6mfB9lF51n0ZTx+h1OzRDnrnIjbqqMy8B+
a0qdySGhzmaGsHJ40KFhlaWGvudRVMs3LamgDPIAPcTVuVNr9ZTcQAVlxiLephmnauJZdDGSZKsi
Uodzs4NfR2G0RPRBgK5pxNW5k8P9H2HErdZicLw2CiOMDpFokyaHpD+kqNJ3AVlFgo1kq6Zw16+b
NFLnck+5Ou9Boz14MSwkE5rEtnQ5I4OBBTsbpfCKdhf7IsB6Q+hC6bSyfZGRJE2469dMmsFdqJv8
OJv1z2SHTt80yFtraJNhcGJs+tGPzf5LSgaGjyNUD+hzvXmT7NzJ9XmhoS0z3wZupJXAuS1RJ9kG
RT558t2sQeLV7ml12l7obLPw6XZtEOqDldvGs2iJenauBu76ewuLLPlfZA/eajUwTcpbDMs8WUCc
eGulDifSLiw6gtpDQjMqpFmfjYKaWXEtqLNzNaBuptULMdl1f7EYL0eGgW23GJGRR2f7BSE4lTKI
XcTD2RNtxk5oaPWZPNnxvRyKtm1rRmTq3KnxlrvKnTbZQTtYrQwrnEDNoO69edJFDDTT/ZYHmzJ9
52XAybjQ+GALhVdFSGZrhmTq3MnxLoRk7yFeNI5VV3ZMtYU35IvsJ2M8EJVO2iUqC7gDRx8k6kLI
CYkXPz9Iq9p6tpvvkBqCGoAr6jw9Gj65rFzC38+G08FTHJtWLLOzm28u4gyEw/LhdHDX0d2JAizo
dHYkkJJJVo6zA6eMuF5nE8uU3grx5C1WWbbPGKy/4v7q7NNga5ghd1oriFMhdaiGE5NTRanaZuVR
KSc68wjZKzhWMQl69fDs3MnFXO4qF3OlMkwDvEXPDbomKFah4YL6IfHEDz03uHYhV93x8GUWJfPU
HU3PTZ07PeIF181UxFt03Yi5KJfhjVcOGhGbiQcPTzpk6ZWm3NH03dS50yNecN5MRbzFhBseGzNl
LKP1mNOvis7gd7Ig5Es31VXIuGbCzak/QapQ0nPenELGTf0uw7R6ey3KwQULTahyOgRpdsVWo6Tt
BSr1gLVljpfU0w7cddVtfCTLf6yLEa6RN3Leim3KpiLeolZHoXvsn/Pw0OBeSUayCt46/C7MkNPS
yrBRVdlMNRy/GvGdNTi5Vi92KhuKuNeiqw7jXocKKUwvnbDMwShUL7wHHduF7oUfZy5j5rl5mr66
OlcD8UY5Vrmr8TJOSPUX2158N/jh3e/f3kkL4H/fPv/PcBB/jm/7q3E8K/3FsvQ3v6wHi+2vg+V6
ukqU197p7/3orPBFrR/efZjGi/Fd/93ZPF6u+tP0yVC1XnbHbQTfMCKTSIHbAZaupIZYEGdhUw1I
oicsPzmdTA6uplvu1VfgzcAteOVftv3JhP0J45VpsbefJT6aY06Bkk41GyeNxEqUtAnsYU59jAkU
KmgsHmbRUUXRxNfsfFDnCu85r/nnd8VX3/7h3eXgW7yK9Zw0uao89P5xcdu/M60MTg+SynM1hTu8
QG9DhYHWSJpZDuG2L+hc8wLWDQnYyaLCoo/Gs2jVyLJzNeBGIBfrpRbcyVXlcP802wwWs8FyaZhO
l8XeR1yiV/eiSwcquTM2WJBPcQ9z6CLfall4RTrV1+xzUedqoN1IuIttLiYKNxFye1iLLqcLnYWT
oXBgH9THUl0e2RTBFQVIUbh5Fi3hzs6dGu5C7txIXU441B7c9J7DlwpnFuNiELscwC3rTGyakmWa
rLqLzdfsd1DnTg13od3BTLjbWzUZXDB+T5GEuSJ415wk27jnqJFdoWcVoDskUtP+9APhVhsjjxiW
o9kVda4G2io+1rLdbMncd9V+Zuj/YWya5Q6yrqKmrlqKN7ODUbqULAldioD7ogCgeqkeCrYDPfqe
7NzpAU8SRqoWaijgqN0jEvV6V82lQuKkhOhVVTFccw/W5N2kaDljrrdblK2D9ZvQG0p4IRgzFPB/
9tcOkkTfS/P8Q3KoGAb/QwaovXWn0iUdsdCY1bZh5EMnVHIp2InJUkyHFGB1ek+tLT0iEkeNjDpX
Q+c0ygDJXeXxYdYlbVh8mFP6NLcyyaJ6OqTZa1yJuORxYXv2KdVJ1KC0XZbzUxvIX434G+X8invL
jUW8Rb+ig0/BvvojGT8cSQYdIYILmHmoqtmEmm6FOldDxJtZmVRtKbfij8FsfDswTcBb9CpYqMEw
AkyQsDXTXFFS6TRIg3PgQv9T2TUbaiZ41bnT413wKkzEG5p8pVebKvTwwoYO8DgfILNtHWq1gVqj
lH2wUug8i1YSKDtXA+9rGVTRChKTm8oNeELj/Ov4dmRc+2Sb5N3kdj2ohNJYsCzgUqul30IGHasV
umaSV3F+1wC8oUIvpHl/Znh1dCbIm6bU20z9sVRDltsynS66vaTUgdtyYYGECzZtsEzdMyXk9NFq
CXl27vSYF5J/xmIuBdUjnvEr0wMyDeEz/BJIUleookqYO3BDiq++o/hWH5xhHmkacnXu5Jin1Wfl
uBk6DYHXrG6+qS2PLnDIkOLI9XwIfFOCjkIKkAU7FF9ovqrutuFZtMQ8O1cDcpkrj2daxjy5qtyY
dwdMPG3Ggyez9DrRUnuAS8jFKDIbyZ1KDgo23EaMJ/lOJWM7j6KHtzp3YrzlpnK8v42nlOfNpOkn
5d4W6PRk0BXLUNNRxc56zIy4oFyk51H0QFfnaoDepCVDbioHvbfYSvva2a9jsDdM0PN2xuaanTZp
dHcA5W6ynaFkzKnrUuVjJa7qrC06cNTw9UBX52qA3kSzy1XloF+uZzOUezwzDfDWsm7hhbThkGJl
yCVJtJYAZzkiKmC3/LicZ6XpUhPw3blTA57UCpTvZirgYZYOaUPCZZMO0p2mzkuA07hB6c0ngutQ
ccmqSspdJyWvB7g6d2LA5apyCf8K8n3DpNvNihlNwQ4vGGqBnZ88K0NuTEKUwCZIJ2pTaGe+Qwa2
q5eDoVaXviQ1wG5iw+WqcrCv4od42V8uDQMcerf2fDY64SGDJItKx7xV2o9IlhUWyA77WI4kYHgW
LenOztUAvEGWVW5qH+8pkwdb08Q7U6ktiHdkocy90EkWMiSmrhCHE5VRPEnZ4io8dFevr5JC3NtI
d5JLUrbbUOl23UyrNsWbvAubZ0OW1SPDdE6XU22s12IXgxtEEaFb3tKZq3PNkMzdnash3Z8Hm61e
1kUuKhfunyAdMa3Nzm1voo3oW3ab0lIJBQULzEuWG3Y4+GUkFmPHcYVfrgbTjmR5j3W88BXeRLbl
pvbBNnIgwm2TEDCkYRK0GUAWTX1APIGzTu2UMA11wrSb8hcywdZkA+QLvA3aBafc0PEX+pDUvTfV
5ITdDL1Els9yLLalVfTIQyDH0ARzzNL8VKaQ4q+1/LTsXA1N3sQxl6vKxbs7QLyn27Or8XS6NMxd
a2+mUUAXdn7G2LwOI42JTBTcNXkTGGp0I3ohKoaUGV7WBL1+I20j0AsNLyaD3t54RHRB9ow9O/hs
DlXS0vAT0zDoAFHqFT1trppxeK0RV+dqSHmTbGpxMsLEXEt7DU445yBJPZTpVFua1ko2nF0r+2Pq
ypZkNlyzwclV504NdsGGGwl2a/YbqRZuEeJuyyfFVmG/oQgTPgrZzSHrs8pga9pvNTxzarAL9ttI
sFvLoiLZIbOM5El3hrtCsmXrLVNusAEytVwGWzOLGtTPojZS44UsqpFgt8YPhmSzHIkQa+eDlZ00
sdQMO9LiRkK9Cmw9fjDGJ2uHYo3ALrCDmQh2e3NF4pwFwLgbVyxjjeCTQSV/ytpbLy+zZyZbjQe9
1j9T506sxYtTRUZinVnOpiE3WDOiKBT8cO2zorzcmyrkcBRP3CPbySFt14u+1LlTg12ojRgJdmv+
GaE2Q+mUPFmAtBsIPEioMZ7Mu+AnbcoVnH8kXTTBrt/W8G39sKLPLKH0ooh1G69nK6HlGtK3CLnX
bLwa3J19W/VXg+Uhu9ZuBFKVRr4+/x0v7gxLrISt2WzK3CF8/gyIp6NEie9aSKyQPWV1Ept2cM/K
Sw/dUNNkq3M1JLtJXkVuKk+mmVoHy1tJmqtydg8jAn7YgWgkia4K0m0h/XQzuWpRfaZWcrutWfgM
6xc+m/hoclU54Eb3o7bX2yAJFqHstH16jHHJKrw1CH3pWtrRsfPz1C3LUNfsbSBP/yaeebG5Aevw
MFj8PR5MTVPsEa7VEYf4lbMlQM6qeY+JIfgnmBJLCsQFxU6zGq1NVMRFH1QEY5EePTf52LeBPPFC
lRk3FnIIX9qCPGTtPLbaZzNayidSSrZ4EM9YBOB+WigtyjhPouW3ZedqmPIruPv6szvNQVG5qj3d
Pl+MZ8OkMGaW+8Y+s/Ygl7WXTqA8tAr3jcFhm9K3D8VUxQpjnkUT9Popl4agFzy4b8aCLhOd7ah2
5sHZYeoJORi5VXJuJTmXXadST8GxR9RL1tz39FR7dq6GpDfoVExnX5Vm/3nwlEwGM15i3kw4SZP2
UGfk2wMCes+FqLsEumf59K7tFluXOxZ5FD1JV+dqgN5M0uWu/hPUe3sb6rHoklfzOvjuyQ76MugR
1L7sPE4qZVWg6yXeYByt7cQ1BL2QejNXvUvRui31Dr2nY+PE+Qh00rFWCNEh5GfqQFVHqzDXy7/5
Vv38W0PMEzdFKfjuIo4nyw39TQPD/DjZFtMW5kySkWQnrcqCRDy1kqDLzHg1fzfr8/QUuzpXQ7E3
sObFlTqf8f7Pvv7XmexHXhoGt9ca8QMeHEODFqMmrEqyq+CmNYIsnAszhETnmW5R+Rjf02tny86d
FnO5qdySm+3BeS3G5zbtiY6ws9tOJbszzK8u40eyVi3dvXMQoXuaEbo6d2LUC+G52aj7rRVPwwsW
KrHlmO502cDilRNxZGWFBzo39weo+5o+nDpXA/Vm9lwua0/c47+mg5Vpg+HJktK2jDnjv0ygBNC4
kIN1kwRGIfVKTytZG0J4Bx6Ycm8Ez6Jn0dW5Gog3sOiy3iCH21i+Nkxse+4b1C40sdEhkVCylWVc
EMfSO3415SrPooe4OndaxOWmcsSv1ndL48Q7aNFXl8oJc98obcZQOuVMDMVVeijYziKTCBUBmmpX
O6Jujs2XERjUDsqvx8LO0ddbucMH7eP9dXq3fOgvDPPWA4TwyAW/spRGFsZhDQvr7wjB6ImRuymq
c8m/4NO5YULipD43c9YDvdFRX507sXAn2kpF40YKd3scHyENy9D0+AGsLoJqeXhU9ltD1MjGLSHs
KufWFVfHkXfvqHCrc3XAbiTcRZaP6/704eyqv/grNk3AhRP6yCW/WsAZFqaTCWeMDLtfVVCBgfcY
Q5uv2e+WnTs94gXzbTDiLSZgOnQ4EWjTJCGk6FUOm8yPErIlpOmZLcl0uqLCPvIGHhfz+vOEzWx4
WMjBmAt6e3Sr6PYOZpqAK2X1KCdZycxg6Vl1naysz/RLBrqiTX0t6OrcySW9SLf6rf/3YMXosIna
PcpGgZq2PAK7YO7CpUswntByHfhvAfycMlRc5atHmqG4Ond6yAvROCxtg7uxYaR8MLK0Z8qT+W+P
RKqE3LJ1swC2dUFvRIftuJj5qtUIPIpWIJ6dq4G31D60WteTe8rj8B9h3VytTeNoSziPjyjQV/tt
sjuPMVEmkWQO/DAyE7BJvx1z3HgSPazVuZNinVJDq7CsNx0sHuLZyqwgnHbi9gQb1xzqVPbQ0+JC
Xbws2GhxRZReTrrwKJpg129n1RdsuadcsE0FO3OYmptsh3F/2FWhcgmissm2LiiT75G8ZB+sPDV6
mjXRrt8D0QBtntd8tFu02UKqKqRsbKFjKuUw54Iad2lnDBlESjcaKZ2So61ptK36wVgDtAuBmKGy
nRepmss21Oe4XwAa0QUhfv6BhxbJCgQUvZ0srM/igAxtxXd9xIk4Fnrj+KU64aRmu8iS/WGxHq+m
0vNy3V9MDDPeToudD2RRSKnuqFVL6RbWmDOHwlhpstcM/EsS7uh1PuD7vQXmhcaHj4t4MxDMDYPb
zXLZzUWcoQQXLl2LtCqkuoeJFuuC/UYevRAJI18FeVPg6hFlZ+dqiPjX5e0gnvb1AjG5q9yCfxov
l2NGzgamIZ75TS0g3mGCUALuyu1Vgji7zALXCxXdbqq9M6Xuajps6tzJES/4bMYi3qLT5jBcQjC2
W1Z+mEEHcTaOMnVqSaGcSllJpbuaTps6d3LEC36bsYhntrS5jJNm6TBskJDmSoR94LdRLyEPc3SR
NB2tejGZOndywAtm3FjAM4e5OeDE3nvsD2VPne5lpk2haYOKFYa+sojrJc8J997Aa3OT76MSbJ8H
g+Vf68XQMBPeZk+6FzAWzKQoZMkMGJadNvHlmEcRQ0+sXlbomj3pNFS8AdrFlnRDo/A2e9GZJ9lL
qiQdvHtNTWTYGEPBuksna1WPKu+KnjZX52poc/2ci1xU7p9/IXEOi/Kdaf6532L2HOsrw2SWLKRi
jrRkvCHcZDzcjiLHkspYSZX7mulzde6kcMtF5XB/nfRH64f5pG+YLs8NaHPLLTS6RN95v/GBr4bB
thgvYrsR2ZaKaomv17II119tXd4oAJe7yhH/tjrrTeO1aRmXoMXhcNvzIVF2mQ6HXzMdyCioc3g/
yI54EpNVbY+mBUJPnatzNeS7EeByV+YD3qJCp7scfgfW1fiYcetwxsS6kAwcfazJKsoKeh9I1TUB
r18PbQZ4QaebKuEt5lQtdDZTJnCqyoqisgWntw06J5VuyT44y7AprvPXlk3UuZNLeCGnairgLUbf
sHdZQqIrLYlMmpRcNhJrnkfTA2NmVdTZ7D/SlPD60ffXRX821GxmSndwqfj7z/FMGD0/9nHTTWtf
k1bbI1L16o4mYUGnZCLNyXhmh0E4Ky8clLlHMdyCr688GM4WJD3Q1bkaUt6AfJXH2zfjf46nd09x
bJrfFmbhUXNHnfY0LHi6UjLhVz1w1IXxJ5S8aqcjrrp60TKtHmqG4epcDbybCLlcVe62IeR39LEN
FgPDQrP2CFhZTud5uOlsPHCcDj5cSa0j+Kh86qOR8PSV7bgiUj2icY62P6hzNRDXT7wU6VfNTKqy
K06JWVP5Di5cquAy/Q9jT8WsaIe6KFMo9EVEYVg1TsazaOnz7FwNtL+tLs4+r2/HenY8ua1cxD/E
i9XZ9XiwuDVMxvGrW0TdY4KEpSesl5WlZAcyDuq8DQwkQAGzo1gvVsN5Fk3U608IN0W9MCJsMOqt
OezIOnaamXCbNGsFLSOou7KXMCJGo+Exz+UrWx6pstcrNXt27g1kvVAzMxf19pbNJqjjkEe0psMJ
UFobDuqO5wfMFCcvRdmDY6Ghnqyrc6dHvbhw1mDUs5plc7vOICHpVsqkSRNbkqvay7d2Llw6JcKQ
fsbqYilKQBP1+k2sDTW8l2QcVHxuMOqtJV2DC0ZPSL9ZDA1TXCmx9HX4OTsMyc91goR5VzkUmYbX
JN6N1Lk3kPVC2jUh9yEVl7iHZsVskYfbdcSSvjIrs7PsULHKrHjSr1qI0hPLDnObDacfzC/lLSk8
i6a01x9HaSrtiZP6HyDtLcZuGG2piUMOISsUKnR8AF2nSwBEejbJ1R148arV4chbeCxSj9S5GtLO
qpTVeKbVxMzH7OdmfprdjfuzVfxkWPYVHof25NymcV3aoJKMusjxgZzbsl2B+WH41cm5Zwom1+96
KXe+Q6ofTo14wX3/12C2HMzOuoP+7cgw3S6m94hUvVq348UxZNhh1DApjZcwDy2GlNwo9EC+Ih8H
MYyeblfnamD+dTIY3I7ivwaaKZrUU1HKPf9tpqGedZg299/phkBv091K8r1M0YhFZw4RBoFjWdhI
cXMdeQuP6nZ1rgbqDS26EKD9J+TlhHDtyC2/WtYlJKPBFZaXHTPfgX5Hr+PFUWnxKltc6ZjUk3V1
7vSop/R0StTNjdrao3QLLiB2keYIiN2EOKDsxzF7TDXGDXk70k1Z6euWWXVFzXbkLTwq6+rcG6Be
6J0wOWprr5ZOtC4NzFTJ02WHie9TyNFABAXiMosopdXMpchx16ul4yrU9uYa6vhiOd1k3HNnurlt
l4XzDpjuAvKSR8e8CqUZtpB7SYlVmZcM90gzWlfnash7k7hNrio37N9Wa2JAwzy5qMUoHZ1O31uH
LeNhRT2dnBy1ls5+THeg3SPNCqs6d2q0C1G6mWi3WFmlf5mtZvhvlUydoG2Rq+GVIMFOsS0LGHLZ
1qysRvUrq41ku1BWPS3a/337/D/DQfw5vu2v2Jv9y3ogK7SX6+lqmbg0/Oyyv+q/n63Gq23tnx45
WnDhCyKj1O9Pdz+8I7Pu4J/99/4v2Z1MEfwwjRfjOyY7UiHeOzPoL1c/vDsPO7TIWRB7JtG6TDY8
DdIfBBcw9jLcxhpclaWd0aww+uGdY8EMSeE2ISYRjkBem2W8lh/ZLtuWGHkNYYwL4CyBYFE923U8
3Q7jWXZXu/9/Nls/XMd0My7ltGwfT/6ZPKnH7Dt2hzIwCyH4nx2hfZrf9n9ljyX/2vp/w6fnzks4
j9dX3mS6unx8WIy/nt/H95+W88evq+eNdelPR6OP44fzyefxTcfqre3HuBc/Ti7v59fu/GX0yV6v
fz5fTZbdcL546gXeYvbZW9m9x+lw1I3Ws+VPK2vzZek9hleLzuzxYzTahJd7913xHbiL/a9AYwNk
PBAfywYb5gVt3Kr9r/D4OHyJNi/Pq48doOot1+MPk/MHu3t+s552Z7a96b082t11FNwF8fn0O58t
G+HKH45/haJ3XSA5+PCFc7+xrAdv9XHxOPoQbuKPj1PnpbvYjt5Pbeupu74Zfp378/Pu5HHWu3HG
694/f/fKzwe2SDbqStsOunn/y79Yz5P51nVXHx/C5bXjPk0urSfrqbec+d2HYHjeW0x+ehw/XXbG
D8v3oTcbd7/z+QfvT3L5RCuM1eO10l1y8P2fN6v1ZOpx+Z63GvXuF5tfh4vZqOtsPavbcUdh13FW
w8sgHN8uNuG097Tdut0H92PYeT97cJZdZ744/86VVD+R7JRFuCDRPLiR1fPo5saZr1Yfz2PX71r3
z6P3M8t9/PydL47cHgDPFlOyNTJxTI9FcPAxy2HoLDePN+uPzy9WfLkN4/v3i2f//o/5zVNv4q+G
/+oMZzc/vyzjXmhvrKv10/nTdbBYPPemwaP9ee64o4/TZ9//dD92w4///Gxy53syDSYeRSEoYwkz
eSWl22f/nfAeN7Yzslbrj8vHu+Bm6HT989EtU5Xd7fbmt7Hb6fT8m/v5d96E8rXjw8pAgBuyAJSR
vuKH3owm90+hE68/3mMoe7ObaNqbd6L4/T9/tapbF769KAw6MgUqP99TV51wad9bkwlfbfgcXr6E
fI1F7C+7U8d6/M57VHWL+x91ADAzicPHoTddfwy346i7nm4uh+v7u/n9ZN4llbfsbp3R5Xi0/fLP
X1CWkZXAEx5oiJ79iBf4QCFvRxM/fHpCoO2gs+6Ozlezq+ih82k1Dh4+vMxtt7uJvo7ut+sv8/nT
b6vAvX+/fdxcoRqi7vw8mFxupp7z/un+/OP5k29fTabBDc9tf9j46N1wvXnqbp8nnx+95053s442
72/Ox38vhs7Lx/Mb+8vN9nnTmy2Gfy8t/+VqO7lehPG2N5x4911ra48/h93pcPWLtT7/P/fRG199
55vLhR68ttBzBPBz0Gtul17bcDn07XiF4E7t1eSD9Tz+xVnNnO5oyLc6H21+WXUW3cenzfn7YBP9
tpy60+69u71+mm2Cy+dnb/Pen32bLleP3c55ZHXXgdWdh/HTpbO9X14Ox053tuFlsTebTne5eHns
Tb345zB4uZo/j7qPj51L68V2Pnu2e//leXk7fpid94bhU+fq5t9bf3nfte/Xn8/t+z//+SvTcFP1
nbFdoqxI5Sfmee99vo+m/uTFm64+xo/Bw/v1+uXT0+P94Dnext3l0+8v9/Gk97IOz3tPnvd8Ndty
Hefe39to+XNnNf4wf7k//zyM72YT/tvp/K899uPLxdz639HNi/V+7MTjHk7pB3/txT1n5X8YOtPg
t2h9cxV1/ro/D0e/PzyvNt2nADt5/ri2ezbabLV52Pbcm06n21k9fHqIlqvu+pyfufcPvzxvwl+i
eP77av3Zmtx33dn2sUv3wRd71bF+mnk99/nT/csw6jmjwO6Onx7/9bTe/DKcP/0ebj5NnqNFL35Y
jy9j9xus2L+H3vTb4t7zriL/fN7zZ+v3q01404tn/5pOZqPewj0PPrwEc+cytp+wo+74j3FvEVrz
brh6/vASDn937sfX62DzdeHPu9Px5r4bbp9ut3N73jufz7bvreHjA3fXnQaTf9nhdXC59R/Orzbz
9W9stV31ns5XX4dP40+Tpfvw4Xn+++M4eOlu3anTjTfTf7mdx1X3/mU16W69hd2dbs5/teIg6sbR
7Wjh3cbB4tpzf/Pjpdd9ePT+jxDgN/fF/XfwMBp2z6Pnnx5ouOveMAzbXYX8ksVm/bs/DDeX995i
/DF+mDtd9NW4O1usvk5H2++8VWXFRQEBrxVVjHvHWB3v3N479bwcemvvCTlau6sP84fnj+Fmct6z
xs+/3TwvwsvhqNO7mc5m39H/lZ9K3YLAF9YlDEHxU6MFb0f0MsHsdv5YOk+/rOPp3+uF//Pzy/nv
C3fy5yTy//0d6Sn7XpC0YQnobSTiJrNW/MjlMNrMzqdrfC93s+rOJg/otvtvi/PV8v2i7wWbl/dR
51NndT7tzr2X63/+8LLg/n/KvmtJUpzr9omIwJtbbJqybarNDdFW3oCQEHr6f2dNnJhvejqm49wQ
JJUFpJD2XmvtJVGDU/a2biB4a27vu/3ntZEtHN2dgp9bqY96TUd6pNE5Dywa9ZZe4u1URd+jvRJ/
aObb+zx+iZJwYRAQAefCTEpo6n9eWMRzJLYd2jm31UMDI2zIhHAdR4c/M0m+COAMXeG2reU4PBgI
nm0m+ZfSvdDCJn+6m39nfbgbmPoDb/8GAxLgjn/eDSNRSErdmMl7QEHxLWwgzYYGGdKK+oCRuZvk
wVSxa1GuHtk895zXdBB4f6fKVE4Fj/v/fjLp7x4N4GFwMoPPPUnyX7rFsqg8EFeZCUh73XEeDRrM
z6Mj7kWj46cze9maRc1tUqYI8h7/IDL15qjm+M7w5BPzCWpPJt8uuI6Oltkkb6tS0xaea7/F6F1C
0/uNxNUDQBE3+b2dt1ncLwH/xPnsh4LBqf/7J73Cmn+mRpiFBfYuYISwiBUIDf9sZpRHUTTjzExV
HppJ9huyD0k1i0E6C0k5YapzlCydy3LRUu7ZKZh8aXlxG/gC2JqJyy9pAOhSOmk6Zvpd660vG9MM
QWR9tXM+xoWMe4bm7Gzz+l2cqmpAJQ69zw8IYc1d46vtVCj4wSg/owzSquf8hKCNFMHiD+jr9oqT
f/VzYMYJeNJhsgIw6H/+5DlZG3HUu5kcM92G8QlXvK1wdJzCkty5belQgfMz3iPeWSl9q/BPSqK+
wAD4nc2jE8DzA1igL3sggHsLbRPa4I6026n6KPxiW3ojsxsux41/jer9/Yp5feEyMYPdb/inzHqh
16xNC8faItVZVzp2qdGOBj2b0GJyfAlGFC1n+drx2WR9Gpu3uyq//3cHeEV9/+oA/9Mav4yzfeN7
jtRhJmQT1h38WLs0JGurKrH3mtVigLigu31mbZk42jWpSTtYbOG9o9vjf9/Lzc3ymycD0ia4Um5v
ofol9NWHy/ejsGZqROWmPa+Pa56yD3ZuhnJJjjtSuKrTxM7tihAEBJ48Cq/YY9Xoc5PzU4Abv5tV
DE2qmw2o6nGtGpG1a4hCK24Yh8ql8zn7WqRwErKoL1ti3blBuW7npax7aIx3cNp3a21pH6qZd9gp
2SY1k4OoyU8ut6Obq/Rx48U8FqL8KHSxtnWzHW0WZj8xzAG/x2ecQoiCKpzooSDXjL6xoiXxhyyf
vySVel9aCrldN0O1LR/sZrpsweSOLFmXr+h7nVB++UPb/rtpYdEEWAcDMPBtCeJfHjNMvKvYTCGc
1jn7guZN9VGIcasCYPr/vtJvgiS8KA70HyDKcNb49pD/ByQYzkq5qsRMGsmfVC+dqPQJQudTvWPR
Yo1bKXLc5TJ/998X/g3kBS0M/GkwbzwHG/qvxHmZkdXVXEB4lsVgHTWtrX1+Zpv5Bi+p9W2o575K
7daWkpVtgWIyiAOY/Ay4vmNc9bqqv+eFJVPQvuwOvNJBkXEuE/yHsPubjg4rxMLMOFjTH+Td2/Jc
/9tGGyJLOtPYTBKjpt2XqzL0i4v5k4+KThDy01TqT2LWK2j5ZaTDcjhg201SkOZgruU/L9q4yHhC
YHQlzj6Axb+H2N9XFelDWd2het66tDR6jJrsBCrDm3Suz6mRrt8bNreZyp98tm49xpsb1xmAZiDH
O5Ls1y36EwT6N1+DB1lA6oQ5JlUOi3D9806J3VyBHcSkvVZbH+uqhDhY4baMGekKTH/+d8f5bY8F
igQTz0FuA6Xvn5crG8qQsN5Mmbzft/Q+z+GqqSwfIDhnLYf+2zXB8z76U4f9NyOHN6HfXPW3peXg
Nfe/xDtqEqSSXJtJhO3DfuTPSQXscMYV67BfH4GudAkC/sk8jroSbXNLC9NjFwEPn5HoamHKLovd
GNfsEkKp/5Aqk3+LInCD8PZW0OBymM/8a9TYD1sEbBiMqCj/AlHFAZHZ6Mi0uQfe+AMTQMcur8cy
Bb5WHW91jvo5D3qo1jSAQsZ/Zgc04X8/rvx3zwsQMjwpYLd1/mtH3pCb00zG63RYRMdYHPgcyeLM
TaC9PwC8mq1pOkpQPCIXox6A41mnICJaWounQ0wyLcjbzPsfluL9rU3QM56NeUDy2kRZuC41fggQ
ae6WZrF9ORdyIgA0HyTkhYYm91udyJY0uLkPGtKEdADhSHyUAy4b98Es91IDQyAeFJ6z2bYv3Bcf
g+XqHGW0ekkX9D0sZGAuwdMusb/nCaS1bA36TuneLIAB/rvBftNeNdQNSwjGFWDp5Jf+jaOaHIUs
l8mhossCoYPNgxt2aXGnbPGOYPtcRutPuv9RxP4N1oLVtmAeAcwiAOPJryI2oQnI/Wu1TKXn1YnG
Nj+RaJ6ndM5YV6syOe/renFO7Bc+g76ZZUtxwUf2/8+pgEsVsNjXrRrxr8ygpQ6brvNlYuR4XHPh
2oXF8UB2qboKJ198LZOHQ8k7mqfmD931N0I6WKbBbwOvWExhnblfRdM0zIgqCxffqqNoLcJTWquv
VCN0J9CSDiRqZIdCOFOHRo0X/IdR/Jso08AbHsEMBgum5MWtHv2/yQaQktwaXCwTt0F0ujlnc0dr
Y1pCRdqv8R9/MVCh33DJ29SRBryDFbwZ+lcuWbNcWRQSuKYTzVeVVrTb9VY+eRBtRrKtb7l0vE/8
0ryLoNYN3XD+nlUYXys/LxPyc/NEoy+Sxniw4kDtTgju2J6hJ5tudyZZ8hYpG3VbhUnPqyx6X8+m
08datICT2V3EfPViQGIy8azfpph/MIc7usqs9MvmmzE7DH82XOxQRVAFZMAYaK/05L3c9D4QLdBJ
pD77wPL8qytxMeyplzDSbX2PktuJ8mT+wqpooq4DR1b8BtSc6F0+A4ys9uKFNIyeQf6a72fCUatU
Hj0VsVufQzrz1u7ZMxQ2lvfbz0zVtiXelR/q7MWGhP5woOuve9rCavvvKmAQz2ovovt9nV2nhQTO
XeO5eUOr5mgROq7YkqcQjuTFyIRggJ7Nx9lQOWWVAokIlk57lA1/ASRjzytF4cGn8bXQNrlsW/MZ
SBC714mnd3XgcQsZUr74g76LV2R7sYdmbJLt+IQBt4lj819yVXCIHSnrtxCRlsV8747DqreUVN9S
rMO3mCXPsuafNkGiUaY5uT8qS+6t377rw+wdtjsPbS2UHYQmAfgedxco2AID23hYe8LWo6WJ8OVA
nO8qnplLUBpQveUftojaKbl9ej1U4VB3Yc5FD9MVyQNkdvKwKbVdDpBJXg8ltS4uW51OXJL9jt42
Ks7dX3uvx2bme+PWeSK+HinLijuQHsu7172/N7tAbtA7aHJ1ocV4kArSXqrI/bwf5B7lHrROdCwD
mpm6Yh9Hqm2iTV2Xav3sSwXsJczbhaDdXl73ghB84DyNW+ZQeIzUGh4ta1M1L4+vR6DydzwSTvNT
HdhJreXdJufi6e/NIm1HAKs8VMLgvjDMTxLk95M5pAeMq/P3nmX4tFVi2jcb2m2f87llQKkujVte
DngCI64qNPCkmN/mtRqTQyYfIqzU1WDgMhHA5Fjr6M2mk+iNV8uz49V2r6iMnpIVtOOGbNPso6wv
UDG/Q5gtF2wM6l4/CoD490fgvTX+vLpIRK2v2P4EMGHdDx61GyX2ybC+iuk1NXh+XnhTtCby/Oz0
MnfJUqqRxiV9zpWjzyAwucEfJPThKEF+Lx2+ZjFx1zlo2m2w5MALPyiftNLVsMl0fimpiTqZbwKw
VT2Z0oeXI09AwkAu3MtoDi8pE5cIXJTPIl7XF/GZ3w7mBvOztxIGg66mBejLezQ3x9tyk+1aJcv7
5ViX3jAkQSPP6FAqCyU6oMSPpSHZ4+seQNcduEZb1YaMyb4BRqJHtt5VS6jGamGfM14Xl6reyovA
vIT+nbf5NqsH5wXqoLy2TkWCewG/5f1No2xTVlctLpAbqcySt7GQrI3ck1XaDE2An924uXnvsCz7
2NfVlDG4sCOW9z7Z9X10pOHqtRlNek3WnSGons/Pm3P2M/L5R2f3axKkfCz3NHtQBvqJSmvfR6vY
7s2u2rzU+DsuxdGmOSpAg4iXUaFCDM4YaFC5ibdB2Oej9uUnQWs5GKf9OfKR+Vj4F1jWSbxkJB8y
HYFwLKmbZrHUnyy+LOlRfob6rx/9GraTiRD7WJRQaL8dLzNAuVxvoXMewmpWK/O+zKOjS9f0OFlM
Wr0G+iIP8hkCCf8ssxm+zt7SVK1PdcLKF0zHDBHx4u1un7Oa3OPjRedL8q5eG/VYC/8e2XV+X5DA
HugWfXv9xHNC7qXhshWzSvtdRvA0QHt9hiTTVqic3za3zbHlDHShkF85lEB7TdP1lEm79QHEpZNO
k+N9M5d5T4jOoN6mjvc8L9jAq/ir373oFkXNW+txct/k5M1qnHm73TaJB/3AqzrtEGJbp1wBsrNs
9ssuU6hR3T5Su9G3ROq+3OPPjVjdtNS+Ou1l89FnkgFfK2Espgz6SF6dEsTIV/MDHvR+ctFuIfnU
+dNcVsDHi37lpniAspxopWf1VC8blCn2dRkg4JV3RVTrodgI7j1BxyOql+Pxdc9hADKK8a4IER0P
n0E9zxv25IXGjyV/aRaERuGKBqQxlF5jlyVXnYJiUy1V6MuoTC9lArm3WZpwag5RXTPQ15jGD9VR
qStKmL7mWsSDMbSZ9oN2lhVyhBKteU5JzPrM59V1SWt9FWUOvbQK+PE12akc/orpDkR/jsPD66aA
ukHCmniKzYru8mYZapSk53yevwSyXUu8iYEuP1TkvpVzAjkHdDb4AdfGmbPleB2BUTe9qvxA8g1d
kxihvpAJbaUSl/QIpxVoRFvkZIhcM2WZ/k4Ye8PYnEFt9xhRID+iY51W7dsi2vNBmhzuAnCf82ZQ
VX0KaYDi60zvDDYftoW2c7p+p+4uhzwOBKbzW/7JkfJNHB28B/nrGeB8Lz1YUiqWQs53BeoXwJCR
yO9qu31Ij+0p7Leqsn7kFbplXagszTk4Saq2qNiHOp1PeSi+pSmeckMmn15m10BYi35KRx6OtP4e
Nu9bmakuQjOA1qreu5UnnY833UEplLQpUm6obFi76FguQIboJVHhxR7l01K60Cdcn9kaztnBn51s
cwuUiev97GkuW+qTMZNhMiQaDpdODJV9waHkWB0/gHE+6wzqq0e15p3QOSiQ4sig2QCyFvCztASs
HLOr29x+V+r3jC2uK2nxhuZx6KzJ4zZxM6CCAvTaWcS9IfW3OuFLS4jAbeDbs2zmN+URlj7yRzIZ
CsgkisVNZKy6HdS4RdWPnNp6CGHfOtmI82bkRWSlg9pk9Ei8/0JCORYqJH28HvCDsuSz1PEDSCWu
q+tJxmlfBeCejQnf8U4iKP6l581B/4Kc5LolCrxd17Uej2i5T1lMe3CEqG7R2VO8RllrCk47l9CO
px9TWz8cBow/roCuygTXQ8qoGRa8POxVJMfYJ+sIpSrXzpFjPVLpQxEBj5CrJqNxaXM9SggJefUj
2pzuVZ39jGQWd3WhspaF5oG58BybBhgyLMXWzmU55GmkOiY3dGLzRloQ/uMO4QW1jkR2OCooWpTh
vsLOXjzGpAsZmpZd3aUJeb+FsLWFLC6gBP6UICUjKVpjxY+a0p+ZUazdg1xaC8iirdw6MgHPOHfm
pXTZ5yXRYDBY17Z4kz+SCIrRqHEQ63bf+7hZW5JG0MA6BgNDEXWabtemHhUzuo93y+/djMaQll/A
xYHabSnYuJYFahfrIO0mZZ/QvW6XY7vLaM57GvuPRRJFU7Xvj6t2WU+g8tkmy361CvKSdtVZpGSd
ZsnbDMXhbBb7TUICpPogz9uxPjrKcWsJrnq5aH9l++Gvr3uGxP2KGnt2BlKPX/NpD0hftc/UlVRA
c0FnLBKtr7zOI7CC4GsjF9UucbUODWlkr2LQjGsqeyfQeq0tWsFlYJDrVAES/OtBS7Plqjd0l/m9
nqB2s1yTaAVFUcdLHzdsuabAb3Qrdp1ONrb31e2CS37oK6ynCtEz8QWM0rpVfgVhXOV193rvWHg5
ZhX9BqUBcqXIk2sJ3L2VxNjerS6FcIXinsfMXIuF5mDvu9k+Vh8GR+oHxdgpRWs0mFl8dUjLoUJs
aYWz6mpvjcAoFBcamRdQRYnsFRfVcVJHMWEotguf7mdRI9ByIGe2EZDAS72Wss1KE/V1Y0+HBtvI
vs9xl1Wpub5uoC44ViZtTmtUDN4Icl63IgeLmuCy4xjq/8tayyspog9rNO+juX16PQQU/I7Iig5h
FVeiFnkNAstr7cPnugCwlFkwloEQpQdblkur5rCplt5aeTFG9YkO8gq3J89hhjG/iexMa0j8OObX
Da38ym57yY6nUODtxKT9WLtZjfBpvrxuVKi2MZfJi+RIQDgpqvb1OOUNhMrX3b2gA8h01WmRB7oe
jOHr616DwykiJbCgPR9Nnuwnot1UrUuu4GksH7A2fvzrY4QbfoUuZbs8KwI4KYDl1WCJiAi9vm6O
qCBXrz5whcRfh+str1tZ0rXfg+Zy3PLMANeYwQBobXRZF/Y1AWI6QDGjvmTWcYjj7iFjjb/gytwv
ZKrlWkMNLd6h4gl5Lamg+/Ati04JPPFWC8JOCTC4Id3zqgs86kkd1/ccFKt77jVraRPrcYl0CoOc
gWHDVOuI8I9QJ/MVRL514Gxdu1WeabnEYzEXQK6z+nJETeh2VtdtDrWHaAGuyln8bbfR3iUbBNYj
br4f6Tb6GvuBzQR60ya7tUlw6Ey0yEstQPUGPgK7geTKXGEQy0v5erRBUc1adwR5eT1qb98qloQO
2QxSRXQkQ4hjfHo9nmGZwKC4/Xdc2joDw8nt66+b19O/7sV7lne0YfVff/3rOn9tX/9VRYnshI3W
7q+Dr/+kX2/379PptSr7dKf8f+7Nv97863f+upPi4B+KNFR/3dLfPwLPuBy8zz+o1BHA3LcbZlFx
MoWHNI30dpGp3y6ve/y29/fH173XY798D6wcfLRWvn89/rrZ0ZrevLP/71QVMsW4ePz4eigQHgZ4
N/BXs0mgyvWsWtFUef/68e9NoECkVVjgab/uQky3l7zxRV/z7KISwOJ4MUXX7Mvcr2q5c3GU34OH
sux1KMzINiomL5K5176q2/hWC/T0yDswx/30NNk6j5KiI6L8BolItzEE54mt+JwJGfoK2expOxIz
8ln6+7IGJq6hyC0EiDOraZIp1xtvdzBYpWz/wWMfTwELKJ/WAfT7PrJQ7SXx1xqoyyMGqQN49ltR
fQLEhvsVAnm7iFB1RmQUfK4Qe0rGfxi/PaxF+gyGFbB9esL7Gc8fFCj2bVSGaIxD9bmpnmA+/6j8
8nX2iF/mY7FDlSbA/uftPadA6ey6t9SVZBKKnPEayiluirdyA3ORDMsJqNVTOLKRNO5oDZrndgfx
JEu2O77yrattfHQNuP2ycnYty32b7VAEJqrpVyfXzlVi7QRfvpK3u1ueST6nrc4ywE/oKVP+KaXq
55YXgxARaiF//nAumSe8AfGos613Jr/QsACroFBF8OCwAGIHYhFoLKCIrYCQNiClkRsSpeo7kelP
3j7aWL6Z2bJPK6rrHsTI5qly6quTFA+sXr5rZN9F23IMNt51R6S/Ioq/CDpGYq3gyd5siTbv0xWv
g1jsVCnZXNEK3gQC2CiRe3Sy6Y9SzskJu/cY7FtvUAJwRpP5LgJ/yjU5zodT4EbK4rum2fTAGko6
YhXp40XI3hKSQHp+oPq7ypEfDFDgMSkQalmheBdIUrYudtXUoNW0gsXtzWPfJWaBZL8ykLUS9hBF
KzqZOfwAjyN7qHKtLvlaX4XzBHxkbn/OwHhGhP4QcW2uVW491DosoJ18Ufec6FPh8vh8MHIC6ekl
glu4wpwx8HXODsqAc+2HkPN8VBWdTybVX4Dduh5qOGpCVeoeSdnGFiCfjKAsr+2GOumrtXdQ3gRD
+gIVRVEBIVTA3UECE8MK6gD8gbwDQnNMBMpELYW67HV2z+BjagCZADYAq8G1XMv3Lq1Ny472iDhY
XOKeWhGdAxjqO+Jlfhal1HeSaMhEQgMOZiDZzuDvDqAkgisKf6poCRk+ZKTP6LrebaAPmRqcWbmo
104XCNzpe/3RJ5pf6q9M2fVxmSc6r7QLRfpgESgMxkfkxGL1ECfg/nBFAqEfY9/Rw4mxLEwzgfe1
6THLP+88dp3JS9xhAnjfQgEXaEUXEvIh82AuJdIWPVVAnLACkLoiyTu+8DGKuAH1g+i+UvsOMpY8
JqXtU5HydcBwkgZ0rrO1ps1js0Ov4fVwSAUMsk4feAplYRbnAO1helg3KwjMPP5y84DpaAUwAq0D
vA4UfR5+SiglR4p8ipT+aXefX2wSohaQfDmJEuxaIugRFY2AYQT/3/gtHaIEf8NkHr0slgEgt+ox
aap7vGMM/meytAu8dKYtVqhJg+53Bz6nutdg2IbUmc9jvvrjtCoVJroR1s/p/p0QdTxDBAQjjLO2
XRdvL4TRZTx2x7o1iPIcAZtLwPF9FcDdUbmoa+IAgMGUqJc8EvMoYPWhs0psARAoak6Hm6+LpXuP
Gorfbj77Phf3Sj8YCnWcyBXZTQmmT0ElzT1WWSdCAdhsFTC0b6Noz5b9vPjksUIrkLjGCahRVlOZ
HWDLBKB8v9w2e0dxDtKc3KrLVjX5FC3rnWk0u/9rk0Js3LLm57xgAFhQhBjiZofSX5uAljpVC75T
EmwqBaFdBeXACkqAIA4uEmgrs1cDxvkrEErfpzXULwSaVwUOOgLiOkSqG5pMp2JF52YFZSUlAvwI
kazbDe2DrKpTechoXMly3ma7tl5+yROadDrTBMrkOO1fjJPlyMGEBdLW3Flc4xGpFYHNFaJ1dFAQ
hpr9lMf2yyEDPlezg3OJLpobM0BeSQc4OtSa6EHbFHW1aUgXVxu/koypVmIylgSZb7tw39LYd4QB
2JExAR7rZQI48fih0ux8lNl0sKMELbRu/RrpO3A5Tw4Q7FOSopYCl2ktWDfb1GbgrlnDR5KifKRE
fggbvcczFDXQLugEtZwIuhtM9BBWnRCoXiM4r9bjnZkhynK8FQOUmz+B2Fh0AG7Bu5PKNvIhhWpO
s14lm5o1neSWQoyyMDIbOGcG4fFxgeY78CPA1H3UNkYtzIainWBJNRr6HiRvmHzUjFZmj02oG3DW
VhwkdcK7Su8PO1IGEENTD7u4cayaH5eGR10VWf+EzXU7mk6lW/3IAAEiHq3Pa6a/EdZAp8sdu/fM
fGQLJdMB4suorBsLUM0GwMmoJwqMceuh63FhyT3OgYUoRLpd7exaQTF94BC0e4TyMO6ruzjs0+EA
pb4rwP38aBpILpl7kwQE/jm6YEixgB6cJslwfIIpHeKNgwJST5nMu0pK2SmQvEaVg4Gt3sY7Dx7x
s0Ps+54g3d1endTCmIACD8++ct6kU76vEGNB6zola5iHrdpRCwW1M+gyx7mwK7uatercpudzJEIA
V5T/GsES8Ndlo82dbxo0cvBUghsrhWKbb1Rbge/vAaSA+I7xpUvsTJ+WHDjsfKSPSaN83UZW0afn
mPjQMiivnlBBHYZoG4e2KH16gplb61M2v3FrJt5qjnpOUfoEHgX5FrzxbKzltvWJ/bTaWb8rKLX3
HpNPMNyWd1ttAdYXWLbN/DN1VHwk1i3XWEe+i28fwRkn+q1M2SVzyp8xB41hqdC4+z35GRF+rfU2
rI3v3VJUH8Vh0M0ECCpJBVz1UP6xhjl5ML1hA04AUlIxU3pK02Xvq2QPjxk0c1vQXJy5BAh5wImm
JuLjseDPhXdnTmv3rEuMHqBm+rB5Ld4Rbk8gQSVgR+M/t2JzXWZXNOYi/sm2Rwom/rtl/wqChLln
FKZpbRyslVg2Fyps3hU2SwdK/DlOjIXRFcP0jci6K4Vi1g4OmEmAqQdqWwA7jyXmECN3KJIAeZFo
JqdMlxDaAaYU0HEvcfqN1HYoDpeBCw8lQ05mILjz9jnN1EOZCvVQJCAXzmLz5//j7st63MbZdH+R
PkiiVmBwLrR6t6vKtd4QqaQiaiW1ktSvn8fp7q+TTCaNwZyLgwM0nHZV2ZYlinzfZ6M7rltZdZkq
YVaq9ZoZgnmXpXJzRxNvC9J2s0zy3nXc6aSrwcQKYi2Z4NqOiharK3X9LbR7LEfGeHhoetSwsnsZ
bKZQIZXg9qxw0wr73Z9Msg0rclQEMAJRJPXkPOSmnpddA74pIiNDEx84h1YVH7DWARD1fZnW1eql
TSfzxuTedmJllxXNNEPi782xXzhYcKlugCcoZ0N45i+UReBRqvOCWdcqLfeuLF03MmnrR62onMzu
gIgYoMAgNNGpVzokNuU4b9ahoVtIebYra+ykCRrIqjBTyMHLCKCqxOWm2A61qyOP6ifWW+6ewLEQ
tTakzEy1YdYFQxOrsRQPVtOmowdImUPdkguvrSIQVWVUQO94DgGPR3Y/6sQH8WaZ4xYzkoL0w1sA
fCzsPnBYZEJWPbrhh+XQZbsQIMMjcaNJlyj6ZCUSG112LJwS1UKAZdRsHSO1nflo1YbO2rk3o1v/
uV/RzkLuSkESuOWbDYh16wThWyHpchzc1GIVuxQKZpFmDlAneWaL4sIHoiLQ3aGjHTYmxNpE9d1B
6h2E02j8qrGGINcdclKWOUSYUJx7akvrAe7P0deZ7MI6kfWlqnr/NPReDPGJejTHmFaD8WwpsDL+
cFfpnmYGUZ81asVDx9F4Alw7BBVd0xpynBwXhm4G55lyl6ZGSY03T36hfuc9W9VnoVuahq7SBydY
gu3QreDhCopFvWZH1sEBYzndY9up8Uin2rpf5FXUNgwQkCUcWRXUp3bCTAIoP68hOLlr2Qx4qCm9
49Kc3AC9XBFANR20xYjKdpzuKCqYr7oZ/JNRaiDYLsSrHoFqNDAwfgXghcWlQ+S3K9xEt4fRKaZs
8Fc/QtkYnkLzDrTXodXmphh4vRnW9SrYVB1AUej7wVljYzXQa8wV6CfXeenHNbj79gDYblPV9ofg
BOSd2fgQofpljNodZqBCX1daqSPWg+XeWcwds9mbBEwM1HoBQ8OgSvONcDyuM23RFxhDAjUQTivp
7jiprdjwZwloeAbHvjYk5g20z4GQwRYVgwAqR4eLvSazmyEZNEydjujU98wum1lbHQgb06kO1n0H
oDgtbZNEygTmaRoL6BwXdHPvstzSVN7V0I1IkJR9pYIDvKNqFxYQb5dCfpS97MEZrU7ai07tXDSs
vCzHZGE9bLVtYSUzs4vMCgArWvu6KcRD55Y4SzGBaemgG/g/SMeywRU0sksX9TtlYTwZtDiUQXep
GSk3DAQDEFAde0S8gHzHLOJ0Zaaqqk08uM7PhOspBj9SZXZD57SbqyFmGmSQ5b5Di2psXSaCXFnl
DnqDYf/twRhkGAuFEyN42d61mqfYs9i6Lrjjd9UyznARmMtOl8FrR4sPA+bNS0MIpJKd2EJMxSNN
iUTJ2Il0rds20ZLMCR9sMMe9V2zbqVDx0PZF7q9zv3GFLAH/A7nTWgF7ZTeOvwT37GZTRcd8kqgO
+zJ4Wcf12Mwcsncih73ySwFSpHuBMXbCkAjLlBnWu3ZM1L+6kbsJPXFeWUGfVF57Z6/zcGqXUp0p
5XutLTvRLXGzDrNQ3snaTBaviqAeYs96NCxMks2YEgMCPhpUKIUq6UcCiMTZLT6F9tfeX8hzyCV0
fV7zyg34Q5Wjqlfg6iKmGGLS8bZorD3M3jD8SUZ6SAbIkLFWXlurGo4cJYXblvnsTV4UYB7dwgID
dCCvp6XcwGN/7RgTCUUKfix9idpjCrysrKd5W9U9pCuh2Z/mvdn6H8FsQ7zZUzexXX11vNbZztMc
BeYIsYINEXLbdbii04S+I4BOYIbgDVKbyY1KwytA165fPAcqXA5yHN2j4FjjdJ9zY4rBT0D4DjPI
VHCR0aoZYFjwIVlHV1RPNUQ5EOEB11ptXH3aR2SYu6QurU89TUfLRqVvgPabRJg3wlYRDflGOJpD
aMDmWEBnmjd03SydEIkSEL3XIpFBAfZT5J7Dna/S3MI/EtVA+l1akothWcuO9saGm01aNwCubAX8
x6PzcWiNV9Wqz4UNLKSdiznuVq0isTrWlhv6vC5+eBRGPRwsPgUJ1FQtCE2QqL1lZR2xyxTr/e3W
7eJatUNG1EvFbZQp/q6fWsz3Tp8MXt9jqfeLyAkrsSEop0otU4R+qs1E4JD3qA3JJSAZ1BLQ1wkZ
TxxsbsurIKor9tLPBpBaYPxoUqHnERqtnApOzbDqnTDrvKba3xduZlkjtOPG2CV+B/ALSTvTxghL
O5p4R3I60BZsSDPtuDt9AR5u5gHpxwhGaZlKkGxNzT+BJvNyXRDAWgasNaiC0sJmJCo9c9+6dRcp
MtP7HuCSVuBrZ7gX9sYyMbR5031fM6QM1AXkELPhPEzdJ992mh1ksEs0tdpKeibczXzr6w0Aa8tU
ko2GvTc2SrgWXEDh8NxWgNF7VI6t/8yMMAC8KLq8N5lKerHWEDsoP8NsuMfFUvA1DOhNzJ6cl87a
wX7XRGBVJWpZiMQHOwDWA1NizNhIDg5UOdtWtpfQn/ih6yogP+MwnHwfNac3qQMm4TVStA7PTQkc
pAS2Vla9G6lxuqKCGjBYCcQybNySwK4SB15+kJ9FWkxDmK9mCzmFioKe+4nR9sNp9terBabshkj5
O8tu2sSZuUZPjRMnhUb77xkUkKd17et12mGG2znaq2G6kZ9maVtxVXEjHgngPZY6NGSp3aN8K7j1
zpqpAcvRfRnRtOdKdDQ2+EdXj+wAiV2Q+W71RSJTFQKZotlUsNy7geQJkrTDzAnou213Z1p9w20B
ZGsbPNnIYP6dMapDw/S2VsfcWIXgX1rejHExCWM/uhUKWVgL47XoHMyz7Qd4XjRZLcoXulZYtxeA
RYFRAVgQ6kimN2AYcYVC5NmXWz0N/q62Jiu23ApXJ+jBirK2T2Hg34Ur+TT4lZmVJqt3SngThPxW
apfLvO27akaDjqkEdeRdR79a/sDvTMfVUEMEQ9qJqsq9AnemH6oImGOIhhoC1RC2kYLcFtY23NaN
fJ2aodwXiFURnR8XQy8ODZwFceVxMIQr+uFghAxLugTnGPVA2QAM0rXzmVqAaJx6wlWW7ob7cok8
VzVRvYRk5wbGewMjsQlPawbIEevBooO9Ivh6jgo8+Ef6KWmpMyQFKMdzqNmG+JB0AaEtEqenJPdB
ttTM2xVtwCOpLb4NDK/JK8B+2eK8mtoI9r2aQhhYZbn1nRMHyEIMzDiGcVdYLjIl7BAjwB5xIzfD
M/Gp3MHYx3Oxml7MQT8pxwOhT3oBFYnAvO9M4f7bQyPdLwLYGrC/ss8AXpRb8EUXGgjnwAbyjprS
/NwMzp1LTXZiug8yi5VHf5EV1tfFSgEJLVlH0f/AcYYLPNIGvaa3Ad5SPlchP61yVlEDEKwSN3ps
Kq4T5KwomJpqZ3fttq/HZleYxbDtlHtHOl/ldo9Ja6170HsxlgxWLFEDncfnCeXaPATPtBlQnEtS
56p26rgNDYU6gDxWfrdp5/GTzcf6KgAJ5aDLoPBYSH9q5+GKokpvldlCStA1Tx1qJM0msl3CYYpg
BE+pX6NNE2zEjCSdeKkBmOoABvue6ohNNtsNJlbRWVH0hr0Lg/lYoxVY4cKwimrXI9DgAMlcdhOy
p50qgruR8SU2lDAzrcM3H8K12PQKGMcVvAewbs3YQnfa9DYne6ULNwrRi00V4LcasQgAGqSVDQQ9
zcrNY7haWAd9kbcFuBhdG1UEaMw/emGdjzxEqwN/Oa4xvT81tPGyKpzt1Olxl4/CBkLDOnpsTbUx
lRPuGtTS26WBy9wTI/ROdnNiS2NsVJHhONCXG9W95n4HvY1mpxCWQVbBP2EXVpO34ClBQalxuwoH
rbJxrPhIYtd0qoRYq9hO3SQzbMFjJYFJI9hBFkCa3kuDe+XSWnpAqcC2HRRU51YYp1YPy3b26vEU
FgWiDwRrjhL3JSPK2rkth9hEUQQhQAvH6hObnDkeG7c81FTg8iyTnQ9dg9mqM6v428QfLOgmfUM0
EZ9se4u141RqlIpmLy68qM7EBui7OkvSGNWyx8X0MYQmTORCmBtRz0eg8n089IP3QD2QE2ywH3iH
GoVKiI+WGszQUlrvXSW6S+mP6cJ75zUA0BLDCoRDgr8j7fqWPJnLBnugT2Jyrj0xp0tQTdduhH4K
/bAd16RontyGfXDPWz44B77n6jBaB+hhXQOtcLnqw2J4ZDvaqj4GtpOvoRKvWAY7aBDtKq09znYz
GYCOz9o/sRqaElrwNlbLnBRW32wNUOm0tK9jGd6zdsUgMtGda05EDIO0hmSxJadpwPpBq8k9L2Jd
YoYgAg4o79zfHrTZNnDLDuriKGkDHzCdxxWq8YjJJ/jkwluPi1gN2Vy0IGozKvEV24D3cVD5vYem
H4IiR6uLDK3iNJhmC7rhvqPofAHd+HsXOGcSwMwA+J5VsW12LDWK2U/QWrvbfhxKmADgbVsF6v4B
WtoKRS10cBwZChOaOlsa8PEW9ZvlWme4k40cuSkssweI3DDdv/nW6qIi59O25LJIpnKo09WuPTio
2Lhx4HV6qNv1q8D4LoOluzrhTDY9+uioxr28mot5lgrTT+XX0KyuEv7HsubHdrgJW5xgBrW60n07
CLAsa3mAobE+2dahGEBu84m0EJCEd1NT8LP0+LCrF4w6OIbGfeBR87g43Xiyx2Zr9vyBuAbgZzhz
tsEwoKCZ3Nj2UXFZYUEelQ7vAfZPuyVgiQOLQKR5QR+gEX5yZCAjs+7rfe/R5s4eccNzEpaJT0og
ZEDzjmHFAf7ZMOgqZrcHcLToscSyaUNLZ3M12XdcfTMFu0k/N95BecV4mk3zaGHOSMaZ22lzW0WM
BtCtV5RQ3kHbJEFguc3KgQvO031hcPMuZLvRy2G2aj7XgKdiT5njZVwufGqaQwNzARrP2nqBMBEG
bmuY4AVb5TP6xUUeqXCCV1JNHOwPFkUL8A+qQx/sUlHEwCznT52qIF30hLNrrfENHYG5twesCWFJ
UhN2cF9qvp+gJ8dVweRUNwu7SEWuPECt51gMCMntIQBBhciN+a7C+n2BDeLOImXkISNk51QjVESV
Ve4XHfrx1MNvNLoyQssqMWrxUEzot41Vyk0zz/my1Na2D93qnkIY55l96mNejFuyrHsPAMZGe4UE
JNPupAFboAhJ8TSUgF2LdqQHXPUODsYeALRTd28NRSGCsI7yru1mOx/Bjj6B24ZM7w7InufUZ7uF
4K6ddiLwxVM737pnpAsMy8aAbejoFOYjBaH5lZMeS6DvXrwZSN8ymnhXGpATWKG7WqIYCiaqU42U
qITP7YmvS4n6CS06r4V5NIH1R0U9P0wQKOO8duUz6wHv9AH8YlIPmWNpgo7Wil0UoUu7iKOomyFp
ocoEDxViEq5cehla71NQeDxn3vJgG8V5YBDcznWncuqNaNooPmZwmjtXB8EePD0HEywr4CQN3XQN
gn8WRy93Eu4SCd/BizcA+Kzr8s6C2xBEie1FuCfh8qBbuP8yb7S9LzN8Ch5Naw5s6ttD5Vr+ySkc
84g0pqRIDPBBL43TD3uvwYC36s58mYZlhkiNBXsiIe+bR+bnjbG0R1FW0G677vzIMLgB9tZPEFNV
OeBDtFRr4W/FWFhRKEPxrkER6dIyD6xC9IEIQndnk3VGI+dB3zmCqict+RxAKvQ4AsJBNeD2MTYL
HqCpkOpea4/vjYl+KMBB9yWt1kx0ECqE3/CqDhrTTjAC7gbwlTeM7SHQX33fUCohBMpOhMpYMRLu
5ryfbq6DsiKP7ipZXNoL2Y10IY+9Zf751BNY75AWp7OhWeaNySELbzrVbrXUMAu0xZueSfnYiPtQ
hPxpsWlxL4mE5qKq7kLJjDOCD3LB6BWojj6MJGSQ54X+Xd1R9mR94yJmJXYL7eIQvs8ra9bDFLo+
4JRaX2sOpA0ms/3QQISBNofspQ9LVBEO/ctKQWHBXCB28GYu+TAAcwihZkOwwBxm9YwW2oUIu7vJ
y1d3UPnYygD+kqY7uRo+yI6AydWQmqcLggUzsLtQVLojP9m8/QqoIch77CySh7YkW1TkuCVQbESq
BcFPtYFpBpVubE5qzeYQvSxqa330UPDHgssF9Z1hbULLmc7LipZX1IX9pME9THMw3+PAvuphCJMV
8pB0rpncdJChRcNU0wNk31MKVhMEKx28cw1FcVDH0zLT/VKg4G3H+SsuJwDCYhwxkGaSdW19W4ot
ckGn61zQVs6w/Lj71nBVOilep86zdtv62hfGcEX9VkSm0bDcFaiPZIceW67TenIVgLJJ+88zMedH
SGzR4vqtvgO1Y51WypO59qsjLBwuGEj9NniTdfz2YCwWyB54IIFf4GegyTZDHy55UK57XKtmB7We
dU/dXTnP9Z0YKdnTVmFOs9DWeD65rtbDFBr2s/W5GedToMLiiRl2cUaiyLPyQpE0rs/hb2PyPA+j
PLfBeoADloY7RN5UTrQCN8g6jRJ1hfEVNHFnZmM/jN8SDfZmvWJVJuMUu6K0L7PTfKpCaC9VJcgz
dFIMIruHaUFHUnlWkXGyDEc2dmffWYwzGgaIgNgCjGethr1VGLtR4MojNOXZW6154yw+IhT95RWd
hbWFcYzsAdkVG6WsNgsVPDNDs3ZpCB0ogJPa8RRaVeandkH7hMM7B7fZ8MSAiscguz81js0e1/ni
TaxNYfyX6TrOH4uY7rWwgkQ5XB6RVLFbOHERHlc8FmFv7ud2ciJXG2uCdSLIpe0sfxgu/8wQvfzh
qf8jC/MzBz1VFuzPGNF/P/0/V97iv/+4vebvH/7HD8+OSCbkIyRPv/2r/IPf4kDHn//oh3fGwfx5
dLcU0x+epD9Hmv6V6fnLvNP/5pc/JJoKPsKzHPMvH99HkyLwITBt28dmoLaLkDXbhA35vw83RYgU
gd3949vR/RkY+l9f/1fQqfWvm3+VICnhlmoPEPvvqFP7X8hR9aC/DRHJc8tA/Svo9LavBQQkGNUW
MrHwsn8HnRLkprrY7wibDweOhZ1QvP9R0Kn7k7/65y9u/RQosyJerO5EX28gDdxNjtwjim5r9xAC
KOvV8FFVjn0bFcMXtOyxJaHIdcRrqPqnrjNhcKg+G6NzmQgqrqCHZn/eAzI/tszYwcjyChbvveid
AaFHULt1/o7Bc4EnL9YwvPKG5C27QoK+gRD3s91Bm9B3WR2ga3aA+gQaJkyISpu30gDR3faYtQoc
i7EEmwnub/hv3nUFPS9wmZt5Fa1Tok2Sy+IUaEj8kWYXFnZSG8EdDNQIRMMKvTiRbXLUwk3kqk+N
gaWEXLVv7x2o6gbyME73zYsAklcEp9m4juu7izowdA41UvLI+EpDmJDWTVeYF0xc8JFcRVhEVMOW
haoKCuvAa5EM+Np0+O52VPsvqH5gDA2jokMgELmw4r5pfGjcP4MqKUcPVcvnMKyBAGCJp4nqjI2v
oLYnfIt2H67WAbjAEnE4nYwzdXg2edDdLV/CiWc4W5sSSAD4FoQRXpxeupE1GdAooYsOqzEjVX0e
+ZD3MAOBe4TWwgJH1pRx0Pg8Gjx1AMv+WksvFpbY8cqPAwq/QmDPHi71TCGogWOm5QY/2xQ6Ir++
uGw4Uwuyi3oSV227MSILUvBFECJ03ZEDfS7FEMOnVvRADYw+xzG/W5gNAaeKLAD5AU32xQKoCeIQ
66yuebCbnf3QwiuIUng/gU2eo64pOSCZcWBRNSF0ThbAeU2nAw++cky58zFsajuyeE3TVSF0hpiX
AEqWomhqWMogPKlpYyGwBaYKhUSRyJTqgTlA6+zyXvVGBk7nBYlV4aaTIMv9RgONDt9J7xytuWGp
28oKrilId5i8IrTzBpxEwUofem98XAog1XAAQXhrofdNpXL9R0/xe8s0q4sg1paOxVOohscquBFt
3Rcsl8+uYUCuOAYnRTudeBrZUCF4eNhYDsWo40oYMkGM2VfeLEUqLfguwQmD79ITIqUCV+9UaILv
aNQhwJhZ2vkw1SQeR5gJvRJQeNhw1keoHDD65CK2HGjO3sDX9vr5YLawYjgAEGp4MANNN0HJNkI6
yAqd5sd5RCZtNNtL6tryPmgqrK+hE1NVITbpbiKFfzcgUwTA3LdZ8//CWvP/3AIBpWqAVFsHu4lh
30hIk3+/QGBaRarAdwvEr17/1wKByd4isOFhure/7XDx9wKBXwVIPcAelgGxkfaFN/1zibCxXYrv
YNujwILuyELQ8b+XCPzK9rH9IZB7pCZ8Wz3+Whp/WP+RG/7n8++zsJElg4yFP+qEb2vbz4d+26Tq
+wyGMAh7as5a5+thTYId3UH9RL+CV1ngNPXRR7MuBh4A2d+LhMmqF0UUdF9F2EJzAyO2BmALfBU4
OX48oFUCppqYLuSD7olML7MbDWUEbfQGHKy16Y8jOLoO1sbiYTLQ7cSwOjSYatcNHoPlcXXvS9gx
AJ92U0y8HJNnZX+GqLpeNoQeQhgALCeeERJr3jl9JHxY365tm/dURg1MZgXymK9Lch3kZT7aoJ2A
Em4WpSPES7SYwIsH34yZdw6nBxCI4wp10+kmi13vDZJBIFSPLZafzPuyrO+13M4fEJm0cJ5eB7od
6FkYKrVuZif9gkC/YaON3G3xJZwLJCt+C20aThZNZ8OFCjh10CxiukGsbGuk1RXQSCTEEMFP7Dzo
ABZUWMUyb4WMv0LTA227kQyDSszluqK2L8CImCh2c/hGQY+9L9YOhvnUmc+QaHpgBMsNrdIQUxfr
Xno0VSmay4bG+bB3EIwQqQhex/kRGHaTbflOInqsOQj6Lt2sVVC6pEB32YzJZ6eXBJQu6ErIh0YE
JERIXOCPy9nPsHa8q2i7vMM2h2lRbLqMyiGGTGJ8qnxkfJ4CCCRfi3uE721btBeRIxMObtvLZv+O
9vH8KcgLSDtseu5F81LUEIT753aDFGzEoPWhF89f3RcXcH/GMKvV72zI/RHlCdbZFPah6Z3CnwDh
aJ0L8TKpS4huCSJv0BfW6VxuulcD7DEBTdgk0IR3I4TlcQ9tO6QrJAEYsUzb/t4T+wpmP+g0SXW0
EiMaIyNy0jBzF3DXcPrFoxkvlzD1T9bxJkBqDy7cQ8sIaVhfZky9wXdIvUOhXqAqLowte6rLyNrD
Hk/dgzy6e4fH4RSt8O9di+IIbCQaEmNTOpnO3Qg0+r5RJ+u6EvgRHITUNeMGcT3xugVEfPCu3I0D
wHfxZ+tEMykiLCELoDvvOouoR5yVmTrJlH6GdTHt54134DeH73ODdcWPoDrHn9hXeRlfB8SRyBxB
VCTH33F20V80ai0D1y4LcKD9xuIpPLVbBu8j/tiP/Vh/ESvc3NDL9jWAnNyx4k5kQwV7pon764I0
xaX/5CEv4BF5duUUO8/dAFgPyQAQIpQQ4oEefDPhaYSL3I6Yji228YJdi6Khv2+gYHhbEAP/SZ3t
N4IfRdbjTRyjUK4lbZF0uG6QhsGJiWItCzbemPc9OsWIJ7iqwZggU2OejgzS3GL8ssIqmXfLZwhm
IrUkN6LUzCXMVho+gjeDbakB00CmeMpv7xx+4HdumOLNfYwVqNEEmv0YTyu49TGn2cjJz3DBNbCv
LbIw8Q6Q8Ex3sL2pHAgQohXDFDZbvB0yyCKkC4yYHPFPoh92iNR7QQNqNSkOinQI+UxwTN4Sz0O6
3OOIgS8ILyGPiBHKg72Rqac+awDERuApIRPzoKB+w78E+CHNIM6AyHFREdzNELzjf8w67s8lCicv
RjGZ2xvXiTSSL0mG3+CH9J3a6VxlK14/xbDotvg6RYxcZy62Vp04IkEOL7wUcNyfVwD49N36sP1j
A13X7MJkk3RvUMhx/rz0G7UeBpXJuzAA89mDLZ0+Go9vKlAc5gcQdkz88QzvDyzXmC5KaIzUGaqo
CGb/VJ29dI6rmO/JJTh1zkmKTeAgkI0iVtl1ULCj4EFJWxpx+16BU6sSTSEM+fBnIEYYJxsX6fkR
0FOTpwuGv4xatPPJHJMveM8vATy8uCejfoOHKg+gOMoK6OFSmjoiRZBpLOUTcxMmDppvFpkCBDDm
hDWY2jdGMtvvvXtg9sts7Fm998KUrp8QMPf/cbmDFthF4hR25kJCknPrTX/TDzvWLaj0h3Lnv77+
73In8AlqGdQmtmWG5Lt+2PoXInxR7jiQJeE3/t8dse39y0IiI5KbXRe8zQ/ljvsv7ARo/rUXIA71
f1Dt4BN+rHUQXez5AQzE0Cc67s+1DuAsKuF/UogW+Aw6GxVbZKz7707OLyqqf/qMn5LzTIBIsxUK
lXsLbkkXXqdoMCEkwrj+333QLVzruzTLzkRA09rgywSf7KtB04Jlv/+AW/rWD5Xh7Wwhc9lEGq2P
5MobuPDdB9gzE4takaVtz2Kn5etQDWkBCmJa/zHg+Zcn7e+Pcn+KVTQlG6dqbVQ+mMO9stxnM7C3
aghPFg+/NpV8CUUJENXaccfeKKy5vppTMvRbo8dKUwz/sNHFT7CJi1zH77+5+xNsghBdBlsbTm2r
VJkKwbZSGFu09nUEf9hJeuahEP77VBT/kIXq/PKcw58EYAgZ09gZ4MdzDn8dbAVFpXKYv3Z26G7n
dYJcUMU9gphZPb575bJdG/dUt66OJ62Rct9ibwMoArhtHYt+uhe6OhmyO8NlczG99WK2WOnJDMHz
smyQw4ftD6yXivDUacZkYktMDew10Lbggaq0REm3KPIkFSAYW59tY82IRa9zifLPqKZ37MqSm6y8
Q+IH+BtW7UNs6kFCuTfhl82pFqffD8JfXooQuzzjjrU9x7yNnO8G4eR1jr2KUuWqklsYvra9mM8d
X/eOINBmV0+9tE8AHD79/mNvd+l/GfvffexPyXTQyWuICJmCRdDZYHuVrTDo/e8/wr51Vr/7jJ+u
9eiOpURWAswV8Dkw5GSpvt+pEUposE94Um1WiJrhXMrmVhrRKtiupFD/u9b0SXPYFOt2UyCcDbEz
FsTXN2PBiEYeCZB0VACL6Bq7fPljmftjE6pfTG//dGJ+yocNYDUBtYIToxCEwQiPYG2If39ivqGS
P58YNOPAVZGM5gGz/fGaF8xoG5vhxAhd70mgHwZEdEWqrnPizimD/Kho/NSF87BarfvRs/+3B/DT
l2y9dZoQ9ydzUXqvoVXxmBbDB5CiBw1jEx1p0mm0ZuW4dcblRdTDPx3Ar4bG92fgp6m3tyD0voVB
5ML1oLWikRE86bCIB3qnYQvT7mEE/oSqT0Mz4eFC9Fb6+4vwq4kIALUDhAKeMezB/OM1EEouResQ
mWs2ilQ7aDmKAIY1t1yauPeM999/3K+G1W3rL99E5jQAj59uc+5ip6QhMCWaRXUFAA1Quhaff/8Z
3i9WGUToWrBX3eoJi/z0nRDJ6mOTkwAxXxUyu75O8PPKZ5gvwrRkBnHTaYWwEsFv60SruFKqRRKb
JKcl8I0pNZEqE27mUI4nVxjF1erG+lbV/id357XcNrpt3Rc6cCGHWwAEwUwFKvAGJUsyMoicnv4f
cB/vtt27+lTXf9fValuWBBKgiC+sNeeYGbzmKOj9eKqTnnWrxRZCUD9rPXyVy/5Ror3VDNRC9SW6
oxjvmMEcRBAMp3kn16shHLbo5A96Z62radhLCWvcThfsUG6dZMg9fBzrbMyOhtIfMAZt8KOg/kmn
jSDIMfRbelrCDCpF791ZDOgGhu9wgRHdSE9jObzpdbk1g/glEaRj202ruMjviqn3JENcVU3xIETG
q5n09L4UaDcBxYRAGooVmum49r+//v/GguDSOFFghCqkKahkKhi8Vf5mhQxGkzv4pxXyfzv+xwpZ
+qIbtHcQx+nEHX1PR/wRjid9MTSDSqRBGBC3wRKG+2fPCOOKTFfdgIsDrpYTav4Ix1t6RirBUMsX
F6Yp0OF/sETGmvjrtPT7qf+Ofh7FShymIE38lFZNENf2UytNd7IqbSVtP0ZXuZKddhzus6a4qJaj
FdZKXs39zbtBCUg8lffvbOoUIhgs0P/jJbFxgbq5wD0F+6ofK4pEBk1pOjaY1TvkM1YmOicKOku4
ThViVqGpH8N2soxPq5ecsOwc+daRk9NStbhWijfOn0r+2AA36ywE0srg6hLVimAjDS+5gAsgpPmg
vZqIc4cMifAixdGKFYllUHuusH2VaGe2Aiiow5wG53YmP0QhLGNlFOoqJCCCEQpBy+wq7dlYzdv4
M6aYVQmJ7CC3PGnkKxj6jqb4odfLbVlOEc2V3Fxjo99yEZlbqcWGNn3gT2avr6zkXTfqdYdLM6w2
8o46qYGyNTUACYwrmh1ebl4N+SDhRRQxapK7FB160XCgyiXw+8Noh2MHF5YJn4z+Z37JIJsSWPg1
+cw+O9xlOAy0tVY4Kronw8Yz5op+5otULZSVwtY8t/W78SXah883dW10KxF6TOFVw75rjll+H8w2
xkSO70xPsZ4Am8BDy3SnmiHbOK12Do4LV6si9sMu7wyMVyFaGuohzcPi5t3Oh/wknGOvXSMcULyg
21EYYUUifQr9iRSxVPOpbyRb9PLRttwqK9lHkZVQhlhH18n+Fp+yTyncZp+64ofg2E7R3SDagmBX
1Up8nj8rD+f+e+3gHNgOJ+OTGor2WZTOBLJ/O69umwAR9oYzkPpVrbmDcUVh4KkhPGlBdkE6e0H/
dCtS7DfE070VFA17mWCQiaiFht+dXnqJBC+7oJRiDgcxeAWSaicxlN4dCPznf/FAqMuMK0hNIWYY
OOlYifzdQKiovw+Efz3+x0CofmEWpi+i6jRe/sj7/DEQkvdJb0OUiLZkEv9zDCQMAswSzuylePDn
+Pf95CzuSYnQUeUf9cwZTn8f/34949/3otItHHRVQM0zbTGJDfNGpr2QQPuwDa8/QQIfKUGbwChs
yKtUEMgYNK8lyMjBxprEnzmI1kcGILKz+g94r6j9rsW79ihTvErcmkpZYAfrVsKn4DQwojDuTSh7
7bZxjcatslWforjySvCqlZ28y2/5cXwnbCxZAzUmUEuTXNR8auOVsZtUUO3tdlNsrAdhlxxSaplf
kwu1udCdFXJe3ALr45l2JOomUCawwQSQh3dcTTfTl7bpSUwzHRlHwtKOA/7B2HV3ipud0zcQZzKe
wcjBnko7HJcUIgGwDxl3ckp93r4NZJtszNBBA40HYzY3kjTa6reC3kv53KLupa79Kp/DA+qbUeJs
wNbY3TG9D4kLjd9EYaV/G96G4+2KunQjnzM73ktbYztstCfIR0SYQgnAlYRobtPiG15SeOhMDAdp
T7kSfamdf5MHFwJIVNr9Q766Xdv+CHsb6AhZGq96ac/3M3MMUEgPxUCurYwISazD3gXvewcM9+Zm
LIYCaIi4b2z6VgUJh4bb5Ksqd5MPJilVt+m6t6IrUu2/YVbyATJDH25taYYzB4jV5V1QfnRHZrLu
M0jo7drlt6PyTWboARydO9N72jk5jjHwTbZ6zk7DgX13xwnNdtbZM2XcT6jzaNdCkNy6bVm2Jtkm
+UY2Dj13RhrZOVRtPYgc5hP8VHT3QC/QKILlHVOnWDwodg9Z7WUMqZsjr3CUZlXKrmlAdbHL1/SK
4yF5lq4xQmKwUI/GQTmK5+Krdk+7nyk3Hu1qxFGy4jfd7o1T/DmUl0Q9Bd1jP7l54kJpb25vSnYo
T5pB5AOhe0+t8thBX0yhcMN1gcXCq7w8j76TKdlr24GpqSNyaXF8XZP4kENh7vZKn9lZ/T7T58OK
Zs8zCpFNER7i6qCN12g+0KRREif6dnvXDM/SaZtcR4grNw+j69TRH1sJ414rfDG4H8IPEmPwVDlQ
czoSSpx0nSe7mOw6bW3FE2T2gxa9Nre9dZTjI+IM3KxddLYu1Sc01cI3AyJ/cY9/jbs7Cd2ekrmF
di0wr9D3Kbda9tJ+1QdHLi/S9A4jNx0wbxBKuY2HFfbubthARVfgcl7QE2QntBWdaqfb9HoLnbZ0
ta8p1m0QuM4SNPDYV1hl7hT9MKs+PyCbK2nHpxBw4xXTz8OwVPhXAJby0UlDJ2Vakle3S7i6Uc5O
MSyTqWsb0oqPXr4MouEp8IzMftMkT6N80cqVnhzTFK4Q8n60vi6HZ3wAy+HjIb3y0BphkHQ83fxK
BYcnVNMdTmqZ5g0ZZtpJjLbIU0aVbtaEV7Du0Nrs1RKv+UpRfc5Y2RqwXwVXL3un79/0W4lnUfAx
R98wyHcvirEzeZ82D0Dr7Hpb0LIN2jsLMCWvh4SpbrFUtdtQRb3LLTERapV5RpTsx+Zeg6yn1Uvg
oy26CuwkmzFM346rfJNuUPXAM523ylqDd3WUtnjztuPsGP1MCy8GRhuvQuEiSb6keYIISWmlLqps
J383PpPSYWyKzQOUlYf+0n9mmCvhyCLa7NzYgrBu14fx0t5VH3gHIpzR81tpMdj19xN5JhhoEm03
gKOyJtcwIF2fRHMt04iJ6xDbF7LaMVlF1d7KF8idaMf9W411tlYkZ1Beo+yKTB84xIBK0VPVQ+sp
lGfQCynCNbfC9bDF6SvnKyK4YBOrs7+YwC3pJMsngWjjgGCEUr+wrM4HCncLyNWmbXVLXqqF1qq0
3q3fFTfBjSQ6l1tD1JwOkBGPUQetG+bMYWfsRakUM+oQcanlPo2zyMeipmm7gs5djxHLnUfU6c+N
Ap9sJQn9TqZHS1FqR7G1wYQJUIeo0B1WgVqwa29GhF+jf17BHS9GrxMEgGool5du0RiG50lFZ1yu
Jd61Y7baVpWftLU30fxS+P+W7wLMq8aafl1nPhNo1AaR02dvke7L852RmU4d1+RsQpQ5dtN9p2xG
7nS1V50nQ9un9Ga122FAClBqMr93JE/Dcnp4t1l/h1DibtuwTV9h2YyDs/DZAfv0n0MDavLrVJur
OmLUvHlq4LDVtid9G7PeTEa8xtO2Qmf9kuuIH8zVYi0yYa0932pMopubfgXZqYQ+BGrrnP0Rhfsv
3SMjWVEV/kDbsqzJ/n5pyNb29z3yX47/sTSUvmhIW1DkaOy+kUJSLvqxNGT7bEkGzysR3k4wEd/6
IZoxv5gsG8mltpQlJ3nR0/zvGlE2v+gi6k/LIFVPpzMl/ZM9svR7mZ498i+nbnBlP1elS2w4dd3p
0JSpYrL3Ks13jWBmW7N09NUWQpQM1eDE5J0p8KrCGYpL1N0FgyQB1xOzO6nSJzrB4mvN/E/aVOlF
uhSvtE56yZWaIjerk1S+JEMVrW9F0ENN7p7UmwwPVFYrf0a6B6BDhyvwhPCSMApPD4StJM2d3zTW
xvreuG8uY41icaq75ybw20D8ULAQYvTtbWlAJDmo0mseAmeDD0sCT8mmjI1shg2hgoUW4e9NWE/O
CBXk/FizshBzSDG7MKy3idxftYggu6rRvdSqNl2lbJW0JHmE2EAsbLKXRWniJbf4GJqf+pLKyi5e
SJoNu8m6edMj5EGjjeQUb5QwXHR8ilVjbkYj8nM2onLzElrSS1YrzyND3BiJ4DW4ngSKZs22vKpQ
DAaS3QqKtJ6S1q0m4PFT9znX2nXq0QdE6guEeFfDLIcpcZUnLZGW8SoOtbXQC9tAuCTwDmD7OaGg
167Vd3bFGnGuUMHjF4HZ44IlxGSJwmAOzgOrz1E/EaRJEp6OvmQWzecmRVGnf4upmw3a4GArTpTI
g1tzNW/SbS2XeCc1mvHT2Bg2cOANPvJVP+mHzBLWaVY8ljiJ98AHUKwEs/lNVLqPNAId6v5rd5w0
3yRZWbTUli6S6bv0nv9mx0mCD6Xrn0pv/+34H8MKgjsFcR81NLqZv4q1v2vxdNNiOEOBrS867h/D
ivaFf0ocInM2pinzrR/DCt+SaY6yhV3kepJk/JNhhbjDX7eev5/6chI/DysRhe9YLdtmHVyKl9KN
9vJBXEP2me7ib5ZvXsR18Kk8zLe7jETG4li/CzuyyucTiSbEdLVOtJce0FPol/Bba23nU5l6YUHi
9zGR9urKDPY94pI2N52bR3BlWZJrYl+vSHFtmQjpllWqTLRNx3/QMmq7eIEzQnWE/cZhWtdus60B
3cU9vajKF3yRwaGtXPUw3OmERpMZk2WOmq342ni7S+ONyp4SWzv0sfCBuV5h8bW9Tb5+4cfFdbMV
dt222RJXMT9Md+oauQpennW37dG8+LXHtfjTunencQUXxtYe0UY/8BSWL19raztx+xVPRbVh+XGj
CPgN4y6rVfWSl85X6uNdfi6EO5WNdMeuHK/gUYwfguo+GY9zdNRZDMo+Gzvxdkh1P4bU9/QersEU
GzvYZhjVnHE/zaskWjfKoonsrU1sORmpw4RJOHyKXtBjO8cmMmp9sdvX+dUcL6ka2ixdREdyUUU7
5AKIe3bI+O0b5ysrEAcSJDqx2UY/Zg9rrLUbxcW6cx9OzvhRbUO4bGjAKq9+5RS7u/4MZjLN3HTH
3yzhKBsQXSuy/YHMwZLdRtaFrzl0sSuyDDPWvASGDxyyjq7ZO9tLY92fc//ruMjy2nrVIWAk0qia
DimgC33TnxpW1z7Z8Lc7Hv6rZJyKTbXlsEeeKqzvkxeuAIxKr6ys7iGfNii4XFPxrB0PNQHXAA+w
n+3hfpJwEU4I2R54mhJL3TsPL43nhremK0M3eKlfp2xl0aOEOAyOgSQi1/K88lXZs1+Q9slrdayO
CnUK9ElvzVtNO+UoeeVG3WovuuHeRD85Wy+VrX9j+ye7h/axWc+Phpe+KW675ZdGBtR8FCt/qnwj
I0zSHc7VeFTNAxh4AtSPUQmva4duju+Gez26mgW4HrfX3fE+IvhThld4DvtnkVCVGD2YK12liYPn
o2IcwXI61LLRWow2fyuHwoc7FCOvuh1YhQ5oPXcQW/LU43HicEVyXv5SaPySc+Uea7ALsqBeEbaE
u90bjLV05acLn+MwE2c75cBft3f+gGkR7sf7JgRjy0NA1cffO3o8VJUTBYDvb8fedzPeTR+Bz/PH
O4SMe0zeXP3Gyo/po8aUiLrrLTilzfITXCaXx9NxZpHqxbrPi8UTc9o82Xgf7oPl4fkxTg3EJ9cg
i5+8TsOZ10Z1lYxpc8VPz8d5zRlw+fORhxjFrYpskc/0PU9jOOLD8tU786t2YeeQ+9Jn3u/Kre6n
L8Mp2GmXfo2qD/Ffp6xGqsfcAnS5yK/kl4ra+BNNILEhNH630gEEhmeWm/x2p4puIW4hOPLDOQMO
UbE+h8IwK9fhC+NHBq3nEOqX0kH+B8LaoSidsc0BXPkyX9l88PjiNRaf9O4BF2juZSgl1sVa9OMX
7WJsJ/YYvmkHqBeBmxyR5a50fWsJ++lBslbmztSgDNJ/4O4ifxz5KUZGHR3K3vgcr5WXvlP1PiyX
d0PA66CJiKlUy1yHCdbhovAQviosekYurjtxPlyO2T3EL1yPy2/tMB7gOTo0+lbKhSJ/GT3zSkAy
SRFIgjtxeHHwTZi+8alcMHmYB4G2x1KBNy+1uuuDPTDlP/7kE84LCkCU45Xesv+eDnyauzFeWEr5
V2o1NcA4YoxSp9tIT8I2G93yTUZVjdpkevrXLjxY1Mu4xFT09hpwTtI0/nbhobLz+WXh8d+O/7Hw
kJG+oWBhjcCa5o/VxY/9jPyFlp/BwkJR2Oj8ooqzMIPJS1wxGxYYAawu/rPwML/wVZjposkDYqX9
J+sOSfut+/77mRu/6Z1SE2NdMsPgTnUqs5OG/tsamP9v8v4mGa9a/8yonTVAjfSGWuwtu89Vg7Ej
1ZDajnBKviWNimNZ2QECeVBVdd/HQmmrHa6ocYRgFqwx2rpaWlEmonRURNWqkk/BKO7JUfyapf0T
xIun4hataDAW8ycRqm4YTJ5JiM/CJWLGyIlKqExtJao42QsSfkbQW2ABVv38CR7FEQuB+UKsr3mO
QDY/R93kCWW86eNcsLuoJTPgpQpaAtcuUaz5lgaSLtomVBLjSrwjaWs1NIQWCrT+hyaxx/YSpN+a
nokuw4crXnJDcEQ03rVlQTcYnYGRsSOc2+R2HibKHAVSY+KK0qHzF1AccVQe8WBYuA23VV5Yebpz
RI8+DQlAM6gQq+NFuRH0lPSo1fl3cRCBV2fpm07XX8os0inCVVvHjpXGZ7Wp2HXcx5LxJi/wPx0h
PqguuT5FCiGCNf1WcFt9JjE6iugHqE2oZKeYisu+KhPMlZU/WnS7wullai0kfMw11L7HwfIBThJ3
WXs0pEM74nXAu2gbg1naVqjZeh47odLt09BklFZoe1CYU3KasCxP5rgR6LJ12yJJMbxZsJmlZqh3
NGURPFSgd7KveS5uU2AEkG6C6795cNHZqnCnMsIAg9X/flfD/Y4E8qddDbfoX47/MbhIi8NIRzT7
vftPz+yXYolGz0xa5IzfSyJ/7mqsL4qs6KL5n1Hnx57GwrYKq5035NKUM+m0/X/KCX498UVu8JOA
j3TQqOq7IVhLIBXtWuPdRpICQQ3DDoIka/8baBFQbQ+RcXvs4DMa5kwDh/DUWqEnVk5uXH1ocnAJ
FOssU5IOJODJc4tl+rYr1PqNsFdUA5Aaa/I2c1V28RSinAlOABCP1IN2zUJv0CEMK6MrTThdEjoI
SsV79VbvSDz0oX26CL1yzENjH72385QjijRfOdd1qqlMvU9NQRVbFL0W9CukSetztt56sphisUGn
MCD2Hy3lGs7qR6OE7gTWD4DLMeSBAU8yCATJYzEWpV1HyjoFJrNQVAs6Mc2dkvcXLZPegd2sklwH
INCDM7WU+Ap1/jEI50OTmpQpaNyM+joQbxtyptC+No6e6byUxCIoS4AujSXo/WanPCp0rlr4EFI7
uunU7YouflSxSgQzACIUyXX8gIrga2UtPk0p6YOPIiMsFoQTq1oIRjPR08RTG+smkL3b/KYQVx+P
t9t7Pnlx3Z1JRlWccGp3ZaOzSE4FJKSUuhNMS1H0BvWbMiy/0vIz6lc3vu8U2kXvYr9FxiAp4yFm
R7sEc/VT57fFBjbTRtD5dfUwKoveD0wTyKWyU2X1YHbklYaEtlqvZMpU3hjNELVLoIp6bQWHOefX
XsnSscYQChM03JZCvA6seWvJ+mOsE2nSKGt0XlhY5INWL72phBYbeCm6s+xXGQaJvqQTMGHWLefB
s1Sq+Yz0oYlNJKUmnenF3mpZMLfJjnTtS5jqZwM0/zBkBCVhlYJYqObzuVTrnZXeLip82CVkbgrN
y1gYz1bLu9PUYPRWcXQmQYqWRqnHbN4if5S7q2bJmzIV+CVNbmehdTHyXRUQxpXFbHiylSoYDkjD
I0JJdnAQo27YW+n95eOuUk6zJO1hq32tCumbnjfMJPoWdhKdSQ2rQ3WNamE9NNqpNuTcHZjOe4n0
mNnalg1be5o5XQFLSIrTHYWPbSjPb6iF3RE31NBPbKxp2FiBB/jhJYqTvVDTkAQ3tY8kGsA3eb6S
VrcXEapRl/USgSxQaDA2oRIHebwf2IDfVDY9WAXJ2FpHarMHZ+X3kUTipvyHZPvfWThnoKbKBDZA
JYX6/3Kbsij9fS746/F/zgWGjqNDp26uSot+4ue5wGIdqZmL0/RXVQW546x2NapuaG1NZqb/nQpQ
lhFqsZTTFc5UR2P2T6YC6Xdd73KxP1/3Qln4eSqADZ/qRnjL/MAKro1VcM+OQkjBwsQanjUtIgmB
9eXcFOYpbypawMVuMk4BiYWlVat+EAkfIBew6q/NTrCngWGK/WvRbkIDukrW13eBbq6z8Ew+qHCv
wbGLezrJtdps4JxCHwrQQ1N130DdAgLT+uVyO4zbYRB2yqQPWLuJ2I7TO30W15oekCnQvefyjWWi
CAWJCEYpa2xCGddREzzlcX2MbtOj0sALCu9Vtf5qlcBs48DUwal2WCAP5dhsTQnQotmo6NhMlmPb
WyZ+NNlbXH9r1Pm+Fr6C4XXz9kkRg4Ng3s8EjnX99TbPJ4JM75cs5rKsNkn/nEjw29QSH1oNdUEg
hbWZOX8q2GmjrXTZwkPFTwbZq1puwsIkZhBkqhndZLetzGfV1KYN2Pb9OFX7bk554YfIQrqwOOrD
MEjWS1wE6+tzb1jvo2BRIhxCQG1ac5Ax5ps1sjyVGEebQN8WAt3zv3Y5t1RqRUsSWVktDTB5kRr/
XZFalHiv/7Sc+2/H/7iFRfzdukxOh/bH2owi8I+9IvcjHnK6XxShf76HZe0Lty73MBItZFqm9ec9
zLeIqLKAn+gi5JN/WKLW5P9Sov7pwmnB/XoPGzJsYkvJ2rVprTJsmytigwqbfwzGA4ku4rUTqdLy
penutko0B7dd8V57t1Xr7TqHpNt160V79aDZvFkd81LsZ4RLT5R8i/fi/bay/NKd1tEeR+AsepS7
7YgK22E8iVdKyKhRUQfcMjQgLjZEnkbYEa95tfzdeJofmi0JafjMcQe/UEvmAH4ICyOTrrCj2uy7
N8IuPIvCHjzayoXl8MY6Z5hfbzU+Ahec84OYbIdt7VJU2sgH/QLWgUTbd4geLdfFM3MK88NyplAK
fU6AD/WQbKZ1U++L92kNNpdFBVj2teXzOVmE+BihWO93T+KVWtXS3j5kl5nidrPVL9PdtOZPDlte
Ihjql2ZLqd8hHxN/9f72Ztgvuf2i2LsnDjaAEEq8tNMdrzUXZrDUhZNsY5BmgVe45D2XL1r8Vj4i
rCEAGcN+s4AXt7p51j8T6WMpLAt3cuomG8PYpMmazbH6YbHZfJWAc70arB1EBwLm19Kw9cf3Ed3I
+IAOInKkR5hm1Fj3FI4pqSOFO9DMpHYMZmwVbrVno9wQj3YTt4HxrO1jRnUvpsxN/dOX2DT6EnKE
LmN9zwpX9xo7Gr3GOT2yrXea+wKIvibfG/z6CZLQKJd29B+HetjH6vikw1qPwtV0XEz74+r+kRUp
8R7r+naQhxMyn2T0bniLFdqCnB7lArj034vpFK97faM79UZ67M+c/C54mjfTcTpi56azD2OXN8cb
TUIEYfwpfogfU0mvzjao3bNqS/guBVhM1OM91Vp6Lzu6q3YUb0Txk3/qGML3eAd0F2qsT431neLf
tAnDlb7ne/yEFuzpMGgrdaVeCkosBEtS4IW9Umo2bVlbwuHvrdkKUdE9EV9I1EW+a7eL8fuoEaKa
20PzmnZ3GQLCxf7dUO0mUsOvJ+QVD1AqNzWBuv5w5ifF+kTZ0Hrjmedjw0KPKm+UPPCd6aMy3sZ7
qXkDw7um6q2tZgoHxBjaLN470NaWXXyjXhI5SK1pggoYfnnnksr5Xmf2HtUzxe+XbHZMxcEyHqoO
+WRB50iVE/fOkDvzU/OYf4SlLWzZufGRwi5UbHVvPWG6Rn3dOrrgjleiQ9PKNf26eI8XA3WkESx3
oLjas8CnnNqvKX6aIsiHnQyElMiapYRqxdu0QhIZ7angphxZeQWV0+XB3rnkGmUO4fMir3iAgeIU
vvSwCTkURQ8m/CfaSRsShdPXzvLb9XjgoZQBfg71efI1w4GVd+pRysEtMRz5u89u+OCB6fjCSJW4
3iLzNpwL5iz5ER2g13gw5y8xkmokLevbKmq5zYv3f/WMiDGBsgF9UvyLGsXRv5sRVf3XRe0yI/5+
/J8zosgjU5OlCbv0X5nd/pwRSQ5YnhNMys9aYRzFOtIRurwyGzmNJu1/VrV8C7EKk7e8eI4503+k
F2aRzIz3q1vt5xOXxd9WtWklBy0Tc7euqS/I6l3VIg8U7aCA3QrfXG6tdfuRCPoKjSo4U4IRPBM2
R2mwWXuUPpjPou4xe1HorgigKb4O1/Fh3gRP/UcHVsP8FA/aHiopKhLH8BUXraf5xNDikvK0n+9b
W97Y4bowbDoxDS0YapfKDLgBg4WHV3NucB1dxg1DODMBLcKqD74q+lMZ7Y3c2Mq8xWvpowxI70p1
zwLASXiEA0OIoACPXJQIqoCN1K1cRi1xw65dpnl07uFER8e6OSfNEbmmrNAlglpB9QJ8KQOTpN2V
432HIuaobhBbUv6j8xwi+DwrIoAOsBN8G6u/1u5TUiih/da7FkQeQk6/TV+0Y7kb691Z/5DPQFZC
HAvhccCvatFtWnMXgnhYOkaoVrGKoHWmlZY4DTpK1a5RuQZf84Y4dlfiMuh4kP5cQKwijJ0w2525
u9E9gizrS8o6sXYp6j0ftlnfusVLkx97+V6c1xp91r0Z3CEblAWMsptFPBgtQtg9w44IQgR9Y3Ai
domiSsOLM7x0KVqT9D7zhXwrIKpNSTmhKoW8lGctEfbKKgzn4Hrj5U52/KLUARazE+xuUBcSM/m4
rcQ1EX05rdlzTcCQ8c2ycxvVJ6Fw/EWzm/43EX4b2YaasUhI7plqxEvdjF9vPWYcSh7yASPJJoWz
Hle2GNPZDfx/7bBE3ZR9MM0XdF8USb97Sf9mWGKMoT7500L9vx3/Y1ii7ipCblo2Af9bKP3PsATq
AOEXRi7rP9vwP00MMqoWBGSqDBRWE39Sk1hf2KHjJcNmQYQjQ9c/2m5/307/NDD9furLsPnzdrsa
J00Qb7fIz9oWjYd0e7pJ4Jmq5s5sYhQOdMsrbSRYo88TmvqtQTCmRPmpLHU8Aohzla05yY2XTGWy
IUUTGvr8EJjTkpJ5VqaMPvddNoe70uR+LphBjUZwyJHAIDu+JrJZvOSIolBDRMiMm4sVzK9pGoDx
/4jmtrGHLnzVBbjQAou3MaGhIzB8RN2+lKlVWkehZy+dZT1U7Gi+Rrq6lzGok5Q2rLF2Gk8hADp7
zmT9PCsZCSnCLFGEbA2d9A8079lEmDYmDbjXmzyK36zQ7xvTj5vjTe6ISpK3jcGdhNOW1NbnEkFN
/KrrqXKnQlS7lfFdGNO+CsPQ1ebAudXwEtN4h7DtI2k6LAaT6RV14+Y0zfvGcurFDIKaWFlI3pFB
4Zr+l8ziesx2ZTL5xIuxptFXbYuKBftB1RarSKU2ocQ7IX8WgtRXltKkPt1H5fxpEkpJPh6CW6il
u2hqn1MJ3UrcPyhztsk04Da91uPVAtQlCcmlbdpnQWzJ3lFP+VR5FAdQG2cnpWCclG4PrXK7r/v0
/n+CeDIH0CCRn8zPhI/RV7D/p6FxNRcKX8zQVqjnBc+ea/9q/yc9WURf35cVNF7/r3YNjuXfho2/
Hv9j2FC+yKxhSBhHNYYTVGc98WM1o3xRdFNXVTpsPxxRPw0b35s1KiMENNKf1jNU6SR5aSAzYqCK
1RHM/YOGjbagNn4ZNX49c+O3Df5YWMRYmEXlD00ZwhOSnuM+Wk8CDpwICaUSIqhXKOlqqbxvNGjy
N9WvSovy+USm6S33yZiQfakp7psSwpE4jQYZOeXT0EUBBTh1p5KVgasHrxIw9LBDU1WK5JQnEpEv
xllFBX4QjGYnAb2WKDohPBlT8LvqXMDFEgkWMr4t2SkmQZBB0IEjDvLsq0rkC/OtCakeGZ/2JBXJ
CaJz5rRVo32blT5di+P0rgC0c/7NkyHV3EXiIPNOYXXMjPA3kyFV5L9Mhn85/se7Wv7Cm1bFuUwx
+ftC/Md7mm/oKu5b+Y9l+K96bRk2Lm9cSWfE5tM/1+jmFxBD+A4xHFqirHDUP3hPS7RYf39Xc8v9
eeXWchY/z4VkdVhDUCG6RY9IRYZKi08JiVpO8TKehrtmi5lB8PNky8ckbmldI6BMJ4fRE5HNaI8n
5MHNlpJL+G1+IBUYFYHJ1l2hw+ZQGlLqLXZpHq8UF6fcSovZDvJPqjUKajBxjWTZEXZi1q84YFqT
Wyrpm4Hej7U8JWaIWSdWwSHUQ+DNXniWFyYOeuuyw6DiJwJVbVCwFF7Qc7kLuq7AgfVKiWKvO+Om
Pzc3QK02+i9woqE3EJ6xw6545pHKglpLPrlkFgO6Q4Ymeuab7vCVroZAJz1SMNEs0FrLhwlCjcW1
DJ39PBz7jrNdvnzDzyM6ZHvzuaX5BKWrl4mYCcHFWMLDEGtFkUd2OuSClDkoJyFfijnP/tyf9fDE
lfEssWFzUfw496UWUzkq4rWKOIppCz5dS8Ds8sEnYFd7cdG0EYTYrdgwheLaQuXGafCh7L9fzyw7
+ifexeWikHVbOzX2l2PveY7pqK44p+wsbqc1q/jVUrLDvqIryBKuPDcHY/h74eWZNygtn8w3nmg6
jh9wBK9071azR9mNiltYTZ74ps0k0DsBM+97/0h9x+6dxUq4F5vPdLesU+J12ZwNa7WOkH+zF6j8
7lV+ZLXlBRQKAuR61Xux652l3lR5KNHzY2bLpAh9G5n+7U1+eJU9Umk3+lbygoOishJijV97VuML
9TqNe7JHbeSLwSZwxY+wdQm0kxKn3VEIKlfshmTjZBJQu+OPFq7f57IGmVzhiXxJdHDEHb2obvM6
3vc1eo732vCyhLYBAGihsS11qyquda+fo+fArQ6ld8VfYOxwGXrjIlh0Vzc2n6f6nPvT52kO3OSB
vFifEvBuxkqZwb1wG286B3DaYval03u7kqDdqc9sHr16ZV2oQFFmsnDGE2J0H3nlTlp3XuFrx3w9
z25JFxv9JAum/mvgxms2c/KLcVftja35WCPArRO7CmyNC0tdIq7HQ3cWG1d8bE79SvZQFiAqnDb/
j7vzWHLc3Lrsq3T0HAoYwg16Ag96k0w3YaQFCBCO8Hj6XpBaXaXSH/eGporSrVuVWUyCJD53zt5r
m0vRMw/1Ggp0HBBqWoERfHnC90i6iDV9K9+q7mgmoei2ysVggOKoa8XW1TNfBMaNRcKDad2eF9Ag
gXy+Gr50xc8qfehOik7v7gtOvcqeSAC3Mo9z5M44mT4D+CPbpcSadXNcaLPJuXHWbKsI/Z7/C7CW
xRvQyVtQ1TdK4Oih0/d6dXsFKeWLRwqeCD0DY0MLH5D/ckR2+Y08z6+2ZCwKK80VG4tklePtmaA5
Z4Jzx8bdy5eUu8pDsiRJFCPb5Xj7wqk0JI7uSLu7c/HlR8itmmbtpsnrwnuYPIwjQii7eVFD/WXE
jvuVeuNDtT/d7Zs/chxVlwxj5xNWgK9H/oYgWUChfUX53K22dyJknjuHSsJTf9RuTDWtD8RE2g7H
iSl0f/XprkMGU4906LCi4OV9gDxg4Zd8ijXCdixx1fCOpw/z7XL9XT+rb6MltM9F66SB6t327SMU
WCTWwscupkRvZb4WUib4uHhlMPlyKNjE49kMDUTIV76LYaZ0yEfap0fyM9ayL+LyC9mtX5xsRWjM
kSnGoTyJLgGI6crYF+dqE++Ks0ICqJWcENpSy3PSr+SEd3fcpgFTmKs6nYeiZGssJSddVjYxwwEq
KLqMK1TOG/ELGSVO5iA9YJsLryvZNT8SEuI2dMeJeX5oDT6ui/spSjbYxL16vp2R0Kuh/KTY6UtX
uBPmkVdqltlHgrrW4z2ybnOjxAz0kBLQy9XLC7uAxQomEul47bWRLy2Fg3lI9/oS0683rvBnXtyb
XTo0TNHAPUN/5VKnVeUvXE4/pOHMi1dFdrLiULSgdNyvurPhtWHzSHc1HJZRyGS02Ikehhtu7/xL
cDDNPZUO1vVhr+zJN1llXrmsPMmt1th7YcVahtdbF5vx5w2eaJtGiFtRCDRQt3zQzVcfqGEfYFkK
mLCdG4jMbK+OmK+1Z9F7o9XoE5RwLJ4qIMB+6tFKlJCYIMK2ma7GtXnoXFJKEEkb6+jcvCcOpCWn
WjKqwtGtbY/bJJBWwwqkp0/rwR3CLKCIbzUO4E0stmHkXpexx6PdRfh1X1lkfFkP2JC8yI093eW2
RfD/+ysRnxVwuY/VGt8Sw/mh2WZ7Df3hI9HSVm7t78HF+cJb6Ub22eRjYQVDi9sdBp872ZOw0lup
I77npGjySdx5PwYPbb83HmoXwqt1fZc+Gfh++84KaoHlDGk5+fnyTMEKnc0SK2cokge7RMRD/4b8
rM8S+fAqKrx0xrK+dIH0BHzUFSC8YzwHtnHhuvDcWth2fc59ZLznYeuyjQlE+5kiEXhh7t518tz6
9fmyN16MNf2Ibpmtk0DaJAHP3GMb2HKstYHP2tcwcXx+8qK1P0zWHtTYC8vKSMAuHBaC4Ip+z7p+
FvuZ89GeUi9e4qtCEFWc8o2xVUNzLZIr4ohLade8kN5oUkDzm03lyQG30soAO9J+Szc7DgVvtOAX
0eqnRDkXK9FHh4LLEH7N/C6IzuOLcYr2tCXI09BO3WhdbQ3PNpoiPszQ3CiHi6c9LJwvrBNpgJrM
K0i3pcYXRky3jCXThRZiUWtghlrxBhyyZX7KNpGvwC/kpxlrCosk9NrRsvDRLrmqf6Uh8Dxsb4Hs
oexyS5dFSjmqxxgTTSADvPIh592D1L8BQpac8Q1zHDHFgSTZNzDF1OPowxzGLT7+L9LHRKvX3evm
HgguZnzbZHGOHRwi3Sr1fd1tvWqNOD15I8zbqZx4m62L595LbkuWI3ht7C/45FkBGZXcYYJPdJq6
HL67zKkfXi4f+jcVh6Vs6dy27B1qBmUUKq+XE1ypUPDfDGvykcveVmJYf0QLF9K06s4B5e/x+3BE
tV98NDcWWhbg+V1lHzG8m4jB8b6SZIWMTFtj3KU0cY2daNpml93CtETTqtf1Q8VHf93hlKbKk29y
H/1RvUoQZ7XvwJAHW8PwvIvPi228Hp5TZk7TY8w6prKduuATTVB6kleYt3O/RVx/iIhwfJIPyUMZ
io+C6V/5wKYgXV4eAUdDHFR5lQURtB7tT9MaSVa72tRr3NyE/0OLlPpoRZuVUTce1AcDObvpxGcI
wqGZoHtyGmZN3yDD3qZWu2QxcLPOue+K15ipprH2izDyM977LIyBx8jzliAn3OXQs40ATjNapmpj
DLdh9FeVX8H7eMqxcb4Tq3qeb2Bzi33+ywg/1uj+/OnMZHxSfrcwzDNpveLI8FqP1mWDc9sd8TH0
XusoducPjC32lM90rXRjtQSmXPv3VyxRNUswQA23eRa8y5H8obZdlZOvGUF71sKPJ6Zf4bV0SRKe
5w2oGAF5SEHhf33R9nMRfzj6PFZ0dpXkp38aROVw627NJaFdvcMszzaJXp3ijx47oc7NHsjWYIM8
D4ydRq4ZuJKliF0izW3yy2preFMei5AQ4WDeH741NN4N1iirWqd7EmBpVm60IJpdDvbdehr3YXZ9
TBjy5GXrXA14EUd7Htc5pJ++XfY+wlh7UJpA3vv7OwpM+6qu81iiV3B1iKIG9xT2ZKlXq8oMLhP7
w8VBeVTtIHIu9lU6C+CsV+NqfCIyDznoo4Y0maBO9vqHCr/7fUviWsE0+SEshc+UT4WN1kX0Bkfz
k5AN11Dy5s4Qu3HZLFxuvcKSToIHaFM7Xlx9P/RhlZA2iZXXcS/m1RoVLC/YTogjlXyaijINHefy
Ri78RPC1r4TSPvIWR6Tl7mhzO8J96WY/T4eAwMNFFmr9M2ynmdv9tuwxDHFHZuQXI5QA0pB/TCfV
tLtjgQEfMr214Lzo9Q5zDjg40hgdTDbLPijC0UG0bau0T7lxKpKssr3RkRHiCNNB8nuHc509Ii3n
6GYGE6/xvlzkD9PAUlfyC60VKKj7EgXVlnvfVZrPmg3rc/zderhZwLEU4cLjdkmfUyf2iS/knBvT
mJZOtcvmwdOwyG45OeGZQvwzHNN0wyh9HKRPhPKCk8kuLirdUl5IYXsymfUw6mLWU9geqMAKnGx0
cRJiSuzv62E37KW98IlCnTALLISrHvUC9I6w2l+ull6ugFlqrvSGgUA9z24aaZN9dMf0GW+NLT5g
/9G//s3VmwU9UjBHikapxTCxg/yH6g31k79Vb/72+D+rN7QyaDiYGiQmtN+0Un/UJGe/PZ55g2IQ
pnvU4H/6YmfuHOUZiI1/9it+lG9MQHZo3X/4Wv5R+Uae7fR/qUkaP1+5Kc4t2J805MBy0WXLdDKa
mHxNwR+i10S9o+EuT3h9A/3C9pre2IiDPk7u3KPZLtEk9HfiAhZY52Grt2NTZ8+WC6yKd1xhckY2
euRkg7aq1D7oxtGtBnlH1CoQ3FFY3iE/4ulGMdtHtrn4ihoiIm9DsKgXBChh3xvIsCcYl5ZrIXux
kbvppAkARozDrZTeNX0sg2uDuGiAIvYyNIvxfG16g5Qf7POWUEa7/BbBT5c64wxnli3LWxIXiC+M
HsGoFalshnqZ6M/EfCedfGsSXIZxMPFSqm3+PS5eot5UHaXIOj/Lk9ci6Unigcd6vZszPx+ESJ4U
JkfgO5nSVwX3h8gwVd6u6uiLogASA0fLTr/Jsy1Uv9vpVfkwb9pLahITz45JyWICAtNAyFGmZA1B
OlcoO01cQbXK7rB/1bqnkwFGYCoE3PaQWFvZfNFzhFeElCMm6rNoX6eoNbSiH7/r8Q7cRkoRAFVy
Zy0KlawGOdoT0sdGbkJpRb7HJenVUGt66DcomWl35FYj0zyuWmh1Y8fGsdZjeS5QDdNLfFEXHqFH
70aSeHmfqquurx8rU38tZICbpl7i3IzIFf7XThmEuwBNnuUY0NuIkpH/c8GXf/KrKOPvj/8xZZhQ
OOby7R/GtZ9kigSfSQZzlEQFV+cfUWz900tPXRe5Bo/RKMOjNf5JlmH8htYYHhwESxwyzHP/ZM4w
5oLuT1PGr69c/aX52aqJNqlmY/gXA5kBRpgectfo5pNG6gx9W5QH9QILW5s+iyUprvfDkInRExjI
Um5gXI5e09+ZDsrqKWrAA+qCJ0ocJsbuvcQFZ4lF1XqJhtlD0UjZyExizd515TklZ0vOcdgnaZA2
JWU5gEAkyDhlW7sjleGbYa6ToUaS2+WfE1r80sqMrib3SQkKmW15Kb5k6VmuDVeopWMloyNQuyH2
08g8Ci1PnQOqdEg1BJIRK+HUKigbdATNt/72wGi5ER2TuJeyO84UDDK0ToUJilGvZfZdxuIEbMK/
kViZDy20MPOzL8BNZhr2jGE1lt27LqkbVU0eMSY67RiFdYd7Wqt8EXWFSi5jM3WvlYwBzajbAVUC
eVTWv3aEzZp2beYWoy6QJBM2639ZlOe16y/6gr8//scIM+DuM3xYY/VZvvBjUZZxhooiwnxCDP4m
5585sXO3Bd3vX6TAs5xfXpAYhcMVYA9/+icjjP3EX4fY3176Lz2Vqcqr5iaIt6C95l5MlFqfVcFi
zlYTW2KPZOLWYl14ryroq22p0BbBzh7lWmAQz9YT0zYS1xYtTF+UptN1akUF69FQvUyX+wIJTaVs
8zhaAXx81LtkV94kt4nFp+yqP40D5Y86L/YlLhXU0CUcHPU9lhHZTGOYGRphP0ntYnBZiaZOngm7
9vvVLRAQRWK3FgxpOand6QYq2m66ZNWblIivE9Z34XG4Z9/ZYi9Xw5IYeHRaFYXlaPIGgRI4RbvJ
pOBSxduoHxV0RRfXhKtjalDuKuE49aXqxkNULMv8cjSxgxItvrteRfs+AFgbYMfA6Hm7TtKHkd6D
hayDB7zYKiG4t+FwTwa7uXQnvU9sIuuJrdEBWbF/n6AQVhQf4hHU2qtA4GB9g0lWV9hUVVuVI3+c
AFDm1Bry1CNO9EKQM0h/f9GhaDQvKEqJh9VjaacjHxuyj8V8/omkkAhsR9A5gdTnu4gFTNYpfF+D
RUMIN0m8mphsY8iIkRi7Age4eUOiNret0iZ+MeV2ltEA0j3ceyh2X26icegJyybD2OpId04HE/Mu
aewlzI45LUopnVTndhG3AyKOjiCpNFa9/HZq5XcN8Vzf605enIoF56ER7KP5mKAgu2WlZ973UT+4
V5b+TMNmpl6Beh0E+JXZ5UW6nFpidPqU7FV1gpN+pRhJ/VkuQDZAK8870VbiZ0hLWLugb/K5iSMK
aDmcqENjv/G5KUmiv4HKGxEh+xoAx16DW9t75WVwRbEJF+Nifl2uhko2U8+SqnpqJYA/ISsMtTGA
cDsfEHuNGIOvPGX0YuYEmpU0LKIKwUzhsmG5CZp5bOd8wVKrz6IaPVzN9t87d7JG0/dF60S7ViaX
9b+0o9kRcC74ae78nx7/Y+7UAX4xIc8M718PNHyJfjMW/9nTNCfU/Lk70X6DzD1Pj5ydCC/6aXOC
nPQX/PY/6EerHJp+2Zz8/MJpnP/1PBPfynGKbrnsG/1V2Jay2Luqgds7UWPE92UXWywIr/ElpSlV
1Vutjp4uEnZ2nLFmUZ2K5KlQ9EBN8ANOUhIkSbKPcujSeaUfYgFus5Y0+7oXnxfJnTysOyLwhT4U
59KMRtb+LkzaDxHglxUhm7AaTgfKpU+XKEoNU3O1fqQn26O2uFM1SzusTTgdUXFM0uSJ8Q32VRFl
UljdCxqZM/BzysZF2Ez3TVOqILzMcXQITqFbJdMnBfuHcTbOcVbK+eFfu1P4/W7FLITYQZkpxv/N
MkQKwt/v9l8e/+NuZz3H2vOnAfynnYL0G+Y+GMvs/+fdwHyy/3G3azwImQWb+Hkj8eP4PiukNdUU
RY7dczyU8U82Cjzb/3C7/3Tl+izO+On4buDUvsuXq4xMnj71RskfaKwPO+G5kELjW4JI+0Z9DruP
6pR0i/TonJl7E75lnX6X6ChaAD6xRc2UAtC0G6oAYQWyjNFHmIE/B3YURbFse43hpHzM9iEWQVaL
VCS/w5+NNqgwKBnzpFqOPLakHK1TDpxO1eiQOOas7h4l2/niFLCWK8V6TK3H2bQD8sWFb1UjIsAP
Qb0qNnYLeC8JdKqqepcHHqJDYeocSThIigsI60zxkefOSD67+XNEmk1RrD/gM4C4ZdiXr/x5PNye
+4NxvnxFUL36QwPVxxNW/FNkIDx8NjTlHwkY0BtXz5EBfwFQKbqq8lHBrDAYG/4kVvzoQDrFdmyb
b3T8JwwX+ilF6lkD8BPh+MGxAzPqNcUG1QQpUdHOwPwxd0uQNreSU1bgcnHWAHrSy+cFsezdTJCC
n4UTPn++APk1aZ5i4TmOWzYOkbjMxaO4ATrdYzKpXI2GQMVRyA6bFA00umVHEVbRITld+02CjkU9
PyyGTVz0RMW42KrZ4+gnrDJ3fYPoU22fSvHxpp35Q1ds0G1wLfv2eKWnV2+zY/tGSwtxTWo1Hld0
W7hZT/urBlM/5zVbTDxcMHIWyrx2u6WiEyFMeZviFb4nhap/txu5TWgOuc2DoVGceSo0pz/qsHiu
DkoWVDaQ90SAhWrAQx52D5OVFfb4RRzA2LsRXOltg0Yev8f9W/cNch0f6BR9G/0T5DHgJ6M7fpAV
6V59eozZIaVzw/sX6rY1BHdA1/ZHjRKVptcLbh/KLtaF7A7eSLqJp7nLOB3UQxbyRtnT6KeOTBOe
ejOEWwlgIbUcWz/LoeFUPm+u2G/Qirj7xW6x43137tYbNJMijPnxpfZ8d79gczPR24O8Lte8gz7y
WUucUjtFtg8GclzucertyHGgaj+V64x2ruX6Txr/R0xeuamGJ8ygNmTqzddi9wHj220r60Yhy+K8
fLUK63WX+fuF4TffNBEKe7ktKTMbyFDu1ugxdKPk2BFM5Mw9VPUxHTsGMyrdNl72UJL9bJGutQap
jHcdm3Bq2qem50CqF5t7RKonokDfrFuLdim2fhVjHuxtwqGt7oI+pCV5R4nXWWdu8zv+o0z37tyA
Rn6Q0js+dVxEc9hiZVzYsa0XUNHKCMaLpxVIn6ycI7+OEEbARxS1W0G1zX27MmkZxV/qi/rSSjgM
rMVRneUDT4Yb+3D/V3cUFS89KofPy1vzQh/hX7t8oSaXKdvAG1JF0kZwp/7Hgy5SwL9Vn//2+B/L
F1J5TK8411kafze2/lAPiqrCLxSEfxSMfixfcEowpsNeREBozGvqj/VrBich+AcfK0t8ly3eP9it
Seju/7Jd+/Wlz/vCn9evKlblOLsnUVDcVbcvFuZ7vsiPvZKUtmyuJeaYPN73nE0SjgIL8WtgpREL
BDLVEEKsIOiHsF36MEZ/d26cGFu6HyoK+Hue+m33NBDh2vR+atBswjIXTwYKdlAht8bps8LNZGyW
bb2+kKbZipF9xZvXzKaUK/PonCR6n2OggBEJX1ODje1+IdkX8OKQeYs78HQDs7eu+p1invIs8W7N
wpeKas/xzxdv9bk1DLu8GMuhY24FAK1IU+YKaeTrqU5IaoMsj/RNpf+uhmrV6uZ3Mer7uhY6N8qo
m1HybXSDdNkaR2+NaKUkiiqTt7LcE6/asCqMIf4oGw+8XVG2z4d1H2koL6EdiW5mdjulX+zTHIi3
W9cMwbmcdJeqz1tDG7Y9sF23etH0NXBKRreAa9eeI71qw77NwggfjVCW8fbW3KC90fitx3KTRSWz
J65PNj3hgvq7PebZOZVQ6AtGs1mQ/QqkCQGlFpQ6p8688G+mvJfNizMZgRTf7n+k+v0b2RTsUmGv
IkuHIcF5i/3+fx7meFh+3aX+7fF/DnPKwiJHPYY5HIo/Dl4/hjl5h0Rycm5G2j4P2P+/S9V/wyxD
y4eRLlLHZi/6v/4fnkLmW/B7gE8DVNLnx/+TYf67Z/+XU9nPl27y4/4yzFs1LvRGAg8syv4kP9K7
uRn5Op+uiNWi87CDUh5dL1Z/qO/wgjrwj5QPooXfYfgGMObAHNon3MG6TkhOttPMen1vNqipxA6F
L8qMXYfMAze78hA/MAN81I/RK8lIKRIo9LgFw88hg5ueaHBZOPxlaCAsQhddham84l/xLYRsfLUp
l/xO0gSO+OrcLcI5CaIlkN3VhKOJAwS85iHedcR69QAU7RRYxZnvXvZT0AFSlogPBoDMc5EdPovj
jGjJUwoXe36K0/BUnOMTzzlfE+qJBTOYQ54A6RdkCwiSayy2PLrYXF6Kr071yUQwIMoidtjPv7Jz
du7e5/+lX8JROKYVMjYr/bp+XcL0PP9q3pun+7twvJ6N/fWcbtKNEZpbczv/fn/qAsHW9vzNIa+S
r6LaOZbvl08UOfp2sb9uFnv9SFxExHfl/WKv8pc2cRPJJWvi9qRuc0RmimU8JE+LT/4gh8pW2hrr
y1oOVaQ5KIGwQ+8R6Ia3VY5cRgyzfu7A56ZDUHabezJ5xrn3x58R9P7xBySzC80li5u/ErCtsnFE
pRNR+fzLv5SSTf3yhcqWrIlxcrR4BRfvPB0TmuI6KQ5MPBk1dViedk00lE626O2FKb8kEIMd8ash
2L3mI/0zrpjQS8r5nbzRS4D5kJQgANkSTb42jjaGduRco5Mbjh98IBNR4VVN7VFzxyNz43A3/r27
lXkamwGNC+o/nGIpA/3HaYwctr83vn59/J/TGCdq6sJMOHPWkPqXhGPK8hpNtt9ZjdJMTvtpFuMf
6vNEtoB6DIrt51mMkF2FK1YNpty59/5PNiu/145+aXz9fOW/Qnau92kcu5uKhLfFCgxLbHcvBoYv
p7QiET7ltvGL6jFBE9rfnpRImezqcpRSKd/EYroE+zcRs6IgSpf0x0xQPmWRdfWuG6OlReN6kamo
0ORoo7Ervs+hDSZ3ZVK/D8q1XjbqFcdA1Wpu9zsa8RKT0qk8ZBLHF4wRottcya6fLEPuvLZm19/g
mm7Q8C/MaZPm1H27i7bk5g5wc7i3i2zf5GEL9I39lKQ5eSN/UUz0LhLsUkA2m7safWjTcL6nSkA7
W3or7y+U4K2ko5At1Yt1dtMkm6qruSvphbcDaYrVKwNlE/fae1G21AV0FfFzxakjiao+yO5GRKei
KLRTUZPvWaXYjNIO5bcxbYWRGI+7Bv71QoceuZJ+6c/3y6cpfKeJuIz0fA0eZS034oOoLAjNjAVP
7WsEOwNy8lFSOeiPcsZ0WJlPhbSvtPhc13NieYZ+jc3xRxrXnkn2Wy/qPdWP9mqnFUcr+k+enIN1
61osgqaara8plYhrAs8usf+1ZxKYAYwp4rpEDLhElYr/+UyCW/fXUf73x/85ysXfUNgo6twt4wl+
r5v9uVkRf1NVuIj67CdW8BYzt/xZUlOJYpz9eUwPv1v4fhrmi99IPleJyqBfx/Ua/2iY/54D/ZdR
Pl/5giYfpEZMyzNt4ecjSVbk16aOp8pvl8CkXaJoEKG1Swg7du1KXu68c2hwRdTPnbXGl28r6H2x
raD7vDl7aQm+CVfHzXrTrH3lUJ24+Y19pmJkCfvE/2ky3f9xVf8rn2lu17yp/8///h8ICX+52Hle
/PliywIrrWGOVDGoJUmodOWliM4e2EHpKcHgDKi3Jeujdq5h7+C7QFi9L4DK3BBwlhbqUmt07tQs
SGt3DLteqc5/ucC5APkf3k39F8+j0YkDrV0uULfe399fC35PXYh1WA0EfhkONTjqLZAXrMZecjSz
Tp9OvhT+S+w4y8j8TH+7kh93tPxLqVSqkyruEq5EGL3y9nqn2qU/d3Vwe7jgVZMHSyqsPrWxF7FT
VBDQv1+WyYsexM/q6hqgWxS/xW8Ql6Zp9YAuceVkDjOY9p1hFXvmq6gXCzTwozU9lzT1iFeSLbXm
xEgWmR1pFqFxCWrAypaeKaRoVKNqdnxOr61oqpbmucjdXnBJXEvA3SAamv9Dq/s7t5024BXdz5si
W/mDgnY/Oyr5nG93Q4j4QsvWfK5snFDOQ7d7VvaG/R57qPItlU+V+CU8KvE6WcfIOA8igSncwLjk
aKqtee2XTfQ2XK17Zy/eyn12LN5uFytdxZ98kQaFHz3VFPmklbC9uvdQxBihjfNtxQ3WBSVOgs6p
AukFTRe2gUt49SUHw9GnCsLhVd+NqMJ25i7fV1t8N6702byIr9nqui3vzkRlz2YWjrb3q5U8yN+8
vARzN697/ro91pb2CEzCmtZ67HQPpPvlD+JSXxcr6eXKbtvBsOJJXk2uN8fbh1FyE6xxdq+va/5z
EsjyRKy1XYgddl2CYQ9R9i6nsNwzTvDYnCE7PQtrIRzObUx+pkoJNw+0I6zhALeD3W+noAkSZ1qL
LjkF3uwcGkI9INx3cqSnyeHdOfZ+vksPFMypRC+A8Re0kB1lbeB8Iwcpf5nw0qyvQbTKAmglbOU3
ym5R2uLhchZWIMoNVwzwIQnoXhvv8TJtNKBLD7e9SnbXDpAT9e3X7DF54P6SCZ97hllKzkS7nPZs
UtPMT9Y6BkYQWNKHvORD1SQ/SsP6u0TqDb/ukai0fRGUz/dnkibIcUvs6TNZ38L2xhuvOm0QL/PX
CjnYIXWK905bdzM/rD+0+acCyH50B/A75AGCPpWtO0w+Z0RHzy3jdJ8DgFINghUFZpL2+JnIm8M7
WRORN138eWTwbjxeBVf/UCFzQpIlIKf1RWIGqm3yEn+aVFxkp44O9Zv+fCVH2e6cR4Q7pfO58HnF
IBFgh2WwWFrv2nlUeFm+9T1FeuxWz/d1S6DyPl3J5+ZUp7OxSX2iAo+DCR2ROzDcrvZd/SqFHa7A
8L5OHzMKxdsbW5/JUsn+Q07OOSB9A4Lv9BZiRsR427ZY9d81xeWMtFooLcs7SRLkCK7qw1T78vfC
x9C6oktPO0I93df1ttnn+DajwNwZr3g+d2SPXW8n7aCgCLaMTfqIFQTpdOSW6bpZG3BEhM/ohImM
fRkHJP++g4pANh2IlR0TOckMn00UlOCn5ky6ZnIgSxBDZ12BJI7mU7Jv1iYfxktDofmLx9GWJ4LX
njwzpd9RNbgCWorK5Y475Eh65ODpDhBcFxVAyGwxOerzuKTtslbajeyXa/15aFzF688im6NoCSqY
2jYFdexOsVOwQXWRIYPvfpe3+TrbTmG6xGAagkGREJG7wnPWHiFBXI+yW7/qTyWYHZ6mOjItpuJG
au34M8m8lOmebWl8vA0rJp6uPgzdcrj4+Gg7DJaVFb+QFKm9GQsnRfw/B9AZD7gBXtCGgDKTLMWT
bd5H4UPYFUQrgadh0eMe3fSqQy6gXWx4B6cVrEXPa5hCJjcNSo859rG2HoZguh2U2o4xmtjxbnjv
niJuEoFUDvRbg3N5lO3qsSOvaIcEpHEO3zgSkqPoxFZiL/ziEdBrIju4JlwWLxvn6QtuTVxU81LG
fjoErcVbma9xLdnJV7uieO8wkCm6rRk5r7vced09PxJcZd82h+34HGX2SwS+5gz6LVkh/Byf0Htj
DrOF+WXVdKSdWLCVIOclQOaamAn7zUPuRCui/eYAD81vQduRgtzb2vZTod9szWMXNLLq37ptI3Ba
t0evBTybYrSDiPkEsFixY2mwk8fBPtLJUDbpipbSLlqSXGoUXwN+h3HxRcuhrAs748i9GFMfFocB
zTcDJnjHgmxHdnlYeDfsi8/Jxc7J/fwm5fQb+sZ6Yj+E3wFX6amibeNJy9ub+NE7qr84jS8YEw+4
fArMuj6GkYzOy1fvXR/6NTzdB+jHLyPznKcvheU19pPj9UF4lXdwR78XTCBb5es6+1FOYkBA8c3V
ggzvF9e1uw12cZoIZLDuR7KocRWMVyt/w1eB9UQgZxaJCh6XR+2jTddVep4y5/54AfmzBQAaXDoL
jh52rmpdUk2NHdogxb5wJlccPR53e0tD1e8/UiIw8K1+spq7C2aXPRGkNXPWN42jZ53MPFxOkXvb
3ZMXLXUfyEt8p0Cjoi/eEFcYi06xHLfNrj1L7/R/4Mc/iXuNNB8MlLTcbJyng6W9G0HaLZWrLW20
lfjeN9biqTkgNKQvVPpETYiVi7wKAnZ3js11pIFku3I0w/2t+Ebj8jY+KppV44nmrlYJ06RGfrgI
Nr6I2RVzZsL/UihxMZmGuCs0kNKaj+Kh2ifHEsLVNt1TQ4n2l2eZJfpu50w62CEM4ncHYNDN0dhV
bB4qEkfn/Fc0Uzggca35VTi56rl9SD9LgOCCGzWu9lGvsQYLy2x3pfj0VB6MYHqUT/m3cMgeioeY
n11Y+iHCOJRuKM3Nu+fFztjpmXvb3txsV4IJPw0bgJcWebxsWrl7HOXtXHmaR+TOkptxU/l9db5u
uuXllGj48uSHbsVC/6A/1Zt5udc98Kun5KS/k5NaHfD476oNn9D1cOeQvZm3NvAGgnyPlAILPbBF
kjQPWtgE2l4KFm78Umx7JswBYdrz5LFJ65UHFtDFoSWIgVuJTRnS6pZ63mG2SdLcDbGPQRHTrqt4
d9/1X1QOS4xhKPH6z0m3kveYI0aEG7DtLepvlVOOlnS8ONSaEEk1S+Wgn8UqpMFL2mbWLz/oaG5Q
sY8zVZCAdO9SbpRxV6pwQiyJVM/oKNycxTMhmt/lW/Rwe1zscPhinpnnj1UXzNeUvGERJr2NwM/J
zl6Aq4PvesT0VtUuvm024Y/NVpg9jE8ElQe6O2KaAw1wTn2Mk14VZvvycbKFt4xvu2lYPiIGC8lw
x3FOKqyfvBmtNXw3b8ryslOW01IMQZFL2kHdsimLCkqgBcmr3V7RrZ5MeKbI9ybAjed2RCUco5Cd
LHZKjfwfOwcoue02zcF46oP01PjA1Q335o7hbXkldGXhYS504gPWKBdBgI+nxYWQBDY1+epXWNR9
lRsl8wxbgP7JMuWYfkRCTbvqV+V5DOQVbiucWdWJ8NX18Jp5BTf5HdO6Hia26chB+dq8JofbAYgZ
DinReiJV3n6jL+REXnPQ5hj4VXOeaOQur6c6ACBxIrir/LpvcNIn2DRxuV2OCuXf3r4R77ofn6od
qTP4cwnZ4nIABni8AAhpwp7tlS0GxlF3VvFyfMJ4TijTuQ2M7e01za3/y9157UaObNv2hy4bJIP2
PqZheieV7AtRUkn0QW+//g7uPnXL9MFu9GsDjUIXVJlKQ0bEWmvOMdOT8tI8hMEyZRvXD84dY56t
vBVn/Tm6mjeFFA12VEjp6jKcVpW5qRWauFf1ubl1J9NZlw7275Wurur7YaOtp6+gYvojygYkjgzS
+G94JKFp2W6DNzQcuBpw1WLCa7tFewzvQEiCjyM1gMb4F2NJZMbV+aYqC/U6esNn8s1NF/E2wLZE
rvJ5ehy+TvvoyouLFmZFGP0uY/TN0Q9fx+4Di+IpuZnceMj1vlFDCWqxu/GRs2t6zfbWrn2Gfxl8
UVgUdH8r33S+yBi/cLRjMEXPZ9E5q9Zk2LfOM8/m+4Xan+ymx4ozHdCm2qvyjVjHWzD0D3yXJ3tV
kP/jbMedvZdc+lwWAC6XnHjIGmKA4BEi6ayqMzfmsOwe+LYqwmxVHFyYutWVQVd4Ngk6l2pt7aLT
7ALV7tgRx5fwvjnoOw2/WIzB82Ju6c0vikPrOZfmPN9lREHucqzl8dkPV2Qh5t+aaZG/5B6j/bh4
sOLlauYLFA8JeWnqAg29/tY77GfTQ3fHHirvtCVGED47eWd5rMqZv6i/tISOB7MP0d3LO3nnX7hb
u3V4h53tMdySkrw0N/mX4tF/d3D7P1Z7B0AAvjeu9/5Zvwx7hBBLwkyWONKwE8rFS8zHM32FnIdj
nZjtO2Inj9mOlTn5oj4HV7GvUSpwNbCnnv13br3/+RSHNZ/JAoNouMFh/wXrKiX87Pw3sG/zv+He
vtq7/ZHz8FG9D5gS+NdojyHvXdsnfO1H/Vm5hXfFo3KrgXcg77nydnNub6Sey6+qN58lqs3wUZFc
FTx3DxlW14eAe3BnXwmJvTVLliw8zS/6XESJR/PB2rqb9LE+Pnx2Xlitxj2FyHZe8xFZ5Dini01z
C2G7LhygGAhDCNHi9fqrHBfga0YuQH9mkHyI3sYbQYECKRDZ8Kf0CEABnMo6LRnurNzm8t87JdZv
Tqy544bUzIYfpCINo8v1aytnqjL4TKItN9V7wlXDZz3h29ypn+wwUiyHdtE850S10Xvw90FPSjkd
CWcvjz3L0VPnZQvW6XPOaOeYfa3CjezAKEIYX8cvlzLYWchG0DRusbLqX/Ad6fW+fa+SexPuMjcm
JlWUXzB4hgNZFEhxJzyGAEjix+Jrz+qMHOc5vPMPDXzND76D4iPOPfX8r22QzsoFgdTQFiaqBkP8
jf8HIOqvCtv/7fHfG6RE9CJlxILAr9DRCdIF/d4g1f6YAzGJnPnxo+8NUvcPYOQW7iB4TGhgfxVt
GBaYcmyDwGMFKQX/ZA6CnPfXTtrvL1381tMbo1Sp6ZsG23bqMIb1b1JIY2Uk0SliwVCHYEM4BV0n
v2d8R8qIGX2WTXkRsX1VSCiPe1AOiNe1etrGI5epMNnsEjUkfy8LLmVFJDZO51gbbsOQHfpcvEmC
us1KiaAj84R1pZ4jC61hNzrOVogRkHQJbGkAwYPs39IqL47rVZjlhylWDl2VeVmSrJx0vBs7cuOK
Six9eEbVyCUcic9eN0dC3xX6PaG5Vwvlo0iQP9lxLtDIldka2tnGdpJ3tcpv9WDc6z4U8hCFvhKR
qu7UXbdI42qdcaTva59foO9sLbqv7Eklsxg2LG0Re0IEEtWeaRmnMiwenK56TUKNIOCiegpG/7WM
wGmn26afNI/nlqvOkl+HlCNdfAoUd4vCi+ZK59wlVrXzbdOAjFWGXtDAniG35XVKLALGBs1aqBl1
zVgqLMo5gx4/aGhNI+pe54kTerkm3iqcfD2Ovny29rl4/KIMFoY+pDvTdMyviVHFp7L2b8RRoZ+D
j6UUlLjC3xpWtnGbDlO5SFZKVt4VsqGEZHBDmI0LiNas6QlMMYXomKrrqJeb3K22gRhoqwIbF5KV
m4XWFqM3sZkkxYiHajhHNpHiNldUwLauwW2oWpJvqK0KebCVejvVBSaTyblFIsOb4odkZfUlRo9V
XEZUt7777msTKgA87In+rQxHohwGjCkSn2OfNx2yawg7+rc2b18m91sobuNooNKGWoum/eRWobKO
Y3tdKpR4bTo8j2Y2LoQRs+zanb+wUCjWqslTwExITDc9R6U46OC5W7U9+kVGFaqrZBFemKdgxrFt
eeK5mEL7znPkD/Tma/O96sevgUmPZbCbCGiZLKpDkoT7wggu8PPLV8M997ehyTx/hJifcnykFT1N
vjHC8RPs1A3q8yCAsC+BHw17hOJb+G9emzSvhm2e65Z2EuL12MtL5AiVIr81je1eO+hocabe9/FE
oGioJUclnlZ2UntF4+m2tikz55nAonUx2gt3bPW7QAA9843YQwl2bFXQav7U3gi1OKvWY1lSoY89
5jhOXBEgDjFpewfoMZKxbZ6KrTHcZ/lr45abziJTyr6oU7n0k/DgB3RAc7pLQxh9CbtHVdKmtn3y
SBKAHuywA+3K8OJmxa7FEhSwD04OKU8OII0cOS5nkAA3Stl8GpVzDuRra3U72MGn2KV/49Os1eD8
FvQBYUOl9a3G0SPN8eakk1e1R8eGzB5SdxvHStw3gbmTk/xiKoZXK6ugh3JaNQ8ybBBRFxElmVly
lhCB8pS0AAta17nlOoNT1LDpRxz4nqmWCyXX9lU17nPOHwE0CTEGaM9w9qEsaPEWJeqrk4Y4Yuhm
Qmyp+nCl5yRETupRs6ZV7/brKYyXlhldDGMue76mSrgI0myTd/S30zv8M2g1YanYrJUhvyTswarT
rKF9WTfvggXXMp2FiwrLJYBWAc2awGAuxvyLz2KSaChyE8CR9nNCt8SmaTbZXNH92Swo/n1n5bv9
ivEwZqQRBg2hA9WhzLVVy7m8wTrWYpJq/DtfGhxRX2o+nn+v/IHNT2X+aLHlQ15kq/3v8geiQfgH
Pzlr/rfHf9/3UXGBLZ0J79/lCv9/39f/QOMwj001DAezIOvHYJR9HzQ8zAIUXtBUZ3HodxWXi7UG
s4NrsPnPas1/inr8y77/y1ufKQk/DxuzTqmHTnWo81hWpCuaRU122WMbjgcJALyeklVkZNkpNV9D
kcm9Yw7Ok1AcDz/hU1wHl1gdTkjSLq7F+iSHiqJpfGVfW6eQMwoDZU5iglFK0ppGRFT268o3U9K3
9WvpB3vDSE6Vk+wLC55SOmzsocDmwDE+kPtgVI9VrSrrom6+DfRMZEg/a5IIO912PCuugSMuQ9I9
6VG7sAA2wmvIFkXkn3IMZiaYwmKEkFK5uzw3TyqyZli+pMjpCB2o4DrAlu507LrHRoU6nK9rXzl2
5G0EAZOb/gW+8mGoSfKQVytS19DHcQUHa+Ilu+qzSUDSqfbWHZnT+NU+MN+hPyx88lzS2ahc3lpT
2SkK3IGnTj22HH4at12xT7fV7MyAwmjaXl4Y62nQtoGBp2lqMeC7ePmJ7WxLayO0dO1P1ocp/BMs
CtrigtN+RBOi7eOzEMNSCmVT69oJ0oJn0ouKYhfjh2vdnAZIkhbDwm+ZJVWRQMjtIxhP73qy85y0
2RXjtsLcUOg6EtfyvtFQp06l8lLVMJDQXxwC4vCq+MPSoq/GWL4AZ2CvVftVIvQvUzSDCxMqtC7a
FwMkQIUt2ZbaVdTFXnFzOhLMVEZ6AewkODP0iAjurI1vup0027ZKcq8WOzXRX6cubRcm5gyB9XMR
+RWoOj/dJr2hLeuA4LpCew/jej/o8VHLUHpN3afEd6iw33wZB2F+LWD1N9JpVkajrm07AW1XjLt/
cREDZH0uNAg3IrxM/VuLtfn7YvbXx39fzMQfmj1zZsHTYqiGR/CjiIHFTBliA2qeF66fJan4qHFP
m9AN/qxTNMQX/7OY8SMWU+gH8zo227b/SQ3Dmvr7WvbrK/9Pbu9PxqnOzhuW4q4karoz78uoww4R
NdsautGUYiPNDS0/FCpTfiHWeRpv7IgcHAnwVYKfSnT9YXLLW5MUWIoaAjWN4D3ONTq3hP415rDp
GvVOSeqPCu+rnkFtUuSjL5xbrEQnS1qLqs6P6RSfGjnsZUA0Y+cebHgo1HWvg5PdUusR4f5jDDxr
HAIvSstjmCUXqYUvCsU/WslKyqsWxYpnpRQGaLqvMpvNR9dgSjbJ1K6qcly7dvysx+nBDgJYSoG9
DlwoLL5VPLeBTbigNnht6y5cK1rWbudNan4kj/Oo0A9we7w05ch+T48stq6DS5MLBHxv9AjRHnWF
/lGoYzzq9HsdEJFUgGD1gilL8WUAWtoKce0Z8iidcpPJsM2n4rNnMhNPzc6WJAi11nmIrH0xVug3
zWyXS+fWGWJtBcaqYr4e5Pq+gQdsdrBqC4ZNrXKPs/M6ade0NrGXaeuxGh7DSjuHOv1l66UqzVkK
2mwRdG3LKDuY4bn3C48yVZmSg9lC5KsMJmQYl2rjqXbjhwDFvA1+wWmZy3WGJ6W6iFPtmLukCiWV
uSpZGnGP8YDEhbPVQVOiOturvXFwOv2ojOMulPm31oGy32iMw8voayaUpTSLcR3UHe8ro5U4eDC+
SftI3nQl+mRR24bOWXXgM6VoUWGwXhqHZd0iQM+JjgTkHROCg/W+7tapySTYgpcXWRVcxs7doFVD
eISY5ZphaJW+inm1rZ7jrrU2XZXcmf1w69p0W6CS4/rl99bJMek5zzOJckTy2fgNA1ha1Wa9aHOx
CjhoorEieJKJXPFJLlincNbkmE7i56rRxjciRJdSze75BkESM0jK85Yh31TebL6HLtaYhVOeCvdD
VNXJ0U0CvbrHPmxQIlWIe7ta80w4PouJjMpSLRDOhOpdkNt4zIzyoTWg1gVcRdFoP2M5WMhWg5pq
qOhlOg+EOQriEgnjR1AzSxhsDOAlbOBh2rTU5X0KuMwgd4DKBbFFNb61zrQKUU5brbuMQ166jqgk
EKaX5EbktVp9n/bOrRYQhwr3UZuU7b94E5gRUJxq0b0Z+BJMjnX/FX417xK/nmj/8vjvmwDwK1Dn
6Oj48z/pmD82AZpcc1aHPR+kZ/4VRu2fOlk0sISLRFDFKTGfM3+caG2NsHfXRYyqoSD8Rzkeznxg
/UkSxln8l1du/6aeM/OuMIXtB9uwLpONnDpEsfpzkJtvNRwdphGWQRQlrZHGsbxGydDHyLxhuXTB
Li1NxX614rBZN31GYI6vOcNaKOgHOpeI8yZR65eIC3xTyqrYhtxDIQSretJnlBXMuQiKFpxUrZBy
o7v8O6g5O9gZ29wi+KP4sDmDdtTeWtccy8g8lVKeR7eIt2bVraXPNEsvHyamcjNva0jjB7ctewpT
WFwGOpYOOFczU7oicF0x2K4AfFephWtjxnk54iJz7bVywDEEr1GoEnCn8KKG4D5Fwm+2GAVh7imh
vtLdfhMP6lE6KnVvg76X1wJ1Z2RcA6PIG4wvAY5aWUvEPTTW0Rjq+TLVmNKENJ/FZsDolPfVpi4D
mtrKv7x6tLgVuNcIH54rsr+pHjULT86v99pfHv/9XlOxozsWSRYOmuU/JfI/usYaelZ4EH8S/3/2
AOHn4/hnIJu3YMrhHfpxrzn0mmdoAzOJP7MH/smJSxi88t9utl9e+u8nrkZEMY49295IWCAL7qhb
kRHHVZlMz+vc6yYcftPo7EKlOOnSIihGDxYyaIyN7aLJSao1YnUka7j9DL35ECocUuVDleOjUX42
pp+vktpfBaWOwihDTAk6X8HTZ9f42UMNUWdfgwKlnAln1VIJc2XKhveytpxFLUx/qXVdzf2nKQuR
owIoQqN61kJUkXGQLOoMc5ESvRo+DZAYYlPyGtoMk92RmOrnpok3TdIfGOe3EKiHCZ2CUa0c5SIS
dZW6/W7sxM7uWuyyzroItUMTj4dGal5ZjFfSjA9ZTdZAYr7JzHiKJubKyDaKjDlLSHKfk49PYZPR
ExLdc+6n577UgVca6jn36R8KPJHo9jdtk3BgmgDV5n1MXmHZ3U9lxT2bSXpyBCLYc/NcDwZUjlFb
v0ztZK8Gy35PkfD5qkGJ2ysXl59fbM3H2R8cWsVTrI3rJKvCSqdFbHf4r6i0Rutm5PZj7d9nosLS
lYGbNkvaTMxMdaM7i8ZftS0tbcEnoU4R+WTWlXCSU86CFOj3/vBi0DkfqdEVLI/2fWrfZRmFXcuQ
1tzHM4dTFSvgCssCPkEq+XJ1demUDuYg7d6MGHZlxrGg6p26M+wcDg5xsRchrqs2W9ndQ1WA5RbX
eiBAIPv0g1vhPEr7YqhJtFIz0PY6Bmp3qYY3FWYHRBzOV7F1quS9bx+T1v9oc/1Uu4Qovk2Ncc7K
cglNR4RXAgwpthmExou8vCWxj+/0dVQZQkcvNkkUPjDBjq6fzD4lUVBjyjA0/SoLmExRcxcZ77le
nhUm54UqvHC0l6kwrpKAMQc7vq4znAwHcskKc9+0zllUxSnV+oNPyS0qdV1YF622INw+NTToQrNd
WqJZJwnIdbzx0OSVtrsYs2xTwablhivRvw5z0GZ8ksGRePtF0kg+V2a0KSOMGnruYK3N/uRmIFLq
6lVph5c8go4S9xrm/IhAh7JDz0RwlFPT7+TSnpBHmfquipCNtIXiLB39vQ6VS20NdBc5Vqlqv7dp
VrvQ0dgrUQDnZrKLw/6gpeI4kTYTxMpzouTZuqC9HSRpeVJG0ptKzUXrizdksLtXS5k+QyKeUqwo
S1VxD5mCkAum7dQGX3oZ9wARcgTvyYjf1KUbxJi0e7DSArEq9ZX0F3TktyaX6RTr2zQhkUKBUlzA
ZqfFki0iYEIi9DdB5pJi9a3s9I1RmMewh9GO4U3q6Njax9jRNgVew7gh1z4LtxKK1HJw3TfGLS0X
aQiGxdVYF7KDNmkPY6qgbajq50bqBGES41tMbrUf43SdK326scJ56FBCWyxU41kYU8vxWGxr3kgS
cDHnw8ZoPm3aHzSvzaVPh9eswlVmAfrKewv/0HPqyyWYx7WwjbewaHHrzyUScsiK3yHkfughcRBl
ReYPs5ZAmXdqp1g7obX+F59x540MjyyoFvq2HOr+5ow7Z8f9su/+9fHf911SeAyDlChGtX/C5H6c
cQWmNZugMNXmcI3RhYPz/5xx6WbMPjob74OOFZiN+8e+C+GVYzHoGGLq/nGIJp2V3/fdX1/67/tu
HVhu3gSJhJrRY/IwSJzViOdNYG9EAUaW0D9HLnJSokKcQVkrUkHell19OzkNnZFh7eKUWvjBxbDq
K7m3myw0n3jO9YSbux3yYdHEUIx7PdgXsY2nvQfWaho45AYrwCJqFndj0xwLu9uQzBYQvjMdavQP
N7PK9nooj6Um0uNUd+7KivtzbJdXaU6olYzseTCajcj7ZSbKnSwVhMIaJ2j1GJM/najAZghlLIjr
UVxy5NtNNiVPCozWqOrwSQxiFYequgyi+hRowa7KdE/oDxH3jD9gIbWD4tKhhAgGxwtYiP3Q8kKe
JYqU50pDydpDD+/JtsjfxVSukoh+9TRnajXI8HrEqHFNQEsFMGSq37LY2tXuPOyGbR61nu27m2Fo
r4YSnNKZ78w+JcG0W128HlR1F/eovzjIW1blVZIWJ7QdQ0s3shqPARnQk2USaZLshrLY9Il2dRIY
eUiJByGvEBM9zblrimovcCqDkltpFSxYGtiDjcSwoePqUNAD1XAK8a4G5TaZG8kYYkcNOvSELFxV
OYskrP6sUGp5rEOT80Pv5bHlWT36YYGq3VB3LdYVrcQprUK47y/mYKHoJ+tTs5eOQbCJSNdhWx76
JHgoKqS0bBcZW3wxWWtfJ7/Dib5VIyL3KUZZhyJt4JwT6IJWgHa07HprVWzdqq8Qae3HhzbC+pgY
Fm+7H1yG+Pta6Mkm1FvM3aO81joiFdOqqmXka9qjg79QljNiVGrKKgE3uIzVquav+QTnBJa+0h3S
HOvyKM1wNRhacNLnvr1AyzrsWs6WazuIUPJyObWu7ZlAfIz8IpMGIBg7tJk+1HQqsMJCHiUFJzQJ
lsL8m9u03mioZSVXegfaP8hHmJ0oChL7tcochntO9eL3/oGDwbNv9w95m3iamBuMlsF5sx9PsURs
w5eppNl9M0A0x4bQdCdf6oRsK0r7WLdTdgjdZqf4ICmqyd/GUXxOSF4Vc5rqaB2GvAOwnw2EZWmJ
N0nrNaj1XYDFgiekaRXkt0hWO0dh8pj3CKTd4GOoyh2F5iKujUupbkLxng/poz0kJ0GrZkL7mvaM
L2mNLbtKeazYo6FUIxgVGyXXv0Sy9hdNmD9MDi34JmSxGH3t2S8NkpnmgSndeUV4SdddUiv/YpU+
XOEsfDD99GD0uKktWmV2eRtC5iaa4R7DqNgnhgF7WQNE1N5qma2UUNmEI8T4SbXPNBggMBljvlSr
DF8IZFmz9F+dsVurvXNCNbVytHqhNwigLTSNeuI32GeVja+UGNmdO9MmWaFunh1gIiXXrz9FG9/X
mV0NG6WI7xvwNkNvrPSiiBa+Xb5UxktRlui8KPez7qHO5dnqo1fXvcsD/a7wGRepycWK00+UXCu9
rua75mSOY+tVNt2BUaj32QibluhZhhph+aHFyUkq6Q6oLQazvnz8P+g6GibXqQQlDcSncJ9dCy0z
S1njfGQNN2B/tvxgw/6ylFK/gynxpyPu30jOmHGoNqmOBOBZLtmuf1c1MyX4y+79++O/794w2Dmf
Qccw/hNlPbehflTNEA5hszo4S+eKmiPBj92b3pPKlo5qDwf87FP9MaagL48My6CnZWk89T+qmp2/
aK1+fevzAObnmevY2aNkzJZuq8w8U8MrWzcPgruyjeqDYsMjnHwJEZUedVxW1r2dlgQacHwvOAd3
sqc4gRZTlem3riw31EcrP0EL7MOvUj81zgM+6HIg6UBGNSaWT0nABYqYSw3dDSveNjaNU5uZXkYG
XPEoarHtc5/bpV4EEQnYQbfMisexaraRXx9EYG79atz0IuRmZQEgCcctNpkLZopqo6iTrZW7y9rO
75q08/Sw3dgcE1KcLmlyVtVT2xLaUvhL4AMHGeIRRVQ7DPmlg42RZvLaR5LC7WyW9noo5UFnguuE
JWqU8EEP/LVfibNvXjCMbx3M93Y+ENZaegU64cweN62JrL58hbZ6HnCWGWDuh+FFIvzJiMorUwPA
T3ZnEXfThWDe4ieziJdFEm6d7KOvSqwW1T6ukdcM8RcNYXNaazTegudApN4UOujnoT2jpRydWxBW
B6Wyt5qPoDpSnzStuNixtZWhf9DMadUqJIi5h9h4CIW56nMb+EW5jFmiy0ldmEO5iqnn4g6P8aCv
0zY+ZwSH6EGx15lG2xHALQnXLxwtL/bVr4FUH8dQPXShjOZ5DGHoA9Ffzqru7gKdalLGns1S7eIT
y3Pcc4mJraPfclzDhOqcCLT0InPa1VV1KFwYZnTs0u6gyRfOSCun+erEyrJWX6NcWYSGe3LCZm9T
ayO5WgWhuhlcpEa4/uqBLJHc4W26XBclOYHuxpUTY6HKMwnFDbUH/MDrIr9R1ZMnIKlC2Re18ZDg
aHTtYE2nVJoElU2ftpHdae51LJ5x929pX3ldTg3ubB3GCuIyFtXS8s1dapRPVmTeOHnY50qa5zQl
E2ZAv53jJ/LR1fRVQ8GX1JsuQo3dZgZZd4XyFlb+vZWTISOd6xTRrSTBmWZFPq2E2WwTf1AXmY6F
qA7lN7NjIMeYhHVkleXtknhbzlaiTMKTrqYIw1y9XVugx5dDMWoLNHEnI1UckogZU+Hm7O14PUX7
bky/SDolmiDyg33YcL5xRgjWnRU85CnB0I0hdpWrenFDdiZKOyUNvyrFsCgUsqkStMyOb5zb1txW
lr7U0hlx4C9V6x5oMvM3d21TbSxaI9xWUkvvpMyudmUsSVPgASMXQ/qhZUNIWWuCAZYo6iKw7flm
8MOMfrQgPi68S+YeT693L5b2LQi7fefWO2CjuyJodl2iX1VxPwh1UXTkcFZpdJ2UYB/qjRd2GaIp
QaLD4F58G7FHmHx0NsDDyLqXinFJDf9VVYpDmhTvhRBbNxBPncLYLcn9L5mZKYvYgGFZwqRpawzr
pU5iXO6/KIW+ivnU+DA2VdBczSTlC8iKFfNn+mTGyzBHbHZyo9nKIQ/zfaj2oWc4hCYm1WniuTzZ
IfZPCrxXM0Q6ku6dA1XagS7dwwxTuhE0GNxpobQrErNRCOBOa7DNzYDqAFJ15oz71Lj28KtjONYq
POsOrjVnl6MTTBMkn+HebsVembqj0TQrBXoHCRqsfvaqDu2DhJidZTgecxjaASztttC+VsKsUXiN
O47/1zwICYIR/XMNhxu+8Zo64aI64jGD0/0vLttRMxuUyfTB2fVpmf/3st22KaN/Kdv/+vgfG79A
+ACA1bLmOdKvImvYM0IzNR0pgmbPP/o+mqInzovhgaqlil+yonXnD3uu29EnmDOMS/9Hoyld/SsZ
79e3Ppf1PwkU1LpPI7VpSNJUSA1D57KDKHaQqFNlYpYL26+Y5LaXqPssXIOlULY4HtUa4uaQlCkl
/EGvGRI39CqNfNxGeXGs8eEmBgPXnpa1zLzIsPepmrHpD9Q33XSiRrhVNd3qiN488Cnd2oZjRCaM
PBUNeVnZW4QEsUO7lLf4vgTXsLWQeefV6WMnEECnsPNq4VnRt8AiBBaMS/cUkWjlB891ce8Wu2Ge
H80wpsPYqR8zIZU9fumi8rKDNxlhICrit7oylwM2Gb8p8Ay++2VMRGa9YHtHL1Ve0gIuTPs26FTR
tBpq7DJ6+WJBy9F8+Jl+ivup99LoQw1a3O6v+qhy/niqjHSp4Xbw1WgXdkQbyufWJAEKiF2Yi6OW
3obqW2vQbDDplnX3GkIythr0AEN0Pxb0XvWYXt8hURImBPZywM3t4MPV1fbs1/7GohQXzsjBKlrr
VTArsMluQXfeG9T9rftYc8QS86C9rTaO8dmDruez2cW2vrdHMjKjbmuwLY4pGH9p73tkHHrtLFUx
eSzbqzwQ7zb+L2dS1oM57TOz3KRRstPtkBwwB4duu4aTc3V84tFMBLATuFofySYvIxkA0RvlTi1c
4tZ4A9EMxE+YerQqxhoW0rQAKZCV+5qhuREHxwkhadV/JGiL07g/oKBCizsuiznKS/XvUC1sEgP+
KHugl0Nmyy2nAUtABzhSzQmjl2x2PQT53soX/jiWYPKV3dQNtCEqK1vGSv1QlOZVdeyd0UYjbjVU
IrXhoSGOm8fENTYiKgGWIMW9qZTGtFGLtURG1tfDtqwYVfbdv5olaNM8nCHv8DtR6f3NwkjM1C8L
IxPIvzz++8KIBGvmuxu2Pi90LLw/KiL1D0tl07Hpc6LRMgW/9cfCqIH6sl0QpuRd/edH32f2pM8w
socmOkfXzKP+f1IR/RXP8+srn201P6+LtnRyGgGWvmm8eKcCpK2Phb8nC01Yby34CPNeuwSPPTgH
mAfY8uHTrgBpvJXIwQmsJXd5pSy7xfvTmEebuVdgYLXf5EdhHhwSZzboLpdMR7aRvszuwzVozOVP
m9L1T3nBz8ye/zRcf1Id/P7Z2/Og9KeVPRsTR2RA8jfk7AEV6tek1yy7OZrafsimXVM9j8qxNQ/x
eE6P0Rmwwxp/xaq41w7aIVgrZACWK+1WVjsCo+RnGi5j89CAq0j7VY/mVF5a7wlLn08KYQzZJ6Mt
tXCaBRQ+LHVEU/+p3n4f/m/wwckjHYNc/vyGsCXxin9/R45mAkwSloDsxHXx8zsykQ4VjhT6ptQv
kb5lBgVsxfLsoNoZnzUH6WoB0LvPxq3AQzLTVpEJ72UHKjW59D6GXPxoNJv4R62tPdjQsIVFoymU
qIumC7K4WA/3ej1c0ODSpSQ9IqKuE+vMh3nRJPeKNLHJRKtCmfgUvDA5PbxgmSWl03bX0xmVk04W
+xIWIb8lWODZ/AJjcgt37BFj6XSeiFq28CcyEZyJseBWF8oH0gkSQNYcN821CniaWgIodv3SQM3x
+Mtwlx7iA8GrZLhSPE8bB16HeC4WOEPJAiVEPlhcwc9g8FhoY4p1OLd26tn+MuG7FwuQbH504fC5
4By+ZsaMKrB8L3jBcfSEOGzSlnC+0Tenl2gvnrRt/lpv6k26ak/ZrQb5rG2UB+0Vqg3dfKW/hJWX
NEtXB92cI1a55lf3ZVSKq3FXaw+t2ux73n5so74WB8iv+BwTJuT9MSx8fMMfrMPjXSl3+TbYYtPB
ucD0/Ru5y80dwWCooccdnSrrFOCGh7ZRxZ7J5eiPmw7GDmu0e/QIcSxoGZxKxxNXhmOrsbjzVvK5
QWB5L2+k195bbwajrg4gtUKGOSO1TU2CMMdsxd5bwz7uH4v/x915LTluZdv2hy464M0rQYDeJcl0
L4i08N7j6+9AdSuqSuroE3pVqLuUqkwyQbf3XmvNOWZ8GYHRtALT7kU30fhc9B6pbguGZ0JzCTUC
cfQjIurWu6nhje7uAiyBJly1zKmj8CITTt81ym2mM0RSs8AGsoada5I0us4O2ll/Dwg31Z3//AVT
9fLUHNKTAPrnqTsMR3Wv7jQuv97SgRzuODSwOzGsJgQCysEdHzWLBlYP/hubCKlNasTFkR0tL4Nd
9RCt8ZLcsOhugBHt1DXhpcTeudlKID4cSv2dDDj783N2t1obgl9XiKsBhPGS2SS9YnWVd9wtg1l+
C4PPicH6XcxuCIyUu5bbNU/h/PQQn8on+jrodnWPeS3ewmfEiNvwxrhgHbq4h19LKlFIyEfFzlX8
NegQoJUuOCaabuHkL2HqFoCWKJPw8ga2oS2w4GKtn7v9Obh/nGg2w4pgtu0vlfPSw8OWPjAz/ffy
8U9sRNLtY2jHDijPMF0JbPYvS//yrXn7T/FxfEu/gLWhgaGd90s98t9u/3PbZYLIZo60TWSYOCuf
/2hEMitEoIMQZy5GfmNfkqqCX0RHLq2TZ4Um+o82pEzOBHZQ8L2MJlHfoev5G+hLTZuVcL+t8L8/
cPbw31b4gPTA1oi1dqXfJZyV0pO2JxEy3E3hUg7XCTOmkxBDD8Or8J6DCNM3w02kCcT2Bh+HPllU
ndrq7OXFoUU6ACOCz1uU9chZdYemmd2U6zRZamPjSM0NV4CdgrpfSjeiFhKVyWD2VICmXyjFc0NA
Qm5WO71OQZGUtu9bOKLJmwaeUocbQ3hPRUcyvgSdoGY1WPb4p02vWSVVDVbsnvXPlnjNDXdiPOh/
KHtl2YrI1BYkXpN2ECqH2eEnQq4K+Qsfr5qtpfchOELRn26Qrwp4k8HF3EIOwmENIES79eo2Zs5o
7RRrDbMMWtzitXNHQo+IYyK2CCwn4cv1TWo2aboumosszjlM9wSZTo/iPK2+EeBl/WogTxrPYvLA
QAg1YhTsmrPpkzSxqM4pKrrhvS53U7BC/htFAsEVTP8w5rMTNhC4dJARh0m7FxJPr228VyKyKZR4
i+JFfvS2nBDCHf8YC/WruwYfYKRaKqdFuVUgxQA4+AgfvC3mNvxiIRH346GonLhbxuPLcFX2jGbh
esVgLSaukwMFXE+UR63C5V0KXhdSQ2mhZtuAhQcBFV6NMn9nNRbTdbrmKZJYard56Z6EpzLbJslD
23wiFUEY/ZqIj/MUN7vwfqJvxvYzbcpe32c5rVQmkO+8ZZ4KJItg0990Iqtrk4oi2Pv9Pk+A4sgP
CWehmJwfwjDqxJHQWLhhWC94dwGXmrR9rUNkw5CnMWks5yfgpEqfZF3EvIeP1InKa3PuzE+VmbaO
YAUdu2ELmmhbeEj3RvMwdZXb6mRrsKGLC/ydKw8D9AAncHAEvQNOAH3UjbLigSgER5lpEKUrahux
PzbKM/ttqDhSua8yGHp6CfUagdmNVt0yGZdp+RKLXyKIwYzpFhsXIb2qRemNhh7/Ab7QBy9yq+kS
StdiJDiY/bBE6bntyL1YjioatMKA4rOEi418e6HZjXGmN9oMfLxg0SboSxlt7WJAYA1547kTSgs4
9tOhi8NFqZDGnmXblACNgqMMgiZihcCznHpj2OL3V5HMcdbRAUkgmopL3oH8upw3A/Sonqg18Sqm
mi1ZWBjXoCYq4jaa8UWxnLCMCPKgsQVBa0Amy8iaqRj7zZQ+Yhhr5R4N/VY2Dr7iDKSoDXh+HZSw
FQZarIkin0IyJQp+WwVmrOcdpkHqOaX0j6c7htjF4FELQvQam0tvQZpiiF5KnxL7GkTTbR7sp+YR
y917WuLQIIKJ0OYmu4/12VRWPZYqCgROGFibljrJS0wJFoK7lDZgah+MPbkxS/kg3hCg5Ut9jdwP
1sTF200H48t027Pxpt3NdX/tXu+AZIUlNgbhMWxvNaKHz06/RaW+5DQpMFKHV2JhzDQ0R3uTI3M1
WaPrydU2k6aFjju9uQxAzZ1mtpe/C9hsJfggqC6ErXQS1tNn39hd7zTRsd0MujvmS9R8bYCcaoMI
fmLVemHyCTcjYU6u24jwIm0xB2yHzha/grpTd/pzetO+vV2/LD8aH9s7aCsfBQhqOA8KZ7nfDof8
hKBwU5/KfonkGN6NN0CAzFghxIeA9uzw/P94vbuoy4JulYDZCfakCJjbOfkFOBFXcjO/4tfi5j9J
HCIntGbciPQ2woHmS6vhfUBRJEtoPT9vQGkYQNHHb8ylTJad9s89WFDByyBs2dzxlmqU9f+HPgnB
0W8Hi/92+z8OFtBxRVVi/8Yj+iMY9ufBQqMyn6NmTRGEBWeEnxp89Ek4w7gNqmALof5cpP6ccDJn
ZCzKVWooqRi2/o2jxY9G669Hiz9fuvwnLqteeFJCzPG4LmMmCPrEnlgPIRMYzzax4Bdptekl89ZL
LYXIcNdGKI5972algmQ9fM4V/ynN+3DpZ8NFntOt2olYIt08t20n22Fr3LJJ2apDcmtriQWLzHkl
zOhQAYQeq96dmmhr+qUzeKHjBeGmNJqcw3USLC1TiC4TfRi3FMKdXoiV0zQA5izU+GFIN1Mb6wrP
TlpcisSYzpOv2F1jHCQvPBiCdA5LQjK18ZNY6mLpFSNoArxH0k3Fet1poMgMpLxGcjZrenFYV1An
w440radkYg4pgUSlCmKOZos5wkr5Eune0ioDuIkUmNabXl2b/MusQaZJb/KELouJmx0gBxHqiHBe
vbPjDrFglnCMiWTkn7l3zKOvThypGs2DZOBXiNplWp3NvIrh2eLt0WUx2hUpaHMIDEORLI0qXiVA
a4X5HDH5ey+vU8co1X1S4uOMUC20zL2m4iMPrAck1ozlKpQTtKOpWPLmZdL8beIHkAmaq1WmbiO2
Kz8f9Ed98Clae1/epJ4iXPqUE2HPZIq5TEmaJX70fS5Ml6rJjTVQBswGmXZODKV0GZWtDVVY6XA3
imytDEOzFfUbfcXRCfLG7b1wnwJkF+lxD20pHf0ie1Q6kDjRc+m3LDjS55wxbEbepqDBqXTZvSQK
U6hezFIKDyUv9cJnotSEDGDgGMCx3lR5DcKT+Y4ZkKpaktgQRE5C9T5K0oEP0qJq212apnCevNQx
8+AJByxikLhf4ihe1Uh8FwHKJUXrXjPR82Z6xkpmR05BBahD5vrVSKNWl5eTQHbbWLhtT6iWVp+t
RsQ6qIU7Tvtu2xjlSh+CjSco31OsMrnqwPOlqbRIgpoKs2QKDDMyb05GwSEul2wzAnSlDctCt16r
vnA84yWlhYGfqoLW27z16iU251nogpf1nAT69z944IRYcrYFkcdEwqWpUIX9Ty+UzJL5S4E3K1X+
fPs/1mEZwxNocx3IkwrjnArrj/pOZqj0n2RuUZ9ryp8yE5li02KcTDgkEphf6juLqIRZImpwA2Om
BP2tRVj9LzKT366bOdqvHTxzKrFqmkm6rlXzrNDUKJCC+pW2nXzmH0TeCdAk62nkvIShob7o6rse
rwQQIWExOREmhaHK/G0licknfjuAGATZLxIfxWKA1oNQFBCuMoJmUXToPB9RRRkw07OgOqLLIftD
t8idy6ddHrVfqJvR85dQm2uTWVTIeSaWg51oCu9CZx4GQne7+iVVRRCYxiI2802HJnOs+DhqpBcm
qMVFf9dlvumWqEgUof8qrPl81jNYmHHQ1AV5/TWqT8QQux6S6xHfAxanUG4OfRbsa7KfSob0k9Gv
0u7awv6ajHXMud1CF5fUrYyCw0P+5y8Ri24hpDwLfbHTjQ6/sDoNQHkQX/Q6GNFiYnH0gnMaVZkr
9gZsIzkSznIbgd4Q/aMsVke5JqmGsUaoB64YV4+pWTrlaC4VzIsljUPgLTuJSrf15TeNtbw0P4xu
XAUV+c65uR9Vfy1BNEAayFyl4LRG0GhjrPSc0oxVS1Igl/SsqwO1jkm0eTNjTGLTRA9yHoqIokna
5HJ7Hjt9K/v61dc6pw71vRb0m64HC+YXcH6Mja8Ie1Mpz5Vl3EbfXDcBUy69LdZIJ+hVUllJ41b1
QrcLgdc04rpTGmovliFQBQaWiDEMnLipXBXQEUUrBS38vkTBUhG1OlzqUku9M3ugqRSy2+jhcElU
FZih2seMzdVmpyK6bHpQZn13nlDoGBpLrRjcRzV5NkMZmAnYbMb7Xe3nKz0JYPck5kppGX9VVggE
HBxuL/jfoQgDffJqgxJ7RAMt/BjhLdpKPgY1MfOmmacr0YcVOBhRusyLeGsMCED9gXZe1r8Q8M7O
HNW0PhH1Y9JNQOqOjja1B3HoeCmGaESFwlfYdakcTljitkKtxdssYESoKcK6GKL1EPIEtjgnFxis
QUjxmybSXhlFTMYQnDgWLWoxX2f5m9D5G/i7yBPq6SKHwlUfIzctiBryOdv3KlZYtC+WCouWt0G2
ELUDPh3255ZSXZAnCG+9fC4bfRMXcW0jXt37GR3JlsOFIL39gxd8k3kFMwuOszoz/RlT8L8WfFn7
vaPHXvGX2/+x4EswWxAIcsRW/p0l/3PFl/6lair+VvGPreDnik+UxqxHEBXV4tDO5fw8djMTEjU0
iT+GaH8veY+53e8dvT9dOJ3F31d8I1GmME6McK0Zp0B5wMEZii9h+ES8yyAKNoL3iTRYVrq6Mpfj
Vf6kUeMIF4MgDIvPzpWW9ZLwVdSDYNMZR5xwsCxgqAOfDlEwOxHJ5OJSZGCS7grWyXkdNshIOJiW
0zf33rAhv9PtiBfoE/3lnC3rfVlr3q76F7wESn9licu0+TRc/XHYKM9MwBfWQt8OS/ItmZYMzn06
lIoTfoi7FASVUaGKI03U2uoKsGkornwOZuUDUi1qVjqMhL8OZ8vbBDrRsHmyHE5En8qJk32UMGWL
yKmQr1m7ui72kBzKCdqC7poeWIQqeAz0Bo/rCtfswhMeLe9i+K9j8a5Xd0O9czQevxV0CMMhap8S
/24GwaIOnwM8jYV/z5R3XX6mGzaqWADNV6t5Kgjskz5U/6k0nlT52fxqI9o4eADwB8XWso4/O4Ie
jJOfPU4JQOTqXplb6w3Fe9vtwuxupEcaN9ORLQgSzDEZ0SM48m14EK/6PmE9VmiWHji/M6jILwyV
6hdUyZmNtkti3GN7rnhmHmB/zP8K7emoos1eVjjx2II5hy+Y063VpTl3IwHSG8fQznhZG1vx9j7h
pd0uW48is4ThPDwET/KtcD6k3FFlMuG5sSs8Tsf0Odl9hA0trAUWNGzF5l4lfvstJFIeJaoI6sHa
StF20K8SRZxoOrGx1ej3mcmpnL7z7FakZ1yB6dV/VmPTnhk/6THl6LELn33qo27VyzRGTnmFjQX9
OfaIS3bSuV8cjTFqQnpr6LyolrBDXunFUDz4uAFOSNTJk1vx1wacvYRoXmyKM2N2GA/5toROjl0A
iiojFlI1mPYFP745OB5vafOgs6Y+8rQdyHx0Y4fWq7L3HonxpYkJaH7jPiy+xM30ylgQlnJzwX+H
sgWSWWPrtkKiLrO1KnTH7oU3o+v36wpZ2AGYvIv9wTG/VHpUrrTiJFOiVQ82cfgA4nT8KAJbO4yn
TgTFW7xDuF7FSDksx9Ou5uBG3x4lF2cb7sQAAj69ohMa7krPR8Qjw3EZf3Bqoo3dB707ZND3yq3V
XBumk7TUzS8Ls11A2J6SIJQv+EjbonHqaZ1hlKMpN+obPT1W5jpJCEjgEwRlcfXpn8R17oaxGz4L
08or+Y0kRrsNnapxH5/bvQOWlmYp867SDksns7tyUazUdWUXqwv+zWrLvko+W41JBTmoA2iOhOfY
Onf5JXeIst6xOswq0UNOI5duXSEzKxa3MOgBwtfyMk3tfj8jTDNz1a+6TXdLaWMPew/ua7UnQ9Bl
LRDWANgEMHkLLMeb7lwZqwCY/H7YB2dSGk5ef1IBrBdcKY+ABnZavhdGibJ/SzVXc9J8JfG5O9HO
pn8+nOkJKnfrqyTkeGF9jde2crLC9nZ8DY3/sf5MtsllzG4Gzel6QZtwWJGN2ZKTcmiCJ9yCCxPt
NU4Q5I/47NsTLw9uKtqyu/5E+zOKnun5DQFBLM9tfohI+tRUe36Ohs8Yby24V4Q3GSaDQHkypuce
oNy4S2eHoOAOJdSrya4/aVvf+f+brn/CXxa+82V08a+xuRjXkZMu7/QGMUTUIBC/szk6DLVq+QKS
UpxpwxE+URTEOBh0J1/nTlwfxRG5BAuLUHv/XO0NOycTOs4MZM0pMn27/10jQl2kd/ZbjfjX2/88
MqgqcIB/yw5/qxElqkdmj5wF/6284Zf+lN7Iuga4Qzfp83F0oDX4U3rDkNKgKiXFl2MF3sC/0arT
uaPfO3VcOL+DiNFZyUO/8vcjg0ksrgxEVV/RFz5ZgvwV16HTCcGXrvWqLQFRzAlAyj2GDZbkLZQQ
+71Y1FtVL77NSuCcXRoSAGvWE+hDpJOEeISnBNlIIuSnXsbMxHTDUFB3GU13lQMA8ih3dUhidf41
ata3VxP3QrmDQd8Jh9dWupZdr6zHUXDUTt1hVI4EZYWe9FDpKkK7demJW5ztj3GlbxBHU9LC1UiV
TdKPtALLfGkIBP8UjUBZWEntXVZOjTzGO7gh0groL0oFvFXljuFbH7mmnMLx/voHn5ZpbyCLlX60
kulTo4z9X6dlcW5m/PbW/+vt/3jryxyJmX9zp1C+tB9tkJ/9EZomAA7Neeb+Z16YLM4yNRkLHtqj
36HHtLsl4AlQAn6cv//Oe18W5w7ILxPwH52dXx76D6POL6otVR5MWaJEW2dye2m79jaAkwBCvBkn
7SSF3b5nlsMMnK3UqMdzxA4x5eWHjEXQ0APMjrD8wbZrbYJwyYTLBzsPNx3jybnpivjCD54LlbHv
7DvHVFpBHChLWIVifpP68mvywQXfa3x4ahXjAxcxhb+L4Hn9DnpqXaK7/xgEMrPiHsnoOQEclvoP
Bny8TjnGYEkNnzC7JHS9yrIzmOGVcJlEc63r5NdFgTtACpZrazWJ50mPHH04hIq1mZgIKkX2BKbZ
wemADYHm0CLsQ8hQSKBtcyY8xJ2+1tr+zuUGC1ksNnVussMkEYc3zAwakUZQqJZ4PYh5y8U3r4Dt
lFvxkZw9WgPdRpRq6KL+Fp0Dxs2GqIV2XJkpdb5gehsT+iJDyHSnhzKnPIUQbGgBDKfyY1wb3GXT
yIizQCpAxT7pOmEKGhMuiwCDgIiLxlMX6jyoDVP0S+GQnsbGTNd8nzlnAQTR64LZZa8sC1n58psG
+ZcRrPok59yojcmqE2T2fKmWBze06u9O8znNldko4BEa6Mh4Mbj6KfSwh0QqsA7RTVulv4gIeEZF
exFVY4E/dSHK9VKMkNWqKXjaMCNub8KRbDD/C2giJZzkPaJ04rm7VEixHdFuimk7eYSsGNeRVlRB
S6rhoKtCCItoVWWNtFf74GwNKyuW3EF9or371dHeMr1hmQXtYzm3vbL2ayzxIc39sGnujM0OCpqU
wKKdlsYZaNvNQCMt9SabwNxEBNIl6weGMB/I7nbDjwbcZOqb0YAFOffmMpp0Ms26ce7aTXP/rp07
eeqPph5ClSPJsU6HNilg9ufP/T/gBnMuLz3BcO4OlnOfsJ87hlpJileCeroMb56hOP/YtRVZKIwA
U4TXyh8APf/3sUJh9vbb2vrfbv9zbTVocNBwoK1NO/lXkyO9Z1HhhCDyt0AHfgXLGv9CiwRzFoPj
fKyYbRB/nCv4Fr0LBV+kigIZs8PfWVt5a/2+ts6XbiEfpiHCvXKO4aH/2n1OxCYz5MAXVq0tHyhz
r8LXrLtcBh8ZSiFI36/lNt6dLLeH+PwYUE46Q+VIsW8jfSwLF6EPdoeUHDgKK/2RoihfVyXtCfkw
rqbreHwP7ILRW2UP1Slub0bxHBc26pbxiENXumUWRnrXVNxUg0iO9mAlD5v8ToQ1VZH+GPS02RAp
vsc7QSRQzQKUs6rFbbqWD97jTL1z4p3oQYqFKouwxdYqvF4Eg9Z4kk5mSHzIRSOlCIMeCobQiYUV
e4W6VA4aASyb6QTpZm9Za1yIus0fOQCuPfIkH5hhuERFkIUrfjspRCQT9eDMMWst9Tccz+rSsCv5
NB2z9ZQ7AdHU+L95SpQFpb6c7sdPJV0javVcfT/XsuMnRTDKSwVO+4KYbc0ZHqy3HxfDzapilY1L
vskCgCCWVYJqkvDuBwpjaDxUyBb4AwtFlbPxltytvucHtOZzhba2oKhbCo/80HTkDsVPoCvcTiUp
wx0eZgUtaloKbvkmboYH+YaAVt8vkMiqN+GRVBBXvsl8ZfCDQGOP4yff+vHjaYu6aBU0xDq2jvDY
srqQq2hHiELmrPHpoX8hNQwzw97UwFgwRuBoCT5JJ/6wduvU1mlMu9UFi5yHh8VbHDOSrtzJv8hA
HgzkWtmd9kn0zR7pnaRvLbQTCPXDa34NT+aDdSPeOHaLrSa9xi9hcJTBV+pQW77yF+kOUxEpT1LZ
EgzjBrIQIhYDVYUTdHvlTXnLkqV440p8MjuJUYn3UN8pYKVjv9RdhNEnWgdnA5alI10jW9iYO4/9
gfilhp3yvpnwwvIMIZNdaI8y7QumHeQXYiNZ93Oiy1YhZ5EcoHpHZE/43j7FJ09cSHfR/MR1A4VU
dBg5A8zXXagNnX7mU2G8IVm6px8GjBnlgNEOdMyWxy4+w7Ro3siQxhyPjnWHoKewwSxPKzBGi+v3
+vIpnakFd+KD9+Y5FXcMZSZeRCtVWY0rYUcPMeE1/mgyF34S5fR0lV9nvbl+D2l+XOn1yQdI+Mwm
qOl3ag2zhgqf4Eos9Yy1ez6rwk5wsw++TZ4mN5JpYy+FeskHE/U4lrr5Ewp1w5UPaF9eaRZwQ/XA
o6eXyH9NV1p607XeSnREFsIu8J1+ehF2BGjD1Liqhx8NBXdc0Vo4i6/Js4Eh5eJ9oRemCmfCsVBe
4uAFiyftSQG3K5H3EN6jxfgUei/IdXVkxDFNLoeTCFeNFpqQv+wrMx2sOT5yXlJZkfbONzrzr3vx
hVSYzxXNq4V/NTb9orJxTtbbfFwKwrLWl4z9n4mT4EII3Rwc8TicuND5GZ0Ux1qjVEbvyNvoiIPZ
5tHp2fxscL44chP9Hi9IAc0y5GRnNEQZbVR+3tjT5qQDSy/gFBDPtuV1n67/2L2Vkl2kupOZpMq6
AsScrfN/1i1/xe795fZ/7K0S+B+6/JIq0u03KTd+7fLDHMIn8x+y3i/YPeQ18ARQ9SqSTiz9XCb9
sbUy2AVNTBeAnfffcp2/UbJDVP59a/3zI/8h7P2lbGmKLputOWRhVWVk+2oau4NsIPqIuptqkcgx
wrlt/G8/Fp86VDBZ7yGu9O0ZxGAXvf9e9/lKBAg+4nuNnnIiwtQSKR/VTfbaTKQrTujcYe5kynQO
g4H2X2SLPgzKHBXgFJ/CsduJo/RdGJkrqz2T46BcRzO1ZVImuHeanYRKyLmyfBhrUuGBzxTZczbi
2KUTlQ3+aRgte6ppzYua3ZnFoexM9LmxA6RNDSEJVuDCZyZgv2xD1DlZo7gigYraTUaXKcnpWkDT
OiY+fADIzTjtPNKFva7fg0C6t6a6wSoYWiRAWSOFirqphXFb+wrku2CvqTEbIlK8ftTXlaQ6nkAG
FGROAdKtJrBDxqSBeuE2Gr9HI14PRnoxcXZ0yjNSEqYoNAz1rn0hedouEW0aoeGKxFzUw0et9duu
gWI2yutaUxzT8m+T2WRABdVLKHuHuh4gfcEHMvzoIvjHzHyVYmzC+hzKMmjS6HajRMJoj+c7Eu6F
aS4B8e086VjHbiXTWDbTsxWmKyMnDMWTNznS2rwFBScK+YNWhBux8S9jlyfUtNyvr0lMA2PQ9d1Q
3rqOjXgEJJoG4bflk/XBcSto31ON2ESh9S5+ynqbDQK5W55y1SvdczPDY3wR6NZBKktspQhcovhk
RrUreECQGyFmhSPPuI+VM4SEUFUYMmXrAonu2H3WxE9Zau5W4olZpjIQhM1SH+nMK5R8ow/qqtGt
dYR0Bg6xh7K5sz4iYHhyuO319xSiUyNeenJ00X9FxH5UDK7gvlS1TB33HMQvMWnT/VxVyURECo8+
1KHcfBiJdTNeqAnf1folwctRdPskYyuc3jvh1g/HUo442IjBQ61ctTRyJ0PeDfE9FbRl478XyC7l
+YiHS6QjIkzEtFqD1fd8omL1wrZIJ1LLYwgmsZrNoHWxyGIJXZrGyRU9d4t9K0LhxFknKdmBAyHI
kKQS8DY8N0xwEPOoiQU+odvEKbkwIu9FyfhQdAg34jWjH6CZ+UtLZF7MqB6/8zYz21Puc7Yp6vHd
mpqXJMAY0rSHiZACz0RHoIhrv1HPreh/DH1ie3n1pKsFaZBYq1rIEcZHxY7kGWPHREt6FkqA+TV4
CLXf6X67Ta2AD3rv68YqzPHLyZhSE6D6YjG9mkziYPs4QRaFZ8FIXzVB+dT9/jaUBkYUa5qzBqrN
P3krIlnCYrcAD6OAjvk/Bs7SLPr5rYVGzfWn2/+xFUGAlXCni8yOoSb/5tyU/kW8HIEl7IEqpdwv
LBvZ+hftNkJCZOJMQFxQe/3cinCiIFrSkDjO3bW/1T3G6vmXrei3Kzfn7/+yFakaQsEwQv0M0x0J
evrZc0Rsqz0HNA5fnIc4DdZWbVdpvq1Mj0zTj+IWJHtFIWKTk3yVLfVDdtb2EVE9HdY8C+KIptiV
9+KVuEz8Ta4dQ21Jxt3Oa0/QXvKpW01Ppk8WTnfuKpxcyr3sD0k90+qLndIkbh2fm+mjUNeeiJy8
/7agmNPH6/w1PPZVckrqpzJYp4NtIKmORnyBaeFotd1K2EBamGLr0YC2qdsI+WzlCEuGAxkf2QBR
zLO0w9EO0CVfqQH+Cu76h4aohjkFKspYaEDXtCVbTVKs2xgOB2fY6t7JTo7ypKkJz/XaaxunDpbr
9dhh+GT1SsQPIVoH6ZIeWBVvicDSfYdYLYFbN9YFYMTCH28TolVb79cJ5k96gis9PvM/EkXuRm2T
lF4O85+jbsOayq7tnf8InZ7orkV9qDEYQjljXufE28SlGAq30hq9VkkZaqNSbL9+/GzbO+krGyeP
tz60d9wViZtduROVtpbBAqK6vET6JduLKqnidnvnQnpzJX6QC/uhmtxa2k3qOjs1PI4NwDsWhy0h
tvqJa1yll+yaXWWG8WuyYXc5IlkGkzbx3tdwy5c0+xm/cjlqvJt/f31X3mPCQvsNclvlPYlP0k7T
Fs3oVN+r1WLzcJsfEdcmIreC+YaxgDzvS9CEuDmfOuxxwAmJnayWl6v9otzHGyCaS0to8bu8bx6f
Hr72xgoJ/hIfDblc6xR3y/CqdJwu/OU3nc81icwjwDlb2+j+wnsoVtVK43e5ib2mnngaZFfI3cIW
F5kju2+kzfJ+viMxvvoGIfcJucxk2N7rjfiBTr7e01Z0k9fx5r/0G4lnEHnvTSDGvYxexoXIP+2p
otpILtkr89el59CH2+aO4GqkcXo2gi03OfCu6F0Wbtp2JhrRcTGtSqIV5lBhWgLTSr6istrlHwzp
z/WLcV/lz55bu7m1MNMTX1Pg4oB6PUsX8UQRsSqf473xqqLcOEWP+IM28V4/6SfhYFwYwoJBP3kn
zm1vYH+qR/+cTa/xLb6Ve/NDfU6SbQ3gAAgxb5QacR6pv4xwSd5YEOL5qG27x/RG5PHtSE7rsWGX
zpxy45HhuayGez65pr+SbIizAkJExv+ZEw248prhHn5O0sFoHyI+veI6SEDkpsuYQAPGUHwmb2K4
gOVDeLX5YbFLPudztCkxNCvi0D9qfoGLzmJaY09JNI5Vry21GJ5xTOTWNYifzBM6uQWPVYZ6AZOK
oyb6rvLi3+SJjFNaC3iFFplZLHT/bRp5kz1GZGqRgqHA1ZVfypB+P4wk3gWtHRzpYR3F5+iNAHjd
WAPkGAkqsGXaFh9cKHGzYCCYFVhb8us/6xs9Y6waeG+CZAPQWl6JS9L2ugc+6VqyNiYbLA8/wJ8D
WV6L+EX4FvdDaOsYURmTt6dgwYzLTk9kq9rjkqhf8zm/8euSYy4v+6XM+Jjyv10SCU0A4EKu1iPn
INFya3Phi9hcefrprKzlfCPFDl8bOERTsFwrAxpVv6ZTjic1ec3l93h8lNU1YJHI2k+IYHrrogTb
GIh0v9aKfUCaOLN8lkuyqDcifRNvrc2dbdiE+NzzIyEZCsey2k3o7Neay0GsgEmoLiXEjSx+r+jf
22v+Ihg7/D/ivnuIKexJik4u5bU909ohYiS1VnhNIGYZb/IOfXwbEXdkK9c2OGTtSgv3ZYLKekHR
Y4PSLJW1otl0IwxeZgJxqWniQ6ieYlbGaWtpS3KTxSFd1sW6Mp1B3uX11ZBcRWFNg2ZBduprw/ti
XBjNihHFYkrmLma6BuRk8mhnnYcbvQ4tJ32yq+zgC8hlJ4AipSO46KNb6i1DlADZIl3StCE43Udh
Tg9IuI43BkA0dGrkVCvl09iELtaZJ6hvKhqPky6iPcjJGQRPsgRWKD8E4RZBwriJX4oH7Z5sraVp
LQ14pc2qhG9wZ9Oy2ElEW5Y38ZPvtjupO6SW67VHMd+o79G09UEmnKODtTcP0+T2wcFLrlLwNqDc
TNYoXDmgkotY8U7/HjaJS6xeybvJ2FnyV0iacbQhSQVN4V4UoJ94HBiTpcx+LxBPte7UxyTFyFWd
C9o2DG2t4YkxcjGfeNWH6dqu+4X2mX7LgS2cysfhFGnIXjgewC1DNjlmXyAag/w0mVwNDhDYDY5o
3nyJjL2FigPzPdrI9Fu8/rW3FZ1qj1TQb/0VG4n8OiBr0g6ququwHp1UrOWTtd2F/atffWcu3kbz
q29cnVqTVtSp2mT7AU1cCG+W+Y3+6KNqyyFymg+C8lQSuwIDFvqnHt2plDg6EKAu6+pGMJGrLhiP
FcE2TQ/pR3cgUxpjGWy3f/Chl7kvjx50iILxjnHs/9F/mfXpvx16/z9357UdN5Zl2y9CDXjzGnDh
g0FPvmCQIgXvPb7+TqhKKaXUN2tk91uO6qoWRUUAYYCzz95rzfX7478XvfJqjoaCghVJlv89wPgx
N2bWBJ1Up35dq94fHCf6L2g3ZAzS36nNf1S9a2tGQXopSmtNjCHrb9mbwEb9WvX++dT1dfbxU9Vb
lvMckxubM2skw3JApKigR5iWOZNdpahVN0sJ9ogafeHarKEiuZlRDgcLSK03jKSCICNf+wYRuseW
KrJd80nz/ijKzZcim44W7G9H7WXgjiDXxfqB3BF7AnxQIHfFw589LnH4gnl63NOJAiQLugc7sriv
mbaTcKL7qZHTBuJy76PnzoBdLGnVRyd9kQbsqfBVSffpIJMf5tmomRvoTCaF9y4Bs4EfNY7CmyRC
v6TTWU+L9k3J+hcr5DaRlHSTJOTbQTXuxChHCDdUjlH3dhMxpjGm/mgx40mN+C4yHjsS9nIx9Vrx
omZG7gYxIquSPX1uZY5V9OdQr46FkF+l1eUrqXPqDEwdksHcNmws7EEO/BZjgNZFF60UYSyjyYxi
3i9RexVG/Wo1Buz+mkZQQ2bdV6xYKP/zXdBzD1bAWvStO6jatiAwIcNNrkJry+cHONZc4xkgCmZM
1C6SqO5MUgsMFp8J71QKqrmSVe6N8aaBaYmX7UTf6KoFwq3ZhXtw+HwYCD2nEe/vPVpUr1EUWiLq
UYlgHRb6TdUidakCbzasbV/dSmFlU+5vJqyYXcebVjEBr/p9BrIqqVH3YTlSY1INog+dKEPVSgD3
m6gdgWiWX7FxHGXQn2ox7hayZqPOx2RMO4SNi1Yfs3neDuPgdP3ii0p6UkETZ6y/C3sJaHmOJjMF
jxihQN9a4fXWyhI2i8vSsgC3wG+1/lGijJ0SyyEb0RbU45BL9N4gfKokjUaPJnMrPsv9rByaDM9W
VW40+iUKdQ08elsYFqdOyYAo76x53BQweSN1sbMosHUifSsMp2SRuQtiO1hSXoQM2SobBKuCNxjF
LS1AcsnGjcxqUCYDqWrQ7WED6slNSvqO2bFVKW7V+d6SqEQnvMsjGFT65ECRGf30Xj1I+4m4LxS9
hF09pslnC4VygTIw6R+i/BlOACNhUM0Nib5mCtw//cTY5XQG/ZnVZiyxH4nShSwSbWe1+U63Eo7X
fBRS9zRjrlYM1nJZorIAw1YCHB5025BGhEa4JTazLN1oBNVWNau/nOPzykMye/T4SdDDXU8nP1WD
ytUz8ZDEd7GpahsxpYSrEXigTe3f20adnIlry5nKarIXKUAoWtF4LHWaSpoSZqC2h+NAWoqMtb0f
BCzTqKws8Rla7MZMGEX0bcpLo4lrTddOa/xYaT2reBakAAW0DFu2G7DLi7f0Bg5Bt+uociZSEyrG
WGI4QlkPCdJFpjtxQTOHHEGCV2/C6kjXO9qFE1UNocfgGyxlGwXiLoNtMKDmDKlRI7yC2TDZcWft
Gs0YtrKEDrWUS3TJA+iUuHjSe52YTNyYTi60kVNX+UPPCM8oun21aG+JnMBsJQV0McR/smEY3wGU
QYLiadAgxPovhmFaQr+sqL8//vuKijlBXq0JhqH8ZwLxh1MNFSKZQLiCTY1B/bdhxw/nAvIBRDMM
LmSTlfiHV40VVeMviV7QDPpLCLL+jlpAtlY1wJ+UWH86daJt/7yiGqOxWFZLDyTrCqaQIaqr5jwN
zVsoVV6XgXXtGB6Ue014E4feXQLERmn6pJG+AnlqXLJncjceowW0QLjIoaPNhANNc/RuFu3ypdcV
ZuxyinFd6kgHSCq6PVMfH4RZjO1u7hyZBZc2NoV+aJExmw/Yl2TrZqwLoj3y7ilMaRg3iLUKCzl4
ZJW7Frgwm4X0nhzAFtrHcyorB5NlQ9C1W1UFbCyEF5Sfx5jxTD8OZ7MWHk0p2orkgo86Gt2e+Qf2
VryxX+NCBp+VXNqR3UECvQdL0xx+yNm01XEVb4I2cVPKaxjw19KkRSLOblXNp9QigMGkrq2HFjR0
4JfjGiMAWyouT8Yo3Cf4NQSjda05P9b4bbMJNZmSH1pDuxmg6WeG8dGUHckpqrQjmXZHMpnXGv0X
bXoz1iVfHqr9kGB1ht+VQCUsEv0oSxjnxpV0sOrrWadASNfBPlQOywQr5aw176NwmFv9TlMpvHMW
ICojrwikByYNLJSirQ7TVjGWUx8C5WDPE0QDDTf8bfKbsVpmiT+Ra1cDZdEiONDba9fGjtSZIC7o
FyFhz4JNldADNEcGznQapcEJ2LGpGbJu5jDz3RAfTNVdcyjnqdoYydewql8sK9iQIuUZcdn4pE7Z
STduJRakXF1eCU+k0yAHllPOEZJUTH4CL6zv7LAfUWGwXdcrJ8vInj13uWB3yK1GoWchM48lE4EK
WE0t7BtRtrsAvRv5BcOM5D5hf9M2+zhT/SopvaCd4PoqZy1t7LbBIiZMdAkfW1U6htYOuAdqXCQs
j/maFJ/QWlg+CMnF0LwcVK2zR2mkEsCrTIFJLkUXYHSXn3u8wgLnI65yPrYuQjwd5n7hYw02La8m
71Vf7JctptOtCIRk5hLro/jQ9rVv6iVWaxWXS+6mcDha7BsZXjqty++D5EEQTV+e8ZbF+k0ZyFsz
WR5bjfWApkVRhLeiimAgfjMbywkGXrto0GoQwWcHshuYFZpEEc8KnYmYf2gJJnL31aJYOEkKeaQt
GflkXl0qroxjRwlRvaTlScqVxFHa4JziDqlK/bErx6esZEMeoObbCOqSOKQ0PKs9++oyvaL4RV1h
zNHWguZtdYvm1RVQnVGj/5ayTwuMiWThaSaZQsO4MhLARFmRPSnID4VOxrE6XbKpPWZCepi79EvR
toWnSy2xVrf/4D0egwnE8NziYUkoTK//eo+HhPzXFem3x39fkRhs4Htbift/iNS+7/EYbLBtYY/1
Y5L+XRdvERiM2Zqliq0fixOK3h+TDWRrPKXEVAPVsfK36FiK9buX7udTR6f/5xVp5BZhMCwz/Rmv
yIheZb90G7jgS7OVTXcI7omrBWd65m5libfS/KEn9TMBZo4WcyHQdTBqyRE0vwruzTw7yPCxBH4T
LWuWHDneudkfej0BcRF4NTmLMVs8tPdE1IR03lPjJgkWLFbd7ci6MbfSAXqAKTYHC2CcnsLiiiZv
yq9R4qUAX2R2VRI0jOqWGYEyn5SG+k+x7Ei267LY5twque1UJXulCctdgzzfbQFQUgRmaGbzkLTh
5UN7gtrX8I8msIKZF7bv1GNS89yThHenvXbg8881cTYIWQPJHY3WyYLRx+Olq4CtaC+u8wqZFyXl
12DcCtolVGbX1OUjzxOlqlvoJQ6fwCFsL9pmETFjNCvRBLJdCE1xy9HH07JTjrCpDuWpOwDl2wk2
9Ppdnj2uZw7Zl+VJcGP00jU7QeWQ7vV1bMMWvH1Pd4QFIF8jxGx8DqSNzC4HmLpJd5whSvqqjk8a
ysDgKTGcKASF1W3CDIGh/DWu2RmV2Bwn69DRz9PWpNBrMt/rjIeYrGi7PrvPpNBPleK1Dok4+QQa
aLUB/siUiZGrVWSedxHY4RZVGSlrA5F1qe5kxk0RlY+dzqRpuAyf3UN2xUQ9unWO0Xd1Rg7clUPp
Q2SAFWi+eAAlvMOsJOWPoAKrmTF8a4eaeh4tT+UeR/BCIuqPGXq0hCBTBFWOmD5f4zlL7Cg74MJb
MC2R2tD4ES3bkVFHa4sHXbuUaa66lvbU5RBVUeJFT/pz0NrdQ3Nquvyu7s9Z+U4rkd9uUOVdit3z
xxXZ4nN/Nhib23zZbP1RfSg33v0tIRH46SJ0DAHu7adsSjwluuUdVIsDYHwao7IXuZV9d906hwMd
X94jydqIhzS9yO/AQKRxlzDYeW8e1hNQ0sPEsu/FXnqB7kh3+W4+VDZ/LCbOPnXErVQd87v8Lrs2
PjySa9I41VFBXXAn7okuQAGubsVD9qqYbvu1OLY0grdT6vPkjOsIuNvrl2nd/ns6UyxObqg3+V3q
gZFcj89EyASS9dqNLr+I3O6T02EzVvlYRBk+7IuUs0v260vig+ckTs1p3nz7t3wBuof8rq0IXrT5
gYfxv7zr3YP8rqXA7W84kTqlSa6N28qeLU+Y7jO2jq11Dbhi4FX+g5cY1hWdwBVDMiVV+gZB+isZ
lyL/2kb8/fHflxgoSYy5NUxSInFOf5qda/9atzOolvH7fItx+2G9sv5FlW4hK4OYyOrETuTHCoMX
SkHK/B/ix9+Lq//drY1WgM2ewmyfBVZb4+l+7iKGuhRpS5aP27ELd11aHuMYIW+F9BSFNEPwXZ2F
KKGYFkjIBIevwSRzddF0R2JTgD5O52MWC26pVU9K+d4IOrqa4n6Y9gutuMow3SZQ3WmN8lDiNXcM
xwTDwRT+QEvywnTTqKQUcQhz5YAlHf6uT3lUjoIsb0ctfJ17tvN593UZkPDLJSy+YTRfw2EF2CzH
dGk8q2SuVJN4WecP1dAcSSt09AnvItScujUdvZlcpEinYHikn3czJ4tXqAvh8SHSHH0TSy2NGUXe
VzHya7k2VziRfNInIMFa+B7o1zKx/ETHcTuZZujmcerIJqCiMPySgjTBzxCx+xAjUk99VBIPkvBZ
zup72XCv0p8X8IUCljJebNhKNlHJGCOTw6AztyzbnZFNByKUt5FYnw2VsWSe7nqTllS6vDRD4C1q
SPuOGX5dSoSDzbeVMd/pYVDRNwwvFSXlVPeugpS1MhZv1vqvGV83R4+6T6uaXuOcPPPU1Hbw8OFi
oLGTWDINLdg26fgYRLRMddpPlVFBbMU2WjBaD7O9UuAMnkdHTde0ear9lrQsmjQA7u2mE+xeDk8D
rh5d0OweAp2SoaNd5Itc4+UuV3UEoE6rvtdRzw7dvWKmvrmaURWjguTYrW6UTzmPXdzkj8MChgJX
TbV0Wxp0HwnDsaCkwBekp0FP7+Oh3CsTikHB5ATQAG7qNv4aN9FnZtS4qSFvDeiam2WkzA7PI/om
VWbPUzCeW/Eu0YKOg1Zzhcw7XCSH3v1eaRYcSaMCnTY+QdRYm+QnMwtvJ0FnX2NYqVssAnq4sbZa
SigBZDep8B99Wov/tqf+fxHXv5m/1stv9VdS4cJzMNYC8KcmPtcjObd5PLIfkjcx4UFz+qAPsDXZ
c/1UBt/8u43xM0ybhjHP9af2BsfiSqcwxbAJ0/WX9kY9iXo5auOwDaysvavYpJVRB2Bfq4nO0+vu
2E6hRmaTeMk0dk8xozbD9AtsV7EWXSr24HUd+quyUA52ZUTlZgob3dxrebsRZ9WOW7ICRMQULJgS
lwmW0544W2CbASCdCEV9ne7ngmWVxY9mjq8mJ4MEOb3S2TPOta9Ny72lvM3oQrLydZHHTRdUxAHi
XRr0y4xakHoLJ7LBrSVQT0aU3hhB6oQLMIJCjGxmDs6kcbp8d6M2dxYxwSQhbPX+GswZZv6dPL6o
MyFSi7ZNxiamvUvO2lTQoG9vym46ZRigyqV0BukV3S5aniy3DXPwewT/+aDfTRUSzKoJ39p2tGz6
WR/L3Pgglk5LXtuzieqhxwgaA3huQ2bzXcaVleiv2UjZjrIkGmdjH1OzerHelu6oGv25l1uiYkKU
2GENQdPSJq4GiFr/7eP//dNniWMytQJJVOPXG71F2d2ZUk23WnfIpAxjm1Fj8z5sO9HODAfN+f/q
gH+sqasB6OevdhZlmVAnHLDJ7mkzn5Sy91lknJFWg9VzeMlw1Tl6CvLF+etD/w8X1c+rufYLgURS
EHEtSzVs20FpdySmb0DI1ST/seowXvm/HeyXBVQfrSBjGDBsFWmiKUSSSA8yWLnpEBx8O9I/kWf9
zdSqIDcnrg6dOlvln97U33nWsriqFX+dy/7y+O8FFX5eSjUybP/Dj+SR3/fskNAIhMCyToIedt4V
hfajiyzJGN1NY5Xqm/z5j4qKLjK+YEvEiwYMm+Lqb+3ZaUr8eqGtPYM/Xrr+7Tb80y09UYVyHI0x
39bifcVmIrgR5x6dDSFb6V0HeDUlgR7RXnXqmL0I7Bm0w4QwoetLtu1no7ySwFmkCH/V4cSqNZAf
JdlZ4JApY5JSOhS35FUPFYqZY6Z8KslDUBCUfoQJVUE5YUek3/bia6U8YE1Hzb6ovlQ+LekpDE1H
qAixFxyN2RQNLwk1WV0dyvpQdXcJvOraztpngdoJ/QmAiejQjmB1npM7ahGL77dFCBmOTPh+GF6f
cwRDjPNiDxdrWj8Cs8j7C4Fns4Ghq7wog69qTxWEjoSsG30ElVJ+Hd8wbTYGjctU3RSoyag/1NKv
xZ3OqSfhQTHegy5D8rLjqNiq4D6KNXCdt2r015vW+GS091rj1JxG2KOImSlEFjfWh00uUaZy7FY6
xfObIuxNM7ADyS+ES9zfFpRpulTyHnpReNaM7RLs+RHIcVqfm0W3Y13xDeVDix8W7FP4BMXt0m9i
60lp90PjMMRWqC6m8S7B2ySextYLqoPcHfPlUrbvY3OM+tPQAPjJW1+QBM+UIJXD6cZMA8ElabYR
qUGb7jmlMWAHsHp8jaKtHphbByRKmJelr9x8qV25YvJFepvqikCTk4VPZbmRi8ZeZvOo9Ej6jO3I
CDga3+Yi0GxZQBdFxnBH/5dN97QzGkgGoe7En4Pm7ZPabsLRLtPSS3WQvmRXSCdlNDa9WLFyN6/L
2gLZZLei9Z4oNf42JtUywW1uOjwH1Galjhlc+mIIt7rc7rTki1yiIGT4m1lvVLwdIbc6Erm2n9wK
3MgkgSGG9JvdZTqDdOR6WJPRh6GUo4R7nt6kt/IlWl6i4ssYIEW4wFoqrCcB8Zp2aOPXzArtAl9l
s+lDJyeTrdjQvM+LI83vjAqy95Q1Yd5WCaTke2W4bXITdVCcRhGz+0YtbjUUkAOrqzOPVIikFDhF
yUd4wDQ+f4j5ceFZrcprkZxbEWPUK9ieeGTf3NyOYfpAKgXT4A04mdohOVa17Mtlt7J3bqfNLXpP
/uxBvzsOOwjGG8/anP79f6+v72zb7fE8n0mQyneK8lqLB4yCIl8jzQ6PPXgTIe8e9LmzVQHK/I4E
ZUDeqXFpW396Xbf7pS0UKNldMqEWDGCSFyu7Pj0JopcqO/U2vHSINsJdKt3SrjBSP+/50cv2yDJv
gvOSHCzeELSV0wa0NzhPQbdLIpnVjUKXKPTAPwH1JBsTfycU79fZYOpf3YtJQ4vA2HKyiVa7s9I8
9gvXurEgVQMUnu8tnObt3O8NqXJqoLDFMmwMEEWNWwbXpHoX5a8dUs8h9yc7+8pX4BrblYtiyeY6
3zIq8ITP/oVUTuruXPIs2wpq4gS3lbKLaZv3PUMKw3Ry87GkKw7Ff9f2J4U5uGM0di/syo6x7abH
MRvDh0bFt6aTcDcnatNdt320G3lhFUKNBzA3zb6j39JnL0nM1TM72idRWRCsB76qsrvGhHyKqKER
Fl+X6kgo7zRui/CuM0mB2UXRNuU7R04ZampEiMELQ+0K1Rl6XISH3cZQHSQasumpJSR1gATvUfIo
W1jxU8CCjAx3enAINV8unQXbSXmsuktEq8UUyU4kSDPaDsxjFKgF0TViewoPgMtJ0+5omg2lh+KE
SV3xChzdAGHUfo4LZTqYd1SkhDK7PXjzkFF2+PAPLjBM9Ff02kFa42inGfJfCozVI/enAuP3x/8o
MHSMfIBBDJ0IrN9M7ei3KKEhgnwrIn7UFyIsEFgiAGxkwHx/lBfYIPAGrgUJNQapY3+vvKBB9Gt5
8ecT/zbE/qm8qBtDnfSQnoEpsP0WydSs5J4KNyUuIIq8Kurdvls+5koC2SzrpNth7RR7ZRckya4M
Xpc15XyaYNDHIz8nIbERyFh1hqVEiNs1MQRjvhyEDh4FWlzMRlo7TF7Ti/6Y0+pN8+w0KRC5BGZj
Zf0hDALaV1BbGnDgODgaI9vxXtIOBRDJWGHsXEb35JIs11bNHCcccVOUbx30yRwKpbjiKMELHyr4
lJqQO/TpSC/ScDJbBrl7eUxmEKB6RGt22IG5TOBdDs1FMoPttGIw2aJOnrT+SYeRGcPKnFZo5gg9
Uy5wVDBxE8gof4lWwKYQsrRVMDctYsMdacVwikaU+7IQGlD/GYfCxVpgdkYFyNM0TejtYFZOVqjn
BN1zhGjVrrhPeQV/Rn0AvEzC5x8cZYN7ghI+GMJUQ9UgwEMjhF4ljF4dZG9E21YI1nbIJtirrF59
Hn7A2Tpko+bmkuI0mPc7okBCy7qX9PIwyNDa0umg67otUSDwkaPb6i9z2DpaCPqwWnbc2Y46e1W+
wV5QDB4kIr8U66NcBOw1cy+dFqqILwnjH9Gg0bOQQYShSpJGpvg5A4aBp8ZEnRUezRqvztsD0cGe
ZT0aHbw6FWP6eKsjY860jLQplpm0tEsqkbGu/DlLd7OuXYWSvxfHoyJlvomiGwA6A0uerRnceLR8
KZF3YxtvA6RSRjOw9e/RzYcnraC1Fu11cnxx5iD4KxhDU4Mk+m5Y2neNrFMlxdPNt3HK45cs7Xwl
r30m9a/RbL7X5ktbNvDjmGGFkng0guIUoDqYg2oHbe5CnKGD2iHCelGIbijpl5yTzmLDrlNp04hM
F/B9WLmXyPIxrskjQszf1sFuUODiGWjO1cx8qpsvZighK4vvW6E9dlLMaD6UvbgU7Ax9XqCMW4t2
yD/4LrwiSLkDo/hc2+arM+uv+uYQl3+5C//++J/uwiDhDUmWsVgTJUA36/s2T/mXzLE4JkATehki
+/8ft2Gi0YkdkFY5ML9jc/ifxjnbPEXnl2zyFJWOuvi3TGfrJPeXbtovp/7Lvj+fh6RVJLncZgZt
04i8uSSRXYFEAGE8a3P5mluIdepVfKvl2yyFf8EFWRjS/axpr6KIuylhcGe1hhd3mPyj9hKvLOYE
9U69Bo1EZUGQEN6RcJgeUwJGydYAIKmRGCdQZQtVehjG5BSg2pnJ7e50gEXxtCPB8NiqL/CZ7BiD
SzSw40GSrhOXFK/iQVwmEvsoMU6PbUCLFaRCEnh9NWNTxrMSlZSa5iN9VNdqrUNPslxfVE9pltCy
a3wyRf0aq0WkTbdxXGtARKaPvLROk/5GmLxbx+VDOLwK3bPK1a/Ii6NX8Ylml2MU0m5Qlz3z503c
lUhlIw+oiWr1pxEUZ6xym47GZz1XNlmn3KrR+CXHIzSpHfd86zy3yhc9ifaazGaCey4jAELQmX5K
L2CIom64TIECopqUo4596bhiYaPyzViEkyIIR12dT2G80C639jhOeXN1tBk0xzl1OaEy60jfyVH3
ZMI25f8XkeR3BA2RKbuvNAs3x00ttNuOnG5uA2wMFr+kf2gZl2wU8ZpkIMITL4irQ2/Mvj6/LMJz
FuAuki8mBowU4Vht6OYmTyv8NNOb0BtfEuS/aU2MH/+te6x2FTPrLn7QItGd+8YxdMELp3c9TPyG
AIJKZeI85X7JHHPo56OZ7bKWAcg0IQhihdIxZxHqnnlmFpHTyxuY4/IaFCjNoWOR8V3M+WsSAfHC
DSdW2LNAfVfcIbUUBY+SuhlB9WuGTkr4ugU0qqdCrocbTShRf6uAPAV0QHriC6n8shCTHSeV24F2
UlALhxZOEmsfJjsjn/wMv3/Ui/bUQiUvFlp+BPqRMZHpFZ5uUKppbNfZW2QOXqStc/TswUj6x0m0
LjoCLiOyttoqiAuHaF+xR5hpy69d3rFLHsrVHDw325KIKq2Y99ayj/QWqTIz/LBi0EosXtm7o9nA
+WBQ1UkIc0cslPmTaKLcyZNtU2bXrI/PnUE8Xaok26KbIzuXY/NTF+TSnjMEUqHgQtDCKC8bC7XA
OCJeTrCywF/Xtei17fvpGvdCZAd504FTXap3DT2urc8iOzeR9xxpGMkMU+YbwASScrqGjXSeGi5m
csTAzjhDfZMWeKtK666vVLbvBL6vFlZZ3AvhwkKvOr3K3rgwr7KW78pVRzbG+l7o9LNekK6VtjtQ
g5tiqb426rBNeus6SLXfKcrNiEVsVIr7BpZazgeXi+Ra1eJdF8kMphoR2NDDSEzaPCh2NCjbOIHh
UujbRRNfNNSx6M03TbEc8dcfG2vwTD22ZVL+RGP25E4gD1KvngUzTRioa26P49vWauk2GqLnopzc
hOG7qpOs2N/kueKk3XxjWorfWaBWdS7NFHhqkW+DYTkWnMxCypnQRLgYYS7UEPdXuFz3HAeAd6vl
EM3hJsuZ7gzql7GOPe6yh2LIfFVob9o53A0NV8wk3Brrmm++h3yZpayPHK2PXENmpKZZu2SqnuMw
YdM6mW+1oL4tIQpBrcS+2722Ei5JPXDJgtnkXbtBlfPKZfW16stDWErUg+ge8tYb2AX2XUNilOUb
XS9tRB10W+RG9MXySTmVCiRqUrQGkeEj9ZraB67ZEOc8DLsgN/f1HJ8lauUS31HbpB+znhZep43c
0t6aRqEAS88pYfVKPLtyP0LwLd2ZZmGVVjSQwi3B13H/MIrCrVqgAkIlGDJPq0mwieX4pPbZtmGE
uKnj4mhGi6uSu5KnI5gMIBTFOUA2iFveaazHQqr8JWv3SSTdtlYPrbJw0YZ6xrRVJ8I+ovymjOqz
lLNZpqcymJonig1RXuLdKjmXMi9vv5r5WepwD3bIHUxyO2PMxFlSunJMiAhdD5adYsDGVKvPhVnc
iIkMGxeHcZp6QSYhOkHn07wGFYlYpWnrkbWvrcpuiplWHDRgOnMBQdKZIe8mIX+XwvKYtoNr9NNb
1Gf7uSVDNDcmktuS3Mewc1OM2r2RCtvQ0ghME16SQV7faddSwFp1/XDOhOFmvQ/FSvnQDsvbSAYa
IspdLL5lxJK6Y4ZxkuRD1JUKgG1ZIZtCpHWlLoUbzF9bNu6pkex0LCp5fBLS5Kkans3kzsyrU7IK
R1kthDL0s6VZI1B4f2TjrMugEmcD/5ZQlGcE1zjOTgkWGUUTvJw+ZzHdjyNEhBn4IYPknlwWTDfq
/JFVMu2+8KoV6pWmCIPNhZyLkV2R+eUfW3OuojtJUk16+Sr1n7x28v+i5lSkdQrw087/f3r895qT
EhHZBXHTmkV4G2O7HzXnN18XoLvfkjK1fxk6gAOLOe6331Lhfpdq8CvoPbAReEaV8f3fMnzp34g6
P81vfzlxaksq0p92/s08LpGQBK1PWOF0UTpbMU8mW8/5ROaSyHdqeOJHpg5M+Aioa0jfcOrm1go8
/u0h/Goe1BO3FvZh++yZzmcBvukbc3/2LTrWB1E9gJir562BdhjX4oPOdXAIYMcFR1q833jZFpRI
svAAaVfi10F/0Klgt/RLpTvcrf0eJD+FF39J7l2KJtpVFHetROXaY23LEQ3C5SYJN3rix71unKeS
TBPC2UVfHhwg+xyHJ+CYVFa8MND6PA9nBW4LnQccMGGLOpF4ON4BcPAltmziPwDuA/dx5NPKBDNt
+VwePmCX+h8Hcug3+i0uXGOnvBgf+dOHsrmadukCydzjknlrMtNWUYIZRIXW88kCZANKjmOGRA1G
diizMGm0VqCjZR/C6KE0dNNpM9zxN+kBaGtNiIcNSq+d3NxdoMbfZF/6wVFwy6ab+cE4zCcdLSNk
CYwzm+aF1r16SJmzyzYP4bE8g+p2BPFK9E2u4mmmRtgPNN8xdu26DziClie7y25+XXbLbnzlWfD2
fWFBcpPn4Q6d4JeUfS0sJTeyIdJFO2l9DbyAuuZ0LstOowA1nzgmLr3sSwcL/DMjqEoHDhjZ7a36
WC6b+a0+h9v5UfHCZdMN3KOIOiNsdCsivpDQdUru9BSjL+wkJ/xsX1ZBPMy5G8Q8EP6LbfQ0XFG+
EwyChH5nYPlSAQNo8Z0UbzEfM4zaKw8myHfVkRHx7OmWRE80+gn4afOL9CrdxifrHO7Da/pKGCyj
VJw7bQhSH3YSuZdXdJrjM2SoE5sQEOPZHrzDPndyD6YciRGELbiDT2oaTzU48s4/uoXpEKyWmwi+
J8Ycbu+U98Nbn3NMXx5tE1NSayPdp4UWOPlpwGLkl36Un6zraOJ/w5bfYIVsPQ0r9rzpnYFQFoc9
EuGDV0AAlvUUa+/mhQ+Qz2S4dJ/iAQf05I+bx8qGve8EV82Lt8IZks/8GW/I/Oke2pf5wzxCPRwa
21gwpG/a8/of8S0EMumUim3ykqWzda62vICP1gFR5KCWzMK9QCPtID1mZ8WPMOTzYQjPrXyW19iE
O5bGedy12C6wMbSJg9jHVUEdwfewh1vpBBE+IiqR/suDutUP8rb7XAJ3IhGDIcz6ztWBb72pDlek
0FxxmNE5tBfjkkwA/2xUiJvRwQ5pGw/dnfVUv46fXWqrVFr7zr2hqX0bEepEQO55fIl9mnnnZItU
zKtuicjt3PhVvTEeknfrlq0A9G5XO3YXzN4CX5qHDEnQJvYNe/ai25q+1IktJlnm6kY6yRDl2VHs
TQ8pyDb3cINalQ8S6oCHVSeujHeB/dt4BqNCEh2bSwkN25GRgLmOHMiWgGXpyjtx1+3b2kmVLzM6
V3N9OyYR4K8vZy+L+dQ1ez25hW0gvojTDXq1jHB18SON7gmWrfFAKq/kOkyYVDAnYDCwgBcad5gI
xE1nN6flZGrbWHwchtVqHz/zC/OQzbvplexWlB2AyQmP0Lb5l9jCwnIH1KP18eCTcyE4QPjT0OFJ
Kz5oVMKLX4l7ffvNWrMPoKzc6dvhqv8/7s5suVVz28JPpBQg2lt61Mu25OaGcosQiL5/+vPh7HWy
VpLau3KbsuPlWEJCSPzMOeZosPjnbjxUsWJ+1FgI41SfFngOUniag77DNU/FaI9UgDx95okSYyW0
j9zvclvze82JeQmq1Txfw4AxJRvevb1zG9/cG3FwiVGOvuV3cYth5Jpk0n9tnTFTGJjko4FjxA+P
QfgfsgOqkl/qjL/b/kedgdpNQVLOTACpIhFBP2Fb4m8z6oVdLkppphsza+YPbGtmbi0RJCga+2WA
OP2EbTGNAPYSZq0Ec4h/IoTTpb/Btn566Yjgf600mv7ag7YqV3+659qOad4T/xRPNXXDqH5f2aGG
35fXewjw/AHzSwTfhOQsjlyhxyP9K/5qEY4wmicRHvPC5fa0LH3qEXXcZnyA30l1dJgvVu4Chw9W
JeNAUcMc3UkgZ4nm6MmdzQPouFBCQORKf4Y5dEUQXNI6/P6gxTsqLOoF6UXw2EHJaleLNdvMxUH0
xeOSvTxvjAB1/n08cl+6fzP6krfylodjk8ot3jHqrldstMoFr+VSfl2xh+xGrxLj7fCcvHZ2kX3g
d+F43ajbp8bt3Pis7NdPyv5mQqsfnujSEAGOKA2O6JCOA+v4kYUYmve7fLHAimi8uAMua2kAI3Sk
NwIiwEvY6w5YmGPQi+svL20JF8ISD+pZp+Ferm7TEZtxAUYdQ0KU5255xBvjvv6MV5PPpN8dAqq8
N6xGCPOpN+BsloZjrKWRq7wK85N0NbugRd39EK3x2GCGe9c9yBaB2rFffXBDiWHwa30nsQOqlfjq
KzniLqbC2BrDWhhuG2ixIcA39R1mWuEnEpSlU1HO6bGfvasn/bjm3Ze3lSttcVbBPhkz1WaDum4F
C1Rx5gx1U6RfsjIimCFwdGbaeflO/5oaZ3wdNmAMVC2ZQ8K78Jo9S69XTIENq3qOkBzqBzWeD8ts
N54fucxSsT33cww7PgTqqe8ZK1w27CvcAwyOv62NQ+mlQXgo2Pqr5iu11x4VwRYfIA1y0FucYWZ3
efQZsdft34A5Xemh0lxZ3y4+h7vbEylHmglMSB5RL1LddGgOr/fqnvFyHnv1c1tQdgLkuWQfVYWl
sHMoRvAS1B/7WYuMxnxLbYPzb3/4/iHcT3d4GnML2+XvE+ryTf6ertmM27n4Cqtl6owfPAGPh+d5
MlMDztwfu+P+cHtKkI0+kJDEM0NUmD2P62cCoWe1ybwrsZW/Qy9AwRPZ3IvbMzt/n38TADRMHqTu
1vNw/Gm4g+w3e7RjauZeNa6MVwzLRl8IUGJ0mmXEfv1cP6vUn7Bu7hVQaavEtXnDDextK5xh69TP
3z7M4gtO0B0JT4qTkec07nno/F2zuNqeeLJ0HfokqFLu4yXESewgcZ2vz6QeEQi1ghTq94ffjaAJ
PQph1PSr4Tjv6zN3hzRgSw9e6LMD0kPmz7FPJMdTVBdk5WCpwrdoGm8ExS6QRshmBRnoeBvfQuSG
lwMgzhoei/cGn4Qng9PgTtfnxfC1RPXRr6GlTvNTURZkVjvg/DQ5xurioyy3JosycTO+z2oNoZ6D
u68QlskMO7Tr8RHCQKTTNOlW6gGuOpVpeARvOcyiwr1AxLmPWS+Vn+7Ijy3gNbk3aA+BtIXJvnWg
pOgPqYWsJLiVxyQgdrXzSdbaGycSrO4rHJLBegRLifZXJ9vW/lUEV0Kq72FNQSNUOmHpEsQXo5cy
hRc6JUWyUvIe2b8HI2bsaoKtUNk0YAS70JVtOBj+JxWv/84kzF9uZcDr2SabA+5dEMnWn/IDcZnW
+ybZYo+gg491Eu7XNetYE4xwRq6xr7fZVl9C9je66/uUdzY7elpauG6+zqbUVTIQC9vz16tdRNgP
iE493RURk7ijPt1NvJXoPw/L+qO/7GAo8WbUTs0KcFQ97V67l4+N3a5wTl7Hb2JQ+jqfalrV8CRx
g73cNzZepJ+Ac/5sZoa4ZxufayfayV62aZ0syAISzGNzcltHsp4MM/Kj3dMXde5+cKWVsocD46/9
L0Kf1BEFFS7jrjDTit2ewMjeht7PaqAkVhv748AYGRE0eDrHwTZIkpvTZExhxS4biJG4yO1lT/XG
Vbopv9iDAGMJXA1eB3tySQTbSt7wBEC/fK82nU0baCbm1/15/fS2MJ/YyWjP5MbuzeN9ZiEV9+uH
cQP0V5vSmkE7Zt/1hw4KzxLzXHDVRJt6NZs7/P00rP6kA4jarXVyvDRyB59CvtoP3QUlvfonHE3X
33+hT94oHwj3FhtiNa3FZnoeCOjE8tWXDLuBWqSsqtnLPSC3IXkbMZVlEXlb0hp3z//uek+Gt6lJ
CvNGEJ3/iitJggHl5Cdc6bve+9P2P9V7xK9TvS0xi5a//YJ+zDJxeaamk5EdyQqQDpXWH+WeRgg6
PstARyTjzPXnH+WewiwTaEnVJPj8hNP8Aytn9At/HWVqf+y5KPxJhKBWi8jIblPii3kfYCu7hbPJ
R0Y5F4V4MpZzJVZ62q1fl8vqEGZX+8IpkQiZJWCXnyzqN1mPtql4Pw35vp4Sp7tN2wWiawHx9YQI
O8kaP0xYqoQKi93+VUSDTTL34WqMGAQ/K6FynA2IyrLxhy4MMvE9bOt1JCL57k8yAvBhupkY4ayu
9F6LFqR6UrcagvEK4XiDgFyFC6ovRsiCsi8iMM9mofkYOzHeALcpe+gRo+vE11QddRwidXFU7ifh
tNCJHC69RCaZcoZXR6zyELiPCN2j6cNAghHiGpo35xtieDwSSP89yMtu0yCYF0S6OsXYh+HXrdHs
pYiXpFasZHhdPXp7QQRNNpYE0MBf0yNcl1YF7MxKUDcDan2lpeZFvV9Nu1vqLBngjZAbZX0IqpaK
taZRRPnf8xLQWAFOSNjspLgDoP+3Y9wCZCWy1dk+IMNHYIDwEWExrF+/BlwGJqZEycLpY5IjeEve
5QUQFq4EBbgIUhyzBPIokeLmHU7GGqkV2Aw3OvSSq13KRwGTPBXHg1SmFRwwECQjQHptE8NbUM12
GMl0uCVMgojFz+jrhoBCSN3nuCqoFTEXIuKj2W4hHvV7OEai+jYBbQw4Za9LNJl4NOR4CuW8Lwl6
ScBbohzUTYKnwwJvh372eAizFY7VTBWitwYPCAkviA5PiCveEFmKe7ByVT56XCOSTt/3CTymomaY
yEA5zzeTQSK5Jto6rhMy7hMSLhQFvJCEhrnXsgveP9kxVPWgp8jso9Rt8bIQ+DS3TeIos8mFNIy+
nF8/4lZ/JzmeaBlGmPVyhUks0lB0proWk1WXZl4MwVbt+CMIV2/I61yFg6MqwVi2GFNw/ZaMD6Hq
jjelcXRNdiJV+ApxHLjNhNDGOMtxa9UpfqFD+NGLkKNDLgdXMjTw3pAiwZsi9S4izTIfwURRIMWq
/BkmTPG7pYDLAHEOafMkFYzwuKZFieEnBVFkUYQHOPzPeLoBrEJixbY6hy9eE1GhZwmAh34g897D
zGtT9TX+FQwatfFd1GKMjRa3w8JQN2q5RBbT+/2lsZNW+6oYg4414p0L7kxy67atshGH3KuWBEaS
Pw3clMyK4PrekLWglWt7GDKu+ngWlmXnhd3wUE1UW9hNQ51f5cC6zaTbGKRaeoNnSM9MBTdV/KWd
bhrX3YWhmNx4SUipsaQc1DkERl4yN8yjU02g0qWOTlN3fc4vrV1fC7+85pty8V4X0quQDw+LcXG6
5LEjigBqyaty+TRyskqGDkAMB9pL9nGTu5jGZBCgeTZ+nU/QqHBCzQhZNodMP6DEdjpJvGvy8aO5
4V/RxgqLVt14jAuNTRey8lX5wuuGaisq+HKmi/2Yy+quvCyPiVw+Ei+9GmH0G/JLBEpTMrmdU8Nj
aOcFqkA8R8L7ZPqqMP4sAfq0CNIuo/hCWJOSSX2yj7XINxBfK5wT5Vzlh4t1LNXMu0trgU9o1ypu
pNzMHo8RzCw2kc6SApSZl6I3wGavIHmoiOeUVtw0EJqG4XkqL55oHCqyrmMY5wjP+GApdn7BmUKW
sPC4BKpEAI0SVGGxkRdUI4LuiglPlBuHC24dKiGQkNndPuHzer3LO1a+vLd6Bm3VIuYJRXHdD9I5
DoEzR9UlugwCojTSjOYMfu/FQXvQWKjjDnOdnnKKNCk1I7lkuZKQesVTzaA3LA8TOnJwjnVbpjic
YESpPtVtcVhymrOyuldRcwmmNDGOw8wVOP6SpGAR3KjSSoVukrSbscTQU6iWnNGs+tcL/rjGxZYW
z4ui8UdRTuA2vkTpooBVXyOKkr2aIxtX2QNWLY4Yt/tWXZAro9ttO3tG49SsA/Nry88pDR8SXG5V
pXy6DDxQ2NS7+LpwJ1LXlikkkqFelwK+Ou24Q/h4KrHq6rPCiTuICqPQrxZSmP2bkTUdMbRA2rQw
87rgzP73SgtXpj9VWn/d/o9KCxYuJC/h9wHebEf+R6WlCNijawxsuQ9pbv9fakn6jMcJKp6MwvI7
CvD/Sy1umvlixHAwwZu9Hv9RIJWm/ZW9+/NLnx2rfpnhZQni4qqMdU+rvR5+BDEtJFfDLrfD5LPg
ems4/ZG+TlQD+j0AlzmlZl3NE7xbdTd2c3oNkSs5H35mcELpAk6xXvBXvhmSgb1kAz0SQJpGu2Yt
VYfol1jwQGtwthl4rgJ0bEif5dSbxXefuQM1c8SKw87eDb8eA9VwhJflBRNoDZ4DtkFoutvVdE8f
KoWbEQSNaR4pOU+AdwL8A0ySLP007YHXijJgwAeOJkLtd0H0vn/EMqOq25xP9Qb6Qqax/todpqB6
Ds9TAHQzfOivgExY5V0XHgmZJzKqAiCxct3fkYtxDs+gPxdLZhDndwe2Z5u0DSCykZ/VHUCpwjMK
JKk2AYbkE7+SjcG1gjAc5m38mc31cxjfAx+Bgoz2fE9tx/PpjXtz+D9u4N7650ha0gMmXQPJXuBH
6fuFYJDKwcEJW/nRwoQDiTgPkdoFtCquwA6Pxk4z0KhBP8b51bCJKz50ex6QiziDOB6IOSIpHVh6
gcnoW6hGPg/Bq2GjGyHmvJ8Ir4G6QOB+f8Y3VpobL/ZiaX6Fz3ZnJ2upXOuvUFPOMPlEvtpdTDHk
xpEpvEpnGefAwS530jm/03AQsxVXRZ6FWDbdJL7mYiHGJFE94/5CtNCdwNhJs5oD6WTfx493YG24
S9twoyvHNMJ3OjSvRA4987p517qD5houu7S/PkEFw1NE/eTArjWdI90eu314bg7q6whOiLYEnIpW
14/W4yu2+q5wls7Nw2SPr4jDMIFs2SsytGITmvcI3bu0Ir/clTEo1iF2lvqRV89oLsSrcE8RGb1w
NYijzS3c5xvmY5djQuqYyAiJYR/J1LLNzORUIqfaRvQojUfwhnyfMxG08ch+Z+/hGWZLc//yRKtr
f4jmA/p9wxr3Mz4HqGa8Kk46j5MuGPI6VNkoOOZkerOR1wRQA4JE1u390NQHaeECczWaCzltkb83
+q7JdoX81Gn3VXYmmTvQGakyVDXnWe38OU540xjyXqwRNrI1BXCjVCs88+Hlzb9wKrTHpAzA1/qD
ugF6g1C4vrUB2BqgHGd5OK01S++smvhkYLGKqVRzRBUSrgevQek2D/Qgp6yn7dWBIw15jYvTHk/u
+wLddLwc7GLReVn6hZM1nUVlbro4GCMbey1IK4SnjCMeDC5/yUVAwcIZWU0aK6zAf0ByONcZ7gJZ
6gBNfHCf8hSA8RoH1D+q4EKKA1UizRpMEegveO/MzwGBlMhn9/oEMZtgFhK1gTGZ6DvqBubVqr/j
Hbk+GXiuc1Da43yc+AzyzZk3vy2Vw8NS9fHOyOTOAxQCgmWoeMDmiT51eOpecEs3eer3GGeFztdo
YlpPdha+NvpjB3dWwmys2qY9xpU0Gx8z+Q1nfA6ahDBouZ2DhLF4pwwqA8VwxMtLaBlBXDyLN3/p
FaBEzMhZvvR1iSQyGVy130Henc0HGJVeiegi4cCEh2ZnXuhQj1iw4O2rpZC5NRMRpr14X2Eua55b
c33ZMitOFXAk2Dvv8pNICFsZZDvSOTl1Q3YqLTx6iPi9YurXWfirbpllGpFL+jhm1Fj3w1Nn5M3g
e1V4fG2pzP1FAPCMNX+Ig3ft69YRLi5h2rc114WL6g9nzLMfog/c5DJS99LZol5ZIXgrO5OgPdzc
0x0c/omHja34w4Dtd6e7p9QfduKWRPZl6qUMBmklB3eCR6DWfNwkbMF1BtL5sQDjh3QA0Pre0yiW
/vTCRsan8dkdQTn5m+4vDYfjmDmMG1d0tS1Zqpqlrotj7l46u9yHvnYCLQZ8i91vxzm/WSytUvgU
HunGODJ89w/iq3LGJmKHWMLXziwu/hhMNBugwTQGGNajmluzeeYUq/noc5lST+Erh0CC7ZK9Qxeh
RW6dKC5NrpdlfeAmYvEK9ZQ+SanzrwW84BNhxYkBDZYAmFkDQ/3XMmwJ1f6XMuzvtv9RhmF1Tbwv
dhb0e7N1NnKoH2UYNxnEN4OCYd3JpPKnMkz9TZqhLtRVGqbb2jxQ/UGl4iZ2AGo/tH4U5cY/KsNw
YvsV8frTriMV/7UMS2jzujiPWo+wGIXskEukm0VvFoqViwoxZY/MKeUto8CUgCIyJz0qsaY6qkwk
vdATXXm10ANDD2rGKCiGqKvEbUGcPV7lWDhhX3+7+NAUa0ZlTWgCfJ3beIH0hvLBwbRWJCVtS2de
qg/V5QXGDkMuQ0B6CG6vm3CO3MxV/GhqHtqjTAakJi02mX0pg6GAwXmP0RcTIPBeU7KhUhBiMdqG
h1LGQei4qjfLVfzQl1swCpXp2yu0FWfCvwygCx9Hc3gt7jDcIe7iKK4eo4CRDosqRAjjFYJrYw5v
t9PwVp7az3pbYIFW7at9v62PyVrZROtoHa7Ku/xOshR32nDVNofAcFEp+YbbHplfTXRkNpOo6rZG
oCmpAQwMpjiMgTRLfAGlwtMx3DBSopAdA49nn4doGAnhodnZjNuO0H1Y69mA4VRKpjAbFoVHJg35
0NZ4mBGSAMrH4gxLQzK7Y+bMBAlxW5a2TmjFMVwbn9kY4E7d7/VpLZlAHgWDBmCUhadmJvYex+SJ
VPf+yDQFkSuLFPXXGo6aapOoWQZ4lqe+8MAaM3MsLpsUutYW2jrqbavfT6VrXALlNN5XAiyVwWOV
nLeE01GxWGfsqxSUmUugIg1p8H3vaoXM2U2NNb+wNgqYcjIInxcvz/hcXIJ+z+6O9/nSRHZ1wiTo
RTmxvoXr5In9Jraemutpuq+wv6ZA4Ql1f7wniOSJzW7v5LS1zjchxCrdBr4Imxpn3b8yVNBdRi/O
Za27/QM+yHDMgjbIP9pAuX0fEPaFHUnyY8OXGN9DMcEKdIcmIsfotDU92TxsHh83mbl53nGWYKHB
Z2eCqtO7TMjPsg1CaCGwuoDdQC/UKDjITjC10794ZRU1nd5WYxmbfSX/R4O71P9CUf3r9j9WVvE3
cpZROKnkJP6FOqIwE2CxNWbV6s/uF5L2G92rJqA/xbSSyQUd94+VVfuNjAPErnN887zNP5gkfEeI
/WwxRJs8v3CNtR16LvqrP7W3CzIJKkPvoaeVmexME9NGhHJwJSsnXgSYXo1NfYflkdNX1HLVcvKv
WfqxvDX3SXlbt0OxE8X8s7tJj6KAB0Wnhz1Ouu1Bm2Tahna5bbXmsS9093pBWb4EzhJQmheopRHG
EGEIYVSlrGHKHCde1CveVY7sJQVIess9hRNXHKWdPHTbHG+MgowE5LrlS7HQXsYovSt0KBlRMlC/
5yWMs4wZHu3KoD8K+gDILAJKMXHISQEZcmwi02a6a6TmkIJWX6E+XsLcCy/NvJZqyWc7UR7lVxm3
YCbB3Q5nK1crUvcaqfRPIjMAVCD4PC+oSpqJozFfSeho4xbDNMPY9NlAupfA+FG3xptsZdN5wrMM
CwqpAUFWDbeAtjDFbxmOj+h1Sha6Zfc4XWoaDJWsn0iOOixnO7dddmQJ962ueos0nFluo9OI2d0t
jEHBsZiQjdGJl/hRCsnitcKZCSdfg9daPS+juwrHa22KiJIan6O8wCsqZn4z6pjp5ssEv4Vw8VZo
C3oMqupEHHcGJIV+SoKuJXpNCLXdv3YhmENSERuKGjM6TghU5f+1xJKEWeX4y0zxr9v/WAik35C/
SxJs+B8n+48KS0IeKWCQw3QQJaQ813X/mSmiRceZVoE7hkUtnuqzKP7HOmD8phkCf9YliR+C/I98
BSnzfq2wfn/l4FtgZ3xhrvNrhVWphX5LJihkzEs2RdttwPAPouqEKZe4e01p7Or5ti1vOz3ootCL
uN5U6auavfUINqSeWV73ogey1pu3fn8TC0LlSj/rkychXgkMxTFZDhG3XL7IK7p8Dkwy8pGusaUJ
GBWP8oBWd5gd0omONoEYQHGtbDQXL2AL9aUERuaS71YgGJmdGiRWngeDi2W3ueickgzU6KKe+pcF
xq+FvSDTYEFcK0Y31o3LODTSNdSOSPSu9Wy7fqfU4FXeaGU9OD/T+qkAewlp/0X9LkFTni2O8mmB
QBAgwQfsYScWsgUngHMIihj2E/sYgtlyQUhV/9RJ7yNQy2zxqZ4QtNvx6/BewX1QgvJr23tMLhpI
Z1aynRMJ5c/EwCj3fZGVmJhsGBUQZ07plUJmYuZPx9RvoHaAQGFd20ur/LV3ekdfgc/4Mqia4U4P
Hc6v5u1mijYUKb4l6Eqj3d4N4HCGC3DU3iFpT9YqBK2K0bANNwt+2k1zuwNW1RieSCf5dHOavQA0
IZvlsTy2kOhBHIDuQL0WtOQrLHs1ESc/2PybtjQZYykcvcHqi019AWQ4tLnF3/uEhtLkl5bKYsIj
d0OeHikvVxsdmpy8X43j9XYURo8ChhRFtd0L+Od9f2cUl3Df6Mxzv8R3FUFu5+bcrXeVR5GYu8Zs
5oAlcyRTm/712DBXIzb2BSL4K+9Lshb9yImci63bepBgT0dwuSCZyPSzXdmgKjMHZ3kDr2N0a0nE
u0We/p4HdPjVmewUYfmVlZbmRREOdOU5Ok5mZO73gHosi8BrHDZgH1BCDnd/F5tvsQlx5fu/3GLO
a4Hj2lfBxB3FWd5VfvjQg4yE644azNntKnO38v3eXOHAtOIkQM1vEeztlpvuq3O4fDgh9R2+fgfR
0plyOxhnrnqXyEfzfX5sdAvmgYJudKG4A7BCQb6XHtNj+KapFnyl8h7Y6MRXa2PHIk8jOKuNeHTE
+MlsO1NEnqy61WDLEuenheXzpGIjb3W5Jzp41/WBdPGQZ9ywM/SUM/9KslXdibHFd92t5qDNG9L7
+W7LV6ML97NvT9/VvrSono1MeKyH61dpKAGTWHoqa8gC3O+xJ30Nl+levE13fZi8dEg7tVuzNa7l
GVe+HfHCnwGKb7+QCkynCefNJZhvAHFREZA/HGssA6s+bCFm2RI4SgaGU3mLlYzYlVnlhEGVg1SQ
GJ5acRC0VXfZKl2h6gzU3Fx4SwetgcM81S0SW2zt+cQsoLzNgXHdJ5hbcwTK4bNB7iDxcOLqwqSb
f5x8c/Hh2Xv49hYYv+MasJLITUAc8JG7jSeLsy1yusKEmMsoRG7suK79hgYiXDxPcJQQeWLhgEDC
yojWSby4elLhmAPgwX/i+KeuWm7lymeSTJ0zHWmb+qfmK+tt/UmZ+UC3D7pBDJjQss1Prr+1dIvB
Za0SqygecTfiut+vC9bJlFBPKFEx9XtcIKv+ivOLj/lH8qRc06OuCQ+ZIgS6gYveqaAhu9lX3V4G
SAWvlpQFrY/OxoODm3rM8SEAYANh7SHvWQzlCLInw9cb76Qt8zgowiQHPwkvBqhVAWI20+kEBmWm
/NK447GDW0rqAh5ZM5xDz+OiZ8KwgZmGCvFUdRpMzH3xPn2Ckjrzxmry05zeooU0U+ujN0fz9yRM
GbtxxNaZtQQ8a/f6mvfQ7j+qVS241WpulBompFZknV53z5P1SN7njHV6w3G4M16Z4ocuro18ZXz1
dmG+vko2qBcd0zcAmzm5PfeDNH0uQpRvlK7c55xvg9+dEn01fUp+8RLSuXoEHXopEaqAmsh+8XZO
j2QbxnZ1qk5AujBix/OwCVeSozE9EOIjWGh/eSxX8izqWePLsqsCxsyrLLg84KJNeh1UlncSDGE8
Q3KG9sas39yjCpKgrfB5whGOND+n5O8vjBlMjQMKWYKmWNpXLYmLznTfk8Fx0bY3Qu5u0oZPb6qj
Onf5mU17tZldlp5QrkuRtyBUsw7wv1XfOWMXk6W9QoLRSqskt6Lfo/zXe/e6FsDt3Ytmayk1JRcU
K13swuLZ4CqkMZ5maeXuE9eTK4Gd8ocwL3UyAx04KA0y2U5zxPzUxe/ZDEoAb0CYAZLPFVzSjWCh
jdBlP6srepZZ/C0vj2lzdcXmfBXWk/HZjpKdhSOGpm63/Gw5j0mPj8OdDjuzFrZivClDR0YSQ5Fq
TwQYjfAkDPJo0+JUo0fV6hftWtj92y3BT0fGvIQg2WgjTe/Z9hJ/KEZmaSFC63tVdDKkmvruej3I
8R4J9Uk9ictDUQVXgl2U7rHHwa6VIRd4EDUsRccyKnMxwLuJji6+xnJABVLdqHTS3djWn0Vxcyud
mkIqTa1fiVyd6niP8b+VZOv4nuBXyAA3Vr38VniliAcWiDMMdIYv+L7zNmPJLoKYWN1pIrtw3V/M
6TSBAXAlfs5u64Xo0+MvCJeligELv401cwxGaEl6F/a4WpUkgp0mgPO22V6SL6PfK6eOqUNRbfjA
A5GXEK8iXPyP6VM3XVVzCRDVLo6d1/fiv3uSTSeuw98TCCcRBKrc/6JFxQSIO/xa36Pz+HX7H/W9
+BtR2/icIEH51pz+MskGAmUeLVHh4yg+owc/Cnz9Nxwu8afSmVQDJ4r0Ez8KfP03HMM1fQ4exJBc
BxP9J62++jfRFD/v+nI2Yf1JjaoPEYNhhWiKVIBYjy1ElEGbTRC2K7V8JXb+qa6HFPWH0XLuqfIL
BuS7aELGRZhlmbLCk/4aV8YujkYHR01XxrL+orWfOnlrY8/sStDNOAp3t/6GwE+rjsUwrYmlZ8n6
CAVm0lLKJGJyUkN2M2V5koaITjx1ZDzgFtJrphQkACAxGXUmBQtKltouYUjV3bOODqyC5SxjzjKM
MgVpLctjEJLQWzJZMoxmaQ/LfkvKI4aIF29h5IdrGvl9rB8LBUeq2sDggKyf6tCo4ltXJchiqIpl
W1DxRBCDASf/hfwCGQHt+OWDV2qlg+RkbbkNqSjmUI1uiYMAjoqxqnF9W9qTUq2LK8uDMtlxwqmW
Qv0pGnuSfAmWey99lMAIZXEssJXpEb1fSe65YWSn6DtVfyHMzZ5KQg3Vs4Lp5XUhAo8Mn0UKEYXp
XrPVi4CXgJulHw4PBuRAJf5ob9JMgDOvpBxV6XlOaFxeOLeXrxHLWM8KPmbw8G5vTaTBDU23IgSi
ulB8UUelsjwsjTbok+4YSsOWhEaNsNTb45z3cLmmrtYbT9XS2F7yYtM2IlVtWftqOnu0SMUD5JDH
Mpncy9BjIELbE1aNh9fWg1AWdxmhkzcDhWinwCbQ0sMNVpJ6rbdZRMehq6hx/rWQwv+PLvA/gzUo
zlDef1lyGJow2/hpyfm77X8sOYxmNGBCpPWKOjORfwAKAsMXWQA51JfMiXSRR/yx3nyPbHBQVlTm
PIImM2j5sd5wE6TmWaUvMu7R9X/mtySxcv0KLf5nWvX764at8+t6Iw9pmusNWtI8czIiFL1lxvT4
inXXhVP+UMhfC+gEQ3Wc4jtZt7jLWOza8y3B47/4rJm/NjKoAJqWw0jsNUYT3DFNTkiUFu/8qBbb
iARETNuk1UtPogEp0a7C0LexVTWINmq+FcTHfrbIU6yShpuzLa2uXhu+Z08i3VbqVhfozgU9mKMe
qSNQmXdPCriA6nX2YNfokKmFX3LzSTNhItzMp3NvrWvKVX3mSzQHbKJQ8MT37bE9pvlRzmwyL0EC
ROTQJJther7iH8gYgXyGrL3R3Pou8Ul7BWgonmlfxQeVdt6NKpN2DnTRGj4Yq1fPTJwepgDmiv4K
BEPKyV31jHMv/rITtyqbmX5yHl8W/CxX9KjE0yAbO0S3ANIKToOv7Eq/3LI3xN6x+W1jfDf+4YXZ
j0acaGG6auMqYVD1HuzMHg3yD66MT0CobIkP8HguAYSbDpoLul/xftzB1EG8xd7SE+tnhGyXHTMu
LHkMQAdlw73olPk23P6AaB7h1x0ZoOTs0F+i5Lo8RLASuff6mwQE/Ya9VTaCAqXAqG0oPL74MJNd
aEOWXn8n7qAoVHvYoktmTl4GE8bWlCNsDnLpYzyWzFhY4zSrOP09ZIt03ZGltoaFMO0uj1RYG2ji
R25XY7RJWJ1Gjc3d1M0st6JWfaBmXZybFaqr5bw1RJFF40486U2H+GsO7mgpiFIU4CGP7vHAtGQk
vAGBMHlgS5Qf8K0vX9SeBMmWNlcx8eXyFfqFcwkJocN+z/SgiLjGKyM0zoJZaYUv0azvWrw28G4Q
+EgPPPrMlVjrjNigZqDvY9dUJ+s3izM2rEtzue1gvtD8pVbtJhttCzQfm0jIdXxrstHp31VaudY0
XlRi4c3lMQqE/fy0p2iDSTOVJcL0+QjO2T39gf+VZ4HYKbaigCuUtIdtmX6Bb0NDR5GI4mkDeifd
L0BheKdddklxph0Kr4eFQf7oAaiKd6acD3TeBmjvIOPwEXwJ3QPXLUjjmslhWpyJr3qYLg94XDIU
dISgjEGzzUHb5aUP4qG9Mo9DrjRCFPEty6EQqLG6RpjKJyjNzlA9mJXlDHu5H54KHnSCeIXvoIqd
hX0PJx66Eu5AX1AV+g8sHfvKQJdqYrzm4R4GUZpuO5iF1/YNk8IXRnWkQuLRExaFxXszFNA1Bhwc
MT0A3Nmj8k4O3VH5hBfXFuFdh45cUqDMHGdnjg0kvutlClLU9tOyPKTd/W0cgv5InCk9mkDyU3Hb
49+khLSTwB3RyWgfNeYp4acMxrFCmkofPPDhpHHB3gB6DhV+lTsY8JDmIFvLBhbuy9QXwVKLPO1q
hzvj8G++bHLJoFg2RPgOXM3+B9kB35Y/Xzb/sv1Pl83Z9BWwW2HkJc9Xpj+unCLWr7ArqPT+I/z5
ceVUfuOCyo2kb9IAfGvAf1w58Y0BUP9G4b+r+39Qp+t/ZTr8vN/Kn01j8mHQi1ud1Z7hL++Xe2Of
7K6HyBftBIpWZrdeae0nPz5e9sm28YtZjRhk64PmYNi1mX0csC1yuIOTrGoPUwkPzwcw0NcIVAVV
rfWsrBD1wVMMNw0wOUhjkp3IKX5UAIyFPbdg4t2YyvLxRogpOiCzq9o1ETQeqVrv033zLOzAGuhV
YYwa/nDIfWEnbX8qev4m+0T7X0fhT3yPopXTOIrxZdcwS9Turzjg5bePGU6YSbTWzbBwRYEmCs3R
p8E4ievkdJnwanXV/+PuPJrcNtdt/Vdu3TlcyGFwJwAI5tgkO0xYHZGInPHr7wPp2JbkvX3KUx+5
vHVkdTeaTXx4w1rP+ujR2Ee2dIoeJ7rFC4fvWdpLdvGUuMV79c4Z57Ib5Awpnqqn/CsDtcoYXXGy
OaA6rzWdADiGLX0BkRs98wCOzZE9jeoCSsdSmt0eoA1u+l1KpFg+L/Fgi3bafS9w/2vMzPTu/aV6
+vltMFVXP3RrkpXntVbfqzlsRWCAk6lUT3YU0miN+/1kmVfn0dJ6iM7g5Z5GSgvoMlicFzirssa9
P0aPhnLbBQNe0c4z9+JT+9q/SmSwrOh1ghets+O38fv58l+vWvnFmEat+vNV/7JOllO/r2WFq9bG
AdCbYz3cl+oqX+bLcqm+osztgDwy06ZSQForbotjufdX+rPY2eYSHtpZCDuMAjR/TyBYZGKmz20/
gxFrFDazH8ZxFe9XDMTl9xnGf7/yv1arP1/5L9WqIMjpGAkxV15Srj75V+uhf9Le5S+/sqMPxKiT
tnbPZmJ8bN/Ug7IrmGghhCkRRcpn41K9V674lL+aoa1uuFrSXWPlkkWO9PH3t4byTev0M1YK4IQ4
Cd8NSWFk8Mu9YSQ5DDU55K2BwwnPhpIi3tBmBYaZDt54wNIGpS4xPahxNp1TP1n74Zowyf+SvHy5
NWwS8BjiUqwiiH6tXj3/RF23j87VK9mnYXCmVK2PprRQYMcgGC+xm7EftpkUFMWa3t4XZ1F97u5w
il5ufenG/r48JOFTWB0U+SSn7m2cl+KDKe0HsiR1QOska8Fzm0nuWywtKJ07fDpbX9lqFCy37g32
nPo63AEP2xPrgLYgema+VxxTQjNSdhqzmzzHwcI2LqB+MtDsBLtYmauma9U8gV+G+LPoZ+yGjEXw
XtekMbHvdsdNjjDaCZRDxX6mXfGppIh6Vg0f0IfT/qrtS27Mkyfxobq/UilU2RZREBVB/B7QsGvI
FTfKpfB4R8yi9JpOXJuFo3vipls64gZJDkZ0FI0z1jpUyE621ObPup3PiqmE8jcmUpsZ/4cWZ954
h9YZ50Cr3HIlTPax5vGesJFH5LhHixC7bW8vVqx3Mo/FfXmMzW0m71IwzfrcogDSWNuEjmOOj118
CpgUwlCc1hCYY/SZGCoOwQF33W07hp3rYJ2Q+3slCBKXFwKAuUG4YIi5GfqkaiGzvy/DBp84tfk5
MNfNUnaJhuzul5RdImFc8E1tSV1l2sYyDiE2xDWLqkJ1BmveNXN/pHXYMb0V5lG+BnWYtU6te7F8
gHNLHB3onJBYjRkBjI/VWjhry+DYTNJfXlozcWrTLZLplL3tYyA/PI5e4zPrLfBDtWMikcvt58fP
1j5TKNuVDcIb4bXEj1NgNUdEsH0+fT6GS/Gdc/twOlMMe6LrtDuWRexOdHPBrgf/51vBD2Kdnepz
v6mJqLbBt4rXIJxB5eO3t/kwE8jMkzBsD6HXERQFftxMln9/v+JZ+Q9HuQHVTjQI0CII8JdD0crC
OMh8jpZCPmMl5QkmCB7/xqa1Z3zsaZ4i2wkSvzfhVnlD/1ogQFRJpJ7y+Ga+yNZQcaRrz2w6Z3Zt
p5xII0v0Ob9XPQEzvDtsxhkxlfECWolc2i4GSeFBq4NZwbe8IlqZr9t8RZynq/C1+ULCx2YZp+L1
vqyJsJgbZFKaDsbJb+uHhNaHLlgGGsI27QErKqdJmnhQr04VkzDG+VCL3bKeDnP5EidrUGZEupgr
cxWfvJtJmIxd0uG2iXcf1hCzRmspAwxZmqveLTfiOBOeaoAmFkBz9ggTZ61iAc0tSqfaksS0Mzzy
RPSZgtUvdeNV6rMUXPdLs/y8B2tOutB6as9ay2hqeYOtyq75qZunnrWmJkAT1PuXG2SC9AFeipHR
6pOmcaNhp13HTGxOVgpj0VfzcL221oegcO/K7NrNN9H7VXFZbewL/C/gNdadU6wgpi0JEfNoXa/x
+mBeLe+qbN6TBQyxA9v0K0tJmm7DUTbkFKqzb5+Ccwr0wQovDMki4HoP3U7wMGCw4TmwS/7AdTFP
n/kBokSvD9UpD93iBOZiw222+xg3n+khtveGO7r1gpS+4KN6bc/6tf/guSnoczbjj3gyWXhx8+1k
0+1evtGUcQxrmxbZEIswYq/9El0nKbQ9R8ACf7K+KJLnu7ZWjuqUa9rbn+yP6Evj/Ajkw55WzjI7
vuFhCgC6zaMD7kq8qAxvkQzhcealXKFLn9Tps/oa9xZgwcfOb+z7KwuUEEUhpHjeOIs+v/Yo1e/z
5oH2zCSg5DZXPctYB6Kz6lQHTWUJdLbHe7oA5qeqS0SY2q7rvgzx6d7u2QOn4SKmyc9mTbWtQsg7
h11K8XPjoQx850kgoh2iKrPiwZap0FjwJ6uEDotl3cKvgcuwVzp1ACFIHSTDY+AuwVELV8gNTpyE
I11XOCO3J5kFMs4q/r3IqfbAKlaO9Mm2KWBf+GHK9gbzJtMnScOQ6LCkqmuvPkIJ1qEOncOzdkRJ
cHstNmFCvDk5aYV4aIRVIsOhn4Igt8a2X4Wodj/bFcJ+HhUT3E3dlA6PCNdyNXeYS7W4iDPzLK/Z
6lwkhx1erjwLdejGKmrcU6xiX7Iw1cDQ5nU+oP4PcY3lTvx0n4kLa2kBd4ZUEbuUHrexd+tj4gpy
B2EZRT4+4ff2S++9sEJzkLnmm/KtAcXoiCDgisY242+IHsrjLwlPEyWWO5K78pJQPQLpuC+Ta8Gh
oR/HJ3XFMI73iO8BQFsLS8JoWJdehOJCzA3lKc74b+fnvzNEDRkWQ9eJISrpqEn/ftSLeozS7YdR
76TB+vXjf+9ZIZAh1CThRMNLyRf4oWeVfsORaZBhgoKfoa9Fafs/PSsIffhiDIgtSVa0KXvlz2nv
JB/jv5lo+snRndCp/6BrhW7x80Pu10tnePxTvzKYfpjhTSYopwvcvlGOYSbNhgg7oiTeeco1dCJG
8JYMiHjSGglodYqU2L3VrWprOjhg5bbwSf4QOaJVhSKzrG7HeJSibRNmNbdrmwKuacbUa2SGWWLI
juXe6KviJvZO06lYoDl7mlG/ZDceerLsH7RMq1yz4I4dpfg+g9aNPCnrhq+AEIOdFfa5W8tFSVwV
g5lWtp7HMudRd6fYH2TUSn2JH1rrz76QD3ZUNfMWvYUF4aAVZGJMjAexyjditOtK1c3rch/4PJkr
X7gmhfHQKYScoNwIVKJG5KNPjKZj5uFjrQHjSiTSezsXjvSq7t+VFClRiEGarTOJ8yCFC/RsViE5
loXUrIbioLVbvYsW4fBV3uCIhf3sjoPLDBsq2rvpjTdx2Q4c7g3FuqpyCtz9jXWP5kZK5JH00Zec
2JGFXin85JtY5nL/LDWoP8WAXlnEbVCTsB6Y+4Q2s8L5J63HEcgrqSSEXlOZJYjCpA2QawI+P+Mq
muWtaTdmvk1FzRGYEnRU+knv7ytpdJJhdLL0qSDqpLgVy0wuTnGohMsqiBZFi+s6IqsgjEHLy0pz
zFi0i+rwVdzqda6E+9FKnIyjtZVXMqs1RUTMEslOnNSeqZ6M4GiVnxX7clXOWSscKvnaC9c4vFG8
p/O7Zb3qGbM13kZOxk6ym8D2sfio1f4X7IdZN7bXNGrPDTOgZSqHumB3CppFOazZ0CfGsu4qx6I5
Rq8MST6InsL6Tma61aEr6G9AwIUOLZj1HPrMrCN17ebQopxUgXYadebdMZqB9iZBdZvJCB3y3jQi
x2p8dDyBkmQHn2RhniP5gqnKIr7Ve1SX1PUVyw8VFSSj7Hu4CIxslanjDiz1tTVL3hUMIrL3oAeL
MgwpZRmTnNbw/sUnLXsvhPEs1Nl8qabCcfM3SzUZmssvJ+1fP/73k1b9jbUYHBRJ0Q3iJ39Yq6m/
TQhIIny+y3Qnr/qfBy2iWYS4f0jz/zhoOYNlgyZ+crIjO9C51H9y0E4KhR8HQ1CLfv7OuYgfB0ON
2ElDNvq8eZT+OtBQyQRMPgZyBWDvlk3rfElIqrPGNngGe9zLDIk/alNcMLozKCzCcpE0PTFOdUcW
hcVgzcxphkGg400gkz5lah6p+7yAxqFeJKhAo/Z667J9nvpYm/VtaGLKE6WLDIs9IwDv1t5W8U3H
wiz4T3pQnWVrcodKzM0JkJWpV2MR5i6AySQ/lizF2h6bTZLNsqSa5fcRPTBm0ypoWeSxdKk/2/tF
vItAUUAFMs1K421aTfMiwjfo5tXiEOavpG6U4WMuvZMBICdHOfmUgfj4ECUs84RUaB6QDSSkyklW
GIYkPcgts1z4Ku5eXUldMsQW7TgeUqNc1yTr+Tocu3u7xnBQ9jwMwHSEicaiIn8qc+pihDYjB/ig
f5btGauSMIoHcRyPZWUhC3vAbUDtQ0F641KEeC70qCut6ANjaisvg+QjGRZS/tHmO8Kj90mJtJAD
rmOnp9IPlhtJGLZ92EK+EDA63Dd+1SmLUlHtRMk2ktbPC8xXSovpPzVWPTJ/pyR+ZEyx8qB3Dovj
FFMwJDRVQn97ypPgaFTqgzbc+q18Ey/RrVbWUYf3OKtIgFbacJv41kUqAV6PEWJFmPvrLsyfG50F
Yh+tquh+xlCw7DFV9CowpLH1+iI9yY05axKfKrqYiUgMRkZ8AbzbICnY5PRNvA46StzbJHWGTVKw
bUXdPhcT6WzggWBga6BOyPk8FiOcSn5uUYlJtc+QT6cCIHSxqbyuYTYbEO0cKjw7wIOqGj6+bun3
fJ++gT12iq643WkTNcHuI/lUxbevVn6Mgn7fBBpXhUIqLe/+/l98Pk51ncHZqKuqIunS/1KJMkf8
5Xz868f/fj5SiUqS+Qdy/2dih45+gDmHRsQUEoQ/K1GMDN+mlViWWLngh+JY/X17Yv1GNrDEwcYH
4Hn6Rz4GaSqEfz4ff75yedos/DA4h2pzN+JQYmMSa0tJI1DGYuatl0G7MoOOFWd120hZtRHZBExr
xaSdJaG1zASsheE9f7SS4IZZJ0k+Y7miFuvlTxLr+Iu9eCgMomGwh5rsDhLaZyYjWYd6OxaXAvE2
yHswJCTXu2pyTqxbzTS9lAJ95hOGZNcBakNiWzPlhVwuFbrRjYxahQyfIAa4oUqBF6BYI1A2xqo6
aAjda913TZ9iCGmQzrkps/3X/JeMIsNWyyLwhg4urFnCIyh1sN14x32aXC3a3hE+j9n91U8E0KHd
KKFZui/0csMB8RLm5aPZoOOphOyl0JKLFGDUCitPHzsSgSubqN81Ik4R5EX8UKnKskPTL1NbhkCY
bvVteY8LRmxgCHwB4jvo30yF+2NOI+UAU2Z7lJLINcXQ6SIG9kblH4v85pKRs7mL8qIP2KqKlDoW
RFGE0nqQvhQZEApwO7Tig0orOmjOv/vunUIqZIl63wRk9ffVDW+hv969v3z8n3cvNENud1xGvxq9
cSoiYEQYaYmKIv/E2yESU2d2yWPxG6jnJxeSrk1bCA014JTv8U+Km2+nzl9u3h8vfBql/nDzJkGh
pDd18qZlGhHJbNaEmo1KZzZMMyTPl4ItWZME2D4VZLB2d2Ne9YI9CFeqJkcSgrmV7q1bP48KkZBq
BkOiyF2KURldQGFAiPX7dTwatlrdnQx0VQ+5Iwb1NpAvpcieookLfUxWivJ4U9Vdhb3C146WPnzV
8v0NBBdOJOU6msqqVFhhxQECwgYABmDjob6zqRyb0kvk4VU2yHIGyc6a1Kc/RZc5mVwY2JchZLS7
TgWUBtVbKhiJ07HFGGVGwKIEG4O5IEeYG/MfhAZf4GSj6bEj3tpZRVCiGxlMswg2KrsJVwU8aBSv
ZdniRpbwEcdJM79BypYypmIZLhzi3ebjmCzqacTKlTmFiQvCIDOryMfNmMdkiEfD3Jda75bhgbDY
oHYZ01aUqctgSHaDbu61HHVICkauFioGR23uyeyGI3WjjdFDiAGArONbUH2Az4873cmL5BQELSUb
IlHB0kgDrkKdXQpno5PHTXaM9LiZjWZSByvD6JQjO/q3ZGQAr+ZmtMVFB2FMRLIeJA89YtWOUzNn
XyWKU5KaKT0NUj78e48HtqySzJyInYLMHpCn+98eDzAZ/yKN+MvH/348EKiD1JixEEBV9btS+U9p
BJpBxhr6H33Rn8oIjYODKZPKg1yehMp/PNu13zSVTGeLKoQRE9f7T84HGp2fH+5/+c4pMH48HyK9
b+OsZXDfnIZdYpJucUiyR7RjOgbi0cF3kpbEqFFq6um7KTYTKgsS11oEnIXBl5uSjHpjSs/phSMS
HXAi8LgylEc2/UkWrZgEVase8VZBsvNnEG70i+ZfEsw0+HNWQrCBEaNfpr+VrNFCWKvGBMkFHpEo
HA1lPV9Mosi9YwPw23TRIlKg8QckDoEKMOQiz4IZ9HWL+Danbtd8/Z7WyOOa0vZhfNENjLoPgIIY
r6MoMsyDf/9U0DUx+KbHgN2VC0elJnt1uDOnvfbZMSieFJNNVvOIDNrV8QHihl6BBcvirwLEkbqW
TGIUp7XHFm2SIjtgFzSV+3dYCPcPY5MLQCXFL7/+jHF2ZIvBeWFBQTPUTbo8hJBL1IZ+9PRNf1ha
q35/G4/iC1+GrKwU9JLEwMqLk4+Am1Lnp5DwafhiEDju4hffM69AJp7HvAOWvaClYJM5w7wt+1cx
jucRpDNWkIsqx69nHQP9pDFHRyPKWtgN+QW3x429Qpih6QKrtfO7l2YFiQ3h1e3z9gmxI7QO/LiI
EypwG9pRseQP+j0XiGcQy1AhHL/BJZGis30BK4aZE8ITzNfkwCaBlQzcG1BBfE4+3UNurTi242jF
Cy4sRDTwKvS0KZsg2AzzaCPOw926Qo36QEifdeDYFVuXr8tv0IihBUthb87ZfCAn5ccuYWayAcVx
nd0AdJ9sJMC7nKc8lbLjuEc11jgdQaERv1ikOBrPO/6Hs9bm0zN2q0qyDuggw7e0ctNuCcMnWcKK
4fPHMmkmqP8u/BCysV3AgdOXvMcNg3wlvmLVA4cKAXllM3rUVaORE8ibzVvK+YvwKi9Nfkw8Nupt
RM1bu9Ys/gxZABziTzLkbqhzr/7HDZvrLE42YgCfdslCgT4SYd594T9XLhk90lybYVdFZ6mSsgIX
ZQYo1B1tye7mINO6E7pPkpwnUxPdn4u1hxcks1/YCi4jcCkzjTwAoFXWyixXk94gWTIzKJ/vyb6U
PgBGkhTQf5TPdbEosM+TvWxg2l8K5oSA409UAgGMC4pGi42qg5GY+iAllh115aSplF5wMjIy4/tZ
sO6unrXZ+x0B5KT2vFq1J6dn/lG2iKeYt1Jpn3iFJvclY2w7c+LVJAfo7FCfSPsywlKyV5H8zQ7x
EmVRf1JxJrloJEmC+gbKNy4i5JJZBCfXVl36dv3mYdOZaGDJ02RQs16bxhaJtxkOynYi8U/C5Wfy
uSdSmTaDm8LTl9/wRYH6o91izc8Lh8FRPH8PMSCLKMVBTCZOJ30gStU3Bvcz/5kQBP5QBWjJuxaW
y7cEgv4ksIPk+1fLVT9sA3IpwznIF45RBkQu2c+kIEAAIJ8HncW45g+GbMunlZTaA/gvn9Vz/u1z
A1lgW9jWl4BTVFzJ2UtfX24Nr4jCbT/s8R99uxoAMmLwwpT+Hq0MsGgoXflOxIfkGy4M0Qww+2JC
rYYLo+XHgwsyjb/kMz+zcFNx+CpgpRDp9qfuUJacm0hFP0JOl0DSnNJ4SDCST8yaZlFwS1fYywyy
pwauDmEunztdNIhz6lXHG7Um72HGP3xVrm3yW3L6EiLmEgApLtH95ndqCl7cgYOb9IjA94iDyMsT
Vyx88pPideSKON2JGPR61qS8kiQwKIE0aXz52encGS8BtVP23p/4fnhNu4JYxRW3g9kfQmd6bcUz
L9X0sylXGq9VnpDcFmLHQ1wmPZCzIG36Y4ShXMA8yqelLPVvk2iX9AoOicnYNYmdv3gvZLpKTgTi
eN6/DN8HDnfVv2j1lS/THbgeY7zwNmk50OoV4uKBx1EWHFRO26U1ccGkgZC0zuk5cnSRXC58Neh0
56r9zGfPLVf4JC6Lw0h8VcboNOqFE1CDJSIQPF9eNC9RS8w7LnHNypDyv3TMhySlc6eSkNzkscHm
bAtBnmJBNmbxeygVH12I+EE4gv9pZeE6NsG2RFiL2nVF3qxiLnl4ttZtpsjtTAGQ9whDoH7NiWLn
85rpuyHQHyeEs9vd+AwJLEvWFtPOJjXXAs+8SBtsGJgZhhTYYdmMeFbXGAKHB0Hu0kbzfBavGUpu
GaS0QxADh+VdXzBGsqu0RFGoeRy048NN8ZQby4hiCrgTBOzCjyTAM5aDq1m1vQNMkyJClBm52s1B
DoEBQOzTxK/EepR5A2qbZnyOmfRxet0U+o8JO81mGU1W77WoDizsuf/mpla2REBh+EF0Rj3G34/s
VV2kjPx5OfqXj/+9agWtgelOhE+r84lZCfwp6JVpaskdV/8gm/0xs58gshZzqinU6Tvm/8+yFYgs
kmOIHODLviuE/8HMXpL+uhz96dKnkdmPZWteN1aUDYUwVwfcY7pvCo+V2WsYJRpF5+yrARyMgAst
pXNueZch4oHnekOzEt3tAGiMYHavApibppMWRp+eqvJVGnjIcMJnUrUeEAVI5bPeob4CQdkF1vyW
PbSBZsfstgqEV82dImPM7AZxLGMvN2Ph1/L89A3NsQaVJyfqymqfaXgr0L9XxmtXx+fKPCQmISuN
8FapwjxjNO7H71W5E4trXE6Anq9BS3DLE0cXoiFsoC1KiqvIqI569nWD5PYDuluDrYOYUQzVNDPk
sclub/Z7VdLggDefmojlQYqG602t44OpRqT2JRWkw/zECbShn/1MiF+HhqEtbrmyNqNoqd2UL5ON
jB0p0hFI3cafQp9DTXvksGIinrKBNLq1JLLfpJyMSrzrvQRfoOyuXZzl3liHS7mX2KCgScoqrzHa
5FDUxS6WpJ3v+6QiVl3tavfQUzLhRNNDcS/DOE1FOfwu9v03ShymDmya1DI4YfeGR+zv72L2Xj8P
lv/Tx/9+FyNWIMcVN6zI1OsXP5ukwLv6T/5ZHbwWtzzbOjyM2k+AHP4Ttzc0aMNgejpJJv7BTUxO
Bzfpz7LbH79zS5lu8h9nU6nFPGrIm3m1St95+0/JWTRvT5Bg6DRUj6aBblNY9HvmKV8kNZO68J5c
n7ovRBDZtZvdCB+yQ0B8+bleah57KcObRP3SeRKLgYPIn7iBgBGG8v6NXpWw90m9NSntY5G41/7+
ahZr5dx3c1Bb48HaqLspMeaKp43oGPRC5+LRQKpEPIwrfOTn6IN76qvfsHOTr+OmPYMe9kisODSn
Gp4z2BidGQtRYKSrJXu+GE8u+lJxN5yuA7Fb+HU8E3PUh7rrn+VT8mic15hrNzplKY6vswaJl6ux
2bMnbx/6KdiSdd72ZIh7UAAYzOHf65XHEGwMVHffJs2VZ650SB4LiLAUNG/kNLGCOgCToL0Sd0dG
csNJWFtEMRMggO+pRR7VkI20Casdz39o+nArECkQK5EtjI12NjbySTpobjBXlsXa4H+Drb5DIo7q
9JnDjUHgxAfSWHDOFcHWoeBCwknoEm0p8+hUfXWJ0eZdxQaIHAsshjSzXAI/DtWakbqTPRpQEdKD
R9BsjoDPLzdZuK3ryt1iQtDjZdcDPDgIT439JtjwYWcSSuDbQvvw85keUdQtClIisBPPFYhoEXwv
Tz2ZBgBfTiZboP754NUwziQ2lLyU5bpYKB+MLOXToK1afYP1WD7xN5vAKxYJr3Tm8hU0t6724qmC
uvBQrfKnaBNtYO0cjQfCr14ya4dyM7EeFLJfd5q91fYRPaQ412fZmh+BtiStCQwuNQ4qXfR5i/oI
gTBzJzgiP78FIERDwn2Yz+/GteFJseNBiclpXroQlQIUMG7cEVxFvVO+WuqbvMgepkH++NE8GMUG
xD7ZImwBWNadUPGr9ZJELGjKIvxo2GdegS3AEXj/Q+Z0XgBjr6NmFlLhIvOtTmwCUIJrXo2Jxd9D
b2Lf4AXmqZcPyMRHCi3sjRapS+OlUVc330Oojph8RNCSWOubvBV8VrfrZrzEBasJjAMMNCT0nx9o
S5jbJuSWkpiiXhTwF+EbdCRtlqMPWmpkrD/C22XHg91sd18QpvBCl7DL11Ky7JhKdvsunN877q8W
tgPknMbrSZcn9cvcGzRU45tSbhho4recOo7dt5A4ukP+4VkNGxno56k/0ZLSFPYwKB/G44h9fk+Z
b72OOyihsKdp75cU/y1ZLWscrUT10md5NKv0hDA46a/ISCOPCkc76XJU++TTkcE3fUxPa0rrZI1H
4sjX427KEKP/Qkuyxpi2nqLnWEnfPLoFOgh6FaqLjgBz750mUz4nT1gCpReYnItbYL+Pc+0FU63h
zKv3EOW4rb34Sww078C6JnvjlB8nfNLa0p5Agp6y+GjMeJV09e2+NpgnCPNx15/uaxyBkUxuHWk1
Ny/JkQ2k3Yx3VIEBSXW1+mOkz7ZGhF7KlpYr4RUVXrXkwMXy/cl6ciiN5wbaFi6khRqshfH1bgHF
3mrFmiw9GjnaO74N/oRqAo/njBeIq7rdsAK3UwAsQA2cgw0wz3XbuhXHiO/etAV/wL+RwJNvHyOi
H15YOdtC76g3TgkdTjJ/G/H6zSOhDZ0+l0kKa9+RbKdDKpygGtwt8IzNBdJROMwXR7vAOwZ2DWcZ
oKCbfUtqRaxJJMC7dpk4pDVi4RP/Yo4yPPBfMLloF/4yoxW4o074xDd6kS51sGTNQdOmTcmx+tqM
HVDT/DadXcw1LkKavOK5QALMOE90VmZrK6/3hEeQtAzm4okTRzlkb2nEochZTKeXvXEOQ1da+x6E
Gwd4qhO/S9vxhe+Ml3Z84fJaeM/p6kFcBKuvr7uDl3X5USz+zY0LDkSVAoNtuqYZ/xsT0Jrm3z83
Ln/5+D9LHkJjYXlSwhjaVPX82biIZNFTBEEhRKdpytMO8Pd5O92JOOXJ0kepmi5qP+zSzd8mSDOA
aLCek+xI/Sc1DyTnn2seVJ2GMulNsT1Kk9zql8alFUepKsRKnTfWwVBm1P8p4pUeXre6JsvAxhLP
dIGyBmdGjoo9fQZpdD6Va+OknRCqgRry2AwH5Vt/ZDLX4A5fnG4uSubMOS3ngMwdhlfkK+ru53KG
S8YO3j5D5/0zdmAA2o49J7Qsf5yTWT17Le3L5QJ03uap7l0eVqvn2WNJyINlP27QNe82h8MnUarr
A//v5nBbMFiyNxMAl48M7AfudocHrI2j+tsvwpxW1aqWv9Mu/6uTTPrV7/HtRfvh/TK9HX4sFPV7
OMRmW6pzYaFuUcjwT0r0pzEXoshNzRtLshfm1f4XWwcmIl43I7DdrQ8xROaOAI1iHnioFnaCY1I2
aU5OYbJFGps1W/1Dfc62ypv21nxKj7fnHNoo8kJiXR+MlbgQzqXwHkXX/NJviU7CiFQJNh8OlHQC
1EGzFkVxb1SHMsU84ggHfx/uSWfYT7z6zEPVipepZ6ZbuUyceCr5JHrWK3+p7o1jslRW/QxPqEMs
yZzwwwumKH7JC0LhtvdLRN0l4Aj9YVl1+F5f/5+0SQ5ZmNbV//u/v2IkpldTZZhNJ6HrCjvoX15N
TSsE8W5k6jy8Ao14MLJl2/SrtiSO3YUsggj4Q0m2BLD6W3Vv2unOJwc1n/eYvUIGjgV8KR/7d4yr
I/ret/3XH/Wvdsf/uTb6Cwu1N8rsX1oCpbXSexbHKt60ecdy2PDge8GswiHTnCQWP9EiXeMBIGdy
w/uRhc4WpGXzTJAHz9Jp0AuNj1+8RQdXYVmBh+pJ2qar8mKeeHf8/Us55U3/2MH85XJ/eSl7cC1a
03K53Uqes4D1bvN6yUpmGT018waz8Li4ue2iXIwnq9wQ6yB0SEBe/W188Ul3QNL6on6O5/tBe8Jg
pCYYAxSvCh77j4xlBZ6E4oPgJR5LygVc31boHOPQrYH9E02g2cMmWfYrdCTxQPFoT7ycdE0WNW82
FvPk1U85C3DRV/dF4kLcI/WAAGZHWWr0AMWscVDLOKDS+EUVze+KmcVOiV1PEOm7MN7ygilkoRME
nfwvrxzr0V+6v2+vnaLqiBMgJrNS/eW1a+53Obzfb8p8ONZT2krNrRJ5BcsXgW2V4DY8SPWHVn9V
jBOGQ5DKM2v4UOOdoO+1AdZc8dp1M0OP1lb8KcEF7Rd7PIDirLc28rcFpN4rcxQA6L8BXBKXK8MQ
oToCMtJtBac7mBUDGK/fwRv/DPmyugMK4zGcWY+k7MY4UZ8ZbeAP3sVr/kC95CymqOmvMRz7fhFR
bLACYR58tDbGg3isz2HvZvZEP8aOVS5pUourGC3b6UjZS326Kfz8MS6wktLUodvCeYj9p3m6fzRw
SFPGrs6VsiTBDlTNE0bR/c1DTGp1Xupf9HAFRM05HzZw+j4/T9M6KJnlngJKH58IzwywEWBUJ24g
u6C3N7ZB2JHIcoOtycTdC0db8diHYEBpvWoGXn7Zu5LXuw2/p1IFVDhl7QDZ9wIX5qtjkKdMBJz9
HcrpEYro4CCFQRrso4fMXy6LT+ntvtcek5VBKo55jYeULhpBZUrTtyuGS/ogP4/R4i7vkW0Ol8GF
DGnTU0j2Z/NkbEmbSVdj8w45FoujP73jy2JT9gtLJ3PZlSe6hKZUTkMaXBQ7Ss5WaMuyoB6+8LKa
nwQYDq/QqYMnQ8R8hw3CiY/DBSkIPBS39QQvwmUHupQ0lM/kSIgOzNhzupBOk0xzWVynAYPvAqdF
I4I7jjUUBFJ9yYWkZIo8sOPaawt91R3ptlt4H0/FVU3c/oP4oYHY7s5yeiT3/p78vFBeKK6xGPI3
5DWuTL3ONEw9a+RPKyB34sX9vRdSooUWveyv5aUxsg1pAb68tDcvqDNXuB3ND39dGaprXtoDRfNL
+4FKLrCyWbFKM2uWfsRrkeikbCU8ygeeerx/4fEU7/k6XGW78KtLV9AwumFJpBaPQ3CSmAFLOCbr
Zn73aP8dk5e6tZdvweFpGoKk7M6nTD7MRzBO6ei9kHw4974t6SJPif3WwhbkECiX6T6t1o0xZ4cT
97dH6cydO9/GZFiWzikvGlg1iQncahsT8ugMn3JPAWIWmsseJtneD3c456RGrMXP0G4u/QPzG5xx
7OweWFHRdrD/6ek4jNknAw4yDjjPKV4I77JYdF5R0Lgk8d3eI/o0pyOkx6LcUVyRnnFcYPlzuwNZ
4IWLCg5NnDPKL7I3eP0iWxUU9CBwzvKH/ADR674oQebKhMRHXrjOcFWOS3XZMCm4u+UVeiPtyP01
85S5vxK3hvCm6g5IMuvCx5q0FYWXoyfMoAU34opb9s72NjKNXawTr0QyFGZgZilCUdmrY/Kl4Zue
r5+2egIo8lxo6A2e/z9357UcuZVt2y+CAt68wqS3ZNK+IGjhvcfX34Hqo1apdI5u6FURHdVRKiaJ
ZAJ7r73WnGMqa/MAgb0UJ1e/9Nx1hEqnOXFDOTbcGa7kSVcjKEiP6ZJvudZDNgm+4y35MDhBzle9
8MiEnJlBsXZ7PWkaaMM5wkv8RjN+6agCHEOD06g/KuwLCK6okRAHYZcwGE6Zd7EXucJRQMU46qt+
8MRsQYMuf9dmL0QFUBrkrenvuzVRQKPz8sZOo+71Tb/GwOjIzVexofnicB6iBREexjNDNsj1ZfBB
W6HkLP9cHnCZuDEcOFtqlj7BM2PUanA0/I4E6iBlfjS28qFA0/nFuL8vN3hfI1Kp+ckQXu1k41+F
DX3IJT2akPZ1ee+7tHEYTUbr0M2hCAGQqZlZFvwyNPir2aY6Wntgv8i8qk3br8dimwjSlsYDrSQ0
Wh5ak3FlrsEmvQ0nngmATP02vvlrhT1bwzFMnpjNFBjskrFK3Yq7M+RPYKI6yyzubYe0RAfUxTw5
I28qWcvbcl+53HPn0mN+zCbkawfuwnp8H0ccSXa5104+2KBuNe/oP6zSk8gzRggkKk5GEd25eJpy
CDfKJX+IT70RPyokdpEfRnUjvvThaSQ6K3hChbEnsyRkP0K9Rj+H64SM1YE6AqoFENXBsRpAHHKX
G0DZaHs93mB+JWVUrDbxvXBOyGwh6+pO6W3tqcM6tpCcxBeDgfRTw0J5weBKclIjc2q2xfe6xe3r
JlQsbvxR0ri7RYkzACJVyX5EgEqhuKSsODMLwzpbiXbtpB4jaIqI/IORBHF61BVLLFPgfpKFgUCB
7oCHet2bz6xLDBuX+wVIN4xkm8RjYk5d9UBCBwZfZhxH+Vv7GLUvKCLJglwob1X2TRmySXbKyQAV
WimXOTZ2/c3A3stWswu3MiQEq9zVYAc22jMNOQH37RHKbXVmzgHCOrLpNhhMHmztI3mL3kYafN2u
2M8vsArP+lG9+kfjQ9/VlG/thY/di59XiQfd1Yk83/Vd84bnm1/wzBaIz8MZqPZEh9BUh/nTI9ly
KptxsotX4cqgH8iy0MBubj2huq/aM+Zf/U1/Y/OSTjkrrpKEqAmq7j4UaXbVyls7TOsOC7mx0YpT
VuDKZUOBJeaYcAlHusEJXWe6iUPVO2vGz/eDLrjlpu1WTHg9Zl4Z8U/JYb6L6z2FH54B05WE0xJ+
Zr+8HA6Af+nTgLcopWo94dAf52vvxy62P8SET2qdH0wuqbFkW2/vZ/i32tx5Q0hVEliOQJdD4R7R
YKNVfolC5mzdBhwHssIKByouXcfOhpLSk78zvHSum3GzGngyyKLoodD2PCfzVSjqnRrecw/fc4uk
t9YiqO95pL/PSfhEhnvt5y4B70S76+ZXcxmixW4rN/uHkEUGJZg5JDSStknwwOMgM0G+7kppG4em
S+Swawh+Yn8F62jn67aug8+2hfhhZBUmbdktjW15qLeZZ27HxGH9DOAp0wYSakfTXT3HlF27I9Bl
8QsjNxyI1ELtwAfZExs770iYs0fHME7QKOwXOORvD5oz3Jt7SOT331f8bUcuPqxTAneYHW7Vnqeu
fJrGQ9U4cD4bmkHldXzDoT5WAJsvpWet5U2TMGNL7YGnfEPPCSr1w1A85PqujW/DJfgcOWONqLta
Bzav2Noo4gLJSYrMlS6QuD1l13MgsgVXL0lv20Y4k9/KYf/YMS4YF+fiQrnwl1YVqqNS12xfvAzq
F5jt6sms7n3yybyoALhWYR2tn7JVTtOsh+nVd0B4Rs1J/SXlm4ig8dTgVizik2C5a950I/tsPess
l5xGGdbBmK58RPhitWvEYpOtLKIGygt5ZrhV7NAMXR2oXQMMKBATuJYvQU4u2vBuLFy2LEJbgPaw
eB9Q01GPzQ7OP6zmEo//GxhfRgyNeozX6l3zZN5xG+dfAk06SA6r+AGxyK49tuv6NH8NG/kJw9MX
72Jc55QSpHV/5Q9/f+5DhP3Xc9/PZ5flbPPT5KqolVSMJouQl8ImaoUyIhCP0R1r94woQfIy02sG
SHsu9/RMwvMGeDS7/+T/R63wf56X5eWQ9NMI7S+HqF/km10wS34XcCFUPHA9vkAKKKxSdBRiZMhL
6lT5nYVuycYvk/HJ0MSx4jVty5JZEgl7iAH/B178f16T9tfZPNNBlK04pFV6OeovkvNS0cxkCjh7
WdSDkV7aqC0Jrg4MF2D3BA2dv9rCU/ghPkT2NrDvvr4w3ztx99CXDoA84wGZDeODcSefF16ey2Lm
WGuoRYvTftW/qntyktExCi6nBlf3/v7DNWUagX/5pWoiJgFmp/z5ox3106dbJYksyUPML3VX3Wnv
CkpvTWBwse94fkbw3pHPaIb7tavZ0d/lB4gWF41PWv0eHrsv8ncCUr6S5jk5xEjDVWnVCNjuyN3u
NHHNEkYHRf42HxnqN6f61t9zfClQD/DIglMvXIUZGmE1A+7kG7N3xKIkhviP+hcHYyyHRv00fDE8
87NHM3FD2VELh5BJjrbNHfNI/xvtH/LEim/xNXQuQ3q5WGH/GzTWTyepuEGdkpmE7N3Ok25XbxZN
bnwBJ5Zxd7xV6xv5AmCwhvqkFSiJXElFQ6s+5RKH3+GIr9uBMUyeRG1gZp4/FJ728iBt5ipxWjC6
n8jH1Gg3cY4FydtLTqedol1gB9FXLbEocCUjSqvYtuT3liHSrdfe0knGlsjZwqYz8qCx42bsq0AE
T30NMENYuCj15/Q2VY4SrJdDmKuQUFHb+XbmMItub0fVwmbM4Wvs4JZEHvuw52/Ue/Es3hOagCQQ
NA2kyw9RNx3EMptbZ4Bo1BDJVzVijapsrqol5BxypUxdDeWdZBYYrnNlGzT6QyPXx6RnZiCSY+v0
IEDSLRkcBdEiHRLZ2usgEFPJOwowFA5Xrd1T/WubcWy9IZrfBIuzB4jC2OJRKPwvuZf2pnYftxSI
D/UL4iqh3QQR+a3lyuQ9ciqNAqBpwz691WedXO0ZlTI6C42819b3Rvs1kteNmn+WFlkiWu9owSGa
Vpq6qubLLC/6ROY2zQtTKKY78o0xlHpDWrdluJTuFepyGgLH+ZTQ6VOlEc+QnR21Tbo1EOVqbrNj
kG0gbRMgv1hgxmLpIF6Vs0zbcNhR6vEI4rt26L7ZgG4cEB4rHP5nePq76RoelsHytC42y39fkBei
pzvNVetpghIQ48FifpmYl74TUcHgbgb7VJquKNM84QAw7QTrHDPnNKSDHG1o4rQk5KQyAIOhQFxo
J8gNeT5JwEouA5srI0waPNPs9feFinDzIx2/JPIGtG0B60fdhIzI2oeAMhpyHWohO44+xphhsa3E
d+GLph7BYusmY1GnzSnd1oa+5l5m9w+O2TNU0n5Dxb8avWDXvscr6zivi3Vy1FbpgdOZeFWvSxLD
tJXO6AA5S6hBBS9rXwrQs20QvN/5JT/LW16xF3y8vJ2nazdaF+JjcKd8hFupsxMiIL77A66M8Ubx
konIRJ3lSBMz25PB/EzUuMgBbz8mmhOlbUA/hAkjHzSzSrSRNLMuDYLSBeazwEkVZd3WB0Z2fNIo
a1WXeSFyyWUqugDW0j1obIVwP07Y6R7zvmYzukQfiXSefHrqEmK2HP5O3I61zCObF9w5CzmU8aKH
fhOm7iv/eOFHIxNl6Nq85LBH9xeIrw/NC7LcHkwpKCAkkMoK1S4Xx1G92lz4sTQs032+4dsulzTa
tONyfgJtOeGr+OD7xeoKbqJcM7H2cArX5cakkj0tYwm7owTdre3DwdulnkO448l7I9nsKLv3u4mJ
xP7zkUHKAhhm6WadWYiHIIrhldL0nz96FJWDX6/lAMpW/VBQhFWx6eiUxTwkHD6Ld1VwfYYFUfAq
9OcwKpxGhq/DPX99zOJtNqAXthPx2nH48VGEXuN5K4jr1nuL7eWZiCLVqy0Z0Wh2z4ar5+GDFUV2
w6KJ0CDcNsqlLfdTc5wIdVao0OKVKN+lTQfAlyP0RByhwaAwhoLORVHe87ODD+buFaR27lGez9Kd
LJiF02FqnrRxKwoEax/GaWeUK5+sIdxeAr95KhOttcsJwXG6luS9bOysYdNom7Z2dsZX/zj19nTL
idGZ1ilyEN6WKlC5jh99Cu45Bb+LAbmTPiLlPUFhH1IDij5nASUHdIRCpn4dO3zWwnJQLCCwFuuc
s68M2oJpvK3kKNkxOHF3OHT1emET9kdDfSpgOozpKUGtm3BEDJyRu3mKURLEL0kQoIUhX1s1XoVc
3GZK9p0lZystXX361Ot1yxuQ7sSGUsH0EgmH5mNhXRMwQNi5RPE+7VM37c6Vdp7lvVVA47FWcfyD
JOEawW6KVzV0dc0Th32rio6yXjrl+BrW6j74MDfApwgVxk3CyjXsIEWSS+HG0b7sN9F9WTiSOmUr
uQO6x5bxXUHrMSHr9qTCGa+WeSj6dCU1FAbDhmgKIkScciSYYltqLgx+eaQ9k+yFzlVGp6QVBDhT
3VClwvrYcG8E2hnky/LhtrSG3U5908yDoD1plB613HFOsexQRiZUHkhP4StKUv70Y6avpeQjR1Kb
P6uzC0RAbul2l5z3y+q9XCdldxjJ8mjxJjxp2x8V079RbYfSjng3DSo70lYsVtb/x8ZN+frL6Pmv
r/999Cz/ZhDmC0NSM3Fu/aDO/+70kgmdM8iksCyCfxm8cZ74g3OhSBqIOyZe/0kD/q9mdmENGQju
/ksU+kdWL1n8xer1y1tXpF/OCvXQNsZQ6fmmwONSYUUoJiZMcVvTJqcRLFqjEXIEWxT9i08hvnQt
uQlNfeyVAYhe7fU1RhrE8pFebaCwIJ0YrV0NmUiUiZRWBO5IY6sF5Z1B11YNh20d6chIB08J9Hs9
NHdSQOCumZJfPl3KBC+30lrmVTTp2wvBHo2qq1GtzgYzlUheGa2xnhTD6wGQpSXsGE1wFZ/kHHnQ
dgJguIlSs5shh7eVU2vDXtdZGU00ZBNjLp2uXNc+hnq4StQJahi9sjz7loQlHsfqmt3MVpYg2Ouk
4DT1FC0m+hxNB+VuEPIjS911BImQj5MJ9myylbRCNdigAKspTQ1CMkKLMN1giM9jYR7qnHIiB//4
NHXDSC8Kl4JMf6Us/XSTqHRno3qLuXw3SrXI5sfgPgypDWqhXvm1+OqbwamqSWRSeOUkQuooB/N+
npJjWpF6N4iE6Ux2UwReNenXIgvPyLcPke9T1rPjhcmmUmsv9acdURIVI5PFm1v4d0XVe5JPE6E0
i104cSwRjNJN4sa3Y409hWKZGOCuQH0g32uPEkWPLrwSBIh7tqiPflZsuXEpDWPB7gbE02LOtc1t
Rxukwjk7CuVdXIbAjqa5xt2uxOs+Joan5DdhRhjtddpEaKHVc+pjao3ziOyMWC1df6CdU0/W1h++
m2GQV3mqbsf5NY57fCH10WyMvZGJOYpCVrLeFNBqR9o9HXCLjk3UsMl0OF7mWHKGVHbLPNkyB90U
mgQ+Fd45MxCr0y9Wk770WvUo+fIyvqbrjCJcVQ6yml/8IsfT1tsZPq9k/EyC6qxXPaFb1N1FzL2j
KERZB9YWYycqCdWctib34dRZL8jICRwwjK2eMqQqSy30ojxlh4chgzWGTeNfvMQuiZ1YAHAOLOHq
Juf/vyMJ/QjG/LO65y+v/32JlRYwm6LQWUAh8AOx9l/O+BL5qXFgR9WskDn8U+Tnso5CyAAViuxG
5ktY8/8gZSDrEXVeIpEntFzrP1A0K9JfWx8/XzqG3z/3hSy9HhIrleLNXCBILpnHxJxrfZbMVt/q
DdEbmjGeqpnCXOj30eS08ryRSN3UaOuOPRp5gd5NW6T3Y2+SPYMu1errjTbEdxYmhWwSdkVSRHbq
D4deS45S6Z8Ck0egBvzIqLmUITnjlgfD5Allte6VdjGuppTliT6tsHmtBOBafXk3a2B0GiYtANpU
lTmpYjRPeNUPpuRTLMknRZycUpwf+sG3s9LyZLM/qfgFWorQFLpcqHqpTACvLGxBSzzKkXoKu9gb
x/pcsZV4URWSCa7G5VpUW5mipriow6K6bTHA1uBwZLILPT+3zoCV8gc+tqVlzuRfaVZEOKMHLZTP
LAm35Rw+qmoJ97ijVPeVF7FVIaIJb+pc7ut2hCg33QW0llu7MjlOQOhMVlNF7lBBC6dP+0+rl1aS
mNBCDYabLiAPToO3aaiFsxR2nsWQVdRRpbZh50K5g2SL+7QNzbUWjWHgltxb16q6Cst5MaLD0GUf
hoEQpgwT8zti//OUun2vTZTQoWxtYvhLU9Lj/eyQE/bNJoaRkrWTwfLjV04bti9lrhzHkI8t6M5N
rBxqPCFsEBn+lLDPD0UyEFqRlfeVHJ/GGdVXMQY7KWPo3Whkl4tM/qTI7XyJbi6k1klNXsmMjsx4
JUwkSxgQYotxPZgM0PDsqhAEBqvda11A3V1MKEVHejAgDt1eLJ+kxgB126sNEkxzJc5InMbuFBTl
hsh5wwcUh3I8lM/RwJiWwpKs3/M4kWfZ0gwba5oaKephfzNQSpM/s22z/LPrzcemA8YstOk1jKPS
zkvJLrFYzsjgEwSVfvfcD6+iAE2/IMMNdC6oL3gqhhyTGyUqtlZH+6jV1umofAihvC3gUWSz5k3h
zcqg3fU5qYTReOgNK7ajXOCsIao7sZ3XIhNwMaFF5ot7yYe2qwREYCq3UVN3cqYdtZINNRmOc3qp
fQ7etRivfUU4xxQBQ0JqdDNZr93MxGlGtaWJF6HlmF0qTmxW6xagdzhA8bN6ZtJDRLxcJD6MbXkx
4LJEZeh1foXeluFoU52KfHaN8ur3nBFIGdQ4YaU6z1UY7ywDHtg4ctK3xLh29M6qb8CaGD3H+ndS
dYo7yYLFEQF0QwhCgDAwkkkyugmzdlaWaNqpdTsSXMQoeJh9LDbmdZjFoxikoe2nseCOOG1auX7O
mGHnCGSUkPGYgqYoeggE/dPCqWekxjInwBddkxVaR8W7VhU3VUWNNpW3sgzJsIn1fSviIo1HgGSB
cshZy9xgFI+twlFLbQ+hgttZBWKq6u25MJ4tLPdFyJSoD0XE7QgROsX5aY/4XzRsf0YSwW8xFagI
IFdkFR+YKbGi/9x/b9KJh0Bsk82S+/v+ULImUfv9i7dcTg8cIjhYYLyT5OX38bdbrvor3uavr/9j
yzUkdKpkZXOiEIm++kNQK//GfwGVY0HiRjq7mAT/ONWYiijJy7/qukW1+N8tl91YEwkCp2rEDqgZ
4j+i92nWX7bcP1+6sjTzf2rW57IQGWpdZhu9UD/KQn6Tc7zOAlVYZIoEVY1nc5R3oWB8pXWA3zip
jwEpb4E4hKtgKnfYK09TMnpSRqKqr74ACNlYZkavAad2LnSXuo3WCy07qGSO48FrWMkMyqWxcZWq
3S8Ze52KllTseQybCXQAqHzT19aRlFySpPyQhHKfqVhIBJVGErLSuWKFy7580JxaLzD7xF7XZ4jU
CAWAJLer0ujSdj6zT8Trs3LfQYEvgnbry/22s5qtEPR8zZeaTi9JPrf2mMd3RqndJj/MWMihl+NX
KCMmzzKNmAyTY9vDvKAt0CAa6DPNycB86n3b3BdDC2Pf8sJls571exCxgD7Dh0qnMWPoG8tXT2Wa
6p7qM1kYoMpGbf7cxzLNP207wMJBxAj0g33aK5ovhRRdWUFZxq9rVvMbQeXIGryZJW+iHlcjgm+L
vD0O5STRsB0ZjFoyfh0xrV21SsJjEmSImmtcK00ru4om2z7j8LkYb4mpvpXCR6QBiO2qTUADhe7G
vjYYzugF6PQhekCHBNRjQSyraJ8SkwBqM99OU/EeA/vR2smL/QRiWO6ZxbAeKsZziCSUFGeJRrjt
xDbVWQQEBuUuEcMzhyqOx3nhpoT51lO3ydj9WiXJ7aIy3ydLYryROrWKSYpxTcs2bfUZwOpanTk7
ddux6Q5aJFr4x3ld9YGwKGhaT4maraxbD3X3WmbjtsVWg/Mywt88z0wylKey2Y8Bk01j2tR95vrB
cGmL50DOdiE+6yZJX4PGvNZ5/1HREJqHeWWU9xNFZhKXm6l/7vN8I0KX5Dcp1PM6F6q7uBnojiv1
JSz7vSKOANrbl8DYirW0E0p129aMWiOgQL3Y0G818D4kdtsSMj7ddxOsXT5zIkOGCTdqsw0szpMT
1ZKWICkRtOp5DPVdUlLYMWTuIJYxHJaOYza7XWtdYn3eRW1yTXVpnZC+qA49iBMm1jG3eI76dB4I
nUChagVrzZrO+mQdGoX2aqY/NZPgBsm4wvrNbULbLWY+0T8UAcFy6AxmpJpJf0sU4ujnaBul9c60
MNmN4dEon3SxdFThKxCiN6KAawDcoVwj88SyYy2RHtG6KNVr3t7peekZNBZwGqmtuo+Li94IK0F6
tZTyfZ5nnqfHVMdsLADOKFv2Qg3QRoSMRz2w+mxUXHVhNKxN8ZRqiMtwaUkDB2EswWNF9ZTgkcV9
fFco+v2U+rcYp1fKhD4wxF1n0OWg6+GXyX4oFGSleu6Mnf5GHxEuQou5ESHOpIdehoO+0n1O8a85
egBuSCGsTsDJVkXSeDn3o5ZKa7o8DrMDOB4XaczWzcwDTovfH+ZN0qeHFL3dLGMXVkEsq6gFJeYS
pUXrIvQU7Hz0TbYyKmadR5CcsVZlMEQKuaFOXm6q54I5Yqu9ZGFJV6G2+2B2ZeN97snvXXeaTjYJ
nWskcmIJ0Xh4SKdbBhi0UC6ROq9iPD14Qjj6k8DXWw9mhD6e/BBdQuab3WlRDZgf1Z9hIeg3n9O2
3yVN4IjoOqOodDIyRJnC2eY8cA+hlGL8nzFSgJBjqyPC1HDrTyg4E6xF3bVXX0BPkEScukarHRMB
cQQC6VhkjeyYilYPhdp6flU50oz2Nb1ZKYni5ZTbGUXdwCOPRdytKWvCEIY1HRylJwtupovQI3Wq
3q3pJuvARpFPoZBm8cWU8WWmoUtTi9FL/Bj1oas1/Vc9ZLsaa2NknCnbnaq9r4caN15ITHaSPOmB
f2nlfENILJR6dA5p6lWL+j7D11c/teVHVaBNWe5WeslhoqOs4NGTnvUGBXLHkC764hzuNOXLKGB/
KmvOHV3QuIZe7mKUzsGbCvwYOXUrv2SMDHoUXGqTP7eD6Qbp2U/RVaWfTdG4wyJbSvyTlgBcGpDr
KgiymDz0wqesIX2y+u1coQYMX0LOYzMPgBFiwWLu27fzvQnEsS11zicUpUUCSENcGbEFkQRVZS9A
LY3Ax2hfNSiR1H+WBd/txtCNY/z1qeYEmc7qRzg3orB4fDYFBlpJ5nBEQX6EcGAaGJIneDdS1/Sf
CwPpQieslOCoNCGO//s4LI5NeZ41ZuX6e5O/LhzVNPk0Q7YZNfFalW4O5XaO33KoJYBFLwKqYtl6
D0zEIkXsxjk5HdgJQqLyGpmJSkSrkeDwGO+mdutlzTZCAaVo7FosBroxrCdR31nTtREQjZeqo9fi
aiwney7JzUl8LxOzUxbULzGKPl9vvbGhL6/e9RVOe9RA2X1UcWzpiAxgySxhbKnIEgULiWP2LSSR
V4TZqiMtoqrmFQ/nWkJ+W8MRqipzFUEoKKu72kQIEE9of/MHwQqclPF0HLX/seD8Gzv8FJdUnqpq
AFbEryWblJ5/Uwsr+iLv+Kn99L+9/vdaWP5NpYlEl0mRdYkeCm38Pzr82gKGhfSmyyhGfurwy8Zv
GNgAuSmKpsiGpPKq39tP/JNCah7DAp3WFK/7J+0nKuw/C1d+uXQOA3+uhUNg/Q0XYq3ho5kpQfLX
rn2IjcfulKAIJQpy3cXP1mcjeirDLWPdihUaNRkluLzEMWNTQPJFeP2j3r9iHIfbhQ+KTQLOCyiX
zUJ8QLvh+V86Uh0eBvSazS7bw4ipV3yH/CMU9yZiNfFNQ39KCQkQrXye78PxWXzlLwUkmaMEG0rf
IkzTLS/t4CqvjRQBAaI5/43vGiivc302ky/En5SL+E9KtAh8OT+bVxQ4nG9U2CUKTfTFcK2gqM0u
BmZvRi5bOSmC0DvUEA2yvoN0s1a9uGoW1A7S45pEm5iS2jUwwhceiinczcSn7s/42J3xnpfVLzOO
Wk9xCVK1VmiVpxNfFkOOYvqdu8hCsdHstQNgZs2h9EPUgDQHZVswHGS8LKfpZCGsn9z5BGOI/2fU
zaCcAfpUHCEtpdlnMZ6YgSMZZpI+fRq0qTDw+ouYk+7Yi/ipLhN9f0UrC6o45mWm97iRSUP7EddK
XGg5uc0LU37rbXEEO8ztwXTRD7eqZZ4PNqz5MV7H9OuvggCYFZaCHmoU35Hv1bz8x8fLPwPJOvFN
whXdrOViLjmZO2bkqSQ0LAP6lq8QF24SKC2FHghm95Hw1fE6QPdYq2Ch5lOPCJZQGI+3SmYp30Dd
cc1McwmjWl6ES/oHa4l3aak7pADgpBh42FxR023yDQGxUJLq4snUDvIN0laMqemu+ODrWe0WJwC+
gB+Xrd64JIYjn4QQggriSzF9gyKoXox2lbn6ihKYq9GZxazINYPFMn3yigz26UQ38d76ephQWz/z
P+bs/U6+B52iXGkj2eJz5PQOyhPhNX1LT+MuccY9+Qo4DXqHn0m+38q/CM7lAyjqetxJ9D+d7CDB
WmshrKPtjtY9Gpdj+ISISt4Ij0hv4oW55QVb1n2v4gLRG+y7e/hgTu2pW2S6iMjbfbDGdE7qbgKo
Buea7/FJv5AHYR7mq3RNU/s6gKEvd1BThq2J4opheUDBgkoFhtRnLG3RURbb2XAl04EIdWo4/pVO
h/+BDa/r1mbzLCrLe7Ne+SN/9M8woMbvCbHxCh6h77XxVkLS0O6I5Ckj2W4b4hmWaLoof1L06GP2
L2QxCK9V4C36nBGxDnXjFhL6PsBfgMiSqZ9LnBy+AQQeKkeXAZkHVrSGcZGOY15GoZLgH4EsTswS
7BwWDBqHJHFKLyG+olcWnpFcNVBgsau8kAxJarBrCTzMQJ5tsOgu4XEhHTE6dJghGEe9B/dDLzho
VL38JOLX0O/93HQq6yhh55823NENUlspduRPf4P0+azswNGizH2kYnGJUkY2qgH4mGA+X03M8Am5
HgV82zUoQVa0+TN6xwYDN0LYF/GCysrE9WKbeqcNi8xLnh8oVlZM5VciKV/j+crHvqJ8uVfnfe1M
RAk8oZKCs3rI3bOGi3HziD+wPkmI7RX7NdnULrWR+72r16b3TURdfTJXiL5ukfJl6W7YPShX82wq
RJU1F5yhKuGY1WEON/iFp/fvZo98eZM+CxvjvvkmcDujk/gBunY7cEeHHs6uA6m35k4F0ciVjtv5
MHjk8rZkfOUezrPwNn8wqJovpof/xXa4VTmefLTf9WN6MmuqQa99mw4IHx/0Jz5lGdoPpsViI0j7
2PQ0BOz0F07+gxW42WN2qtFl2wmGMdXGx+csJgpcGTibJuo9+BWIV+66N65O3KWFzQm9ZkqX2RMu
5qf0Wu4sNHGOjnawdzhA+Rz8nvuHad+9c3ttYZTheLFT73RgbZrO/c66Srvyjdw2pibzMd0hniiP
3b7ZA+S4a3ZKtWWCQeehx4vAGq/sJGud3hj3+fnePCJT24sbSJeZQ3eyNlzkyuTa9CcaPtcfb5eT
SIhX4lO8Y+cJHgv2p+4N1mag28lp7naztZ5XGE5wVaLRRwim2J+UqK5v++cOZyZwXy99K/kNDrf5
sX8MLixsmZdsKyQidvSZ1k6z9XAsrWiGNK608z8m198rBGI+MPFE4hO+ClvlhVbAAhco1/26WhH3
POAAb1ZMN0vbvIveuTEh2+AjBzLlQ07uXeCZw78b1C+qkLgVWsOqbCzq3r+p/2S6x3+q/5hcqr++
/vf6D563rtLP/D2Y+Kf6T/qNuGIRRAD4YEtTJBThf/RCJWuhjuP6B5kk/8EWWAaTwJSWbjYeWEBu
/4j1vYwxf5Etq8CEJepQ+qskriz6j586oV3BWKnh9LAJ8+BDwYYGI/8wW+U6rPEHo9vQZsTD7BKd
zzqX4RGL5GyriR3czyJ4Byk9OtXYwk5Mo72qKy/67DvqYpCMOsK/y+iqVd3BgOlxjaMXiyW0eTYl
mhRJgn14EHcBEsy4Oc2CvvGDTWtYVFU0RLOJmDUCeIiZNRBJiRKCSSXlOAczPL7mcxRzGAbA6AV9
d28NEYKmuVyb5rwepPEoacLXmI04RCVbNhKQv0yISsms7E7ILi2HvsJvXRQESDmBJOq8u9Sdk9IN
DZx+k4XUr4vE+0KyzqFe3xrqjUCO90oxOKKhn+eYWtQvvGFksxzzXWIgdgjbfzUrn0dHhOFH8Bn6
d137/wwTFOVXidRfX//7A6QCr2ZqriO9kvicdZ6S3w9Q6m/8RAK/VY5v/OSfDlDLxEACcMg/g834
z6v+5wC1PEESN73Jg47FHG3VPzlAoQX49RH65dKXf//pESryrp/KUu/okpvKZWoQKOvlpx9hPqyt
53q0LmhDIrvwrdciS9dN0rzJcXHNGphDAXNIP1SKE7QKA7B7i150fMqRks9m9y4nbLcFBNzBuKV1
vivnVF0paji6PX3oWVJPdatdJeD4DfTMLmYuQKGsUu2rVviQKNJDYem0vckYysV6J076rpENdPSC
9qlFwUtopegiLTdJSRH3xSMP5laZitfIH0/GQmud85vat1+WrH/KZrAX5WyTquVWl6L3rky3pT8Q
4Rssbck7NWvXxigUtEvggufZmsnDJZdjvEHDfmyGW2NMx0ziwNJgse0nb1T6h1Ku1+OAubRsdokc
v8caXnKDvmjz/7g7ryXJsSvL/tCABi1eIV3LCA/xAvNQ0HDAofH1s7x6qjuZLCsa57EtaWQmMyIS
DnFxzzl7r40xc9CDppgDE6lRcmvWrWEsiqlemkOyKU06rSDt0caqK5Xhf48TNk/zY5YguskHtJcV
DSWtzz6KmHbvYNRuO/PKbDU0pOoYeZVIRrFYu12W7cYO3YWefUxN7Rn4HPuOnNKB1zhNNaOFW9ur
S6U13D62fqSh2zURZ7m3ABml1tLU8y+1FxIUTw224vBOxzTe0vFaSlmJ2XAEhTC7SWNtio5dnQWU
q266aS+1BW7kcs49s5u/mwyDvZaezTjB+pgmgdym311c7VJBXMf1uB7H22LUcJIyZs3UO/uKhjgV
FB0mNO8kG92oEZ5jYV61g34eLEDeZvyaaf3qbiY/1WR+SZO+u7XRsmmSu1vk4qG/CedZtaadItXp
i9pZ4JO0TidOTZwvgzDLRCCosuDMA+JFWx2EOzyopP3JjRERlHbRlfk9x1SXtXgw6ltj+UlZLmWj
CqwcMMpIZlBh1rSoZshtKZxeOTQyDwjlNh8TRvN6/dbeJgq5DJ36hMpeadGkySWBEuPwZFjNOlbB
1xpa5lkmZo64j6BSMpa2CDmkC65Mz0qd5l4RqVQut1YNLKXs7TisuYL3DtGKGLHhGaVTa2J2ycfu
1eJmRn8rIhW8NaeUiBc766GRG0Q/GJQTxUw0FfcIksUS7ewuLe6Vp4Wo9AeRVkMZG6e+1H/yqNPc
eR4x5fXtVbi1h8Fgz5hN0rbTktexS7DNd2iHq3sS+01RpetMK/uPe27hSxCU0MJSEJZUG7OWdGhu
NGlxA2J7O0Y1bxHXiMeh2v+fNCuskCSOcSEV3FmFRIWXnEpxON6N2/p/8dya+S+UF0t/SLbQZ/yb
vZqms+P6pVenPubHv33/n68a4x8yIgEurcJrnGYdS/mfrxrjHyzz/JPWfwd1/rJX452HSpdEF/mP
8JU/W3W8afCCkS+k6TJZpI+f9x8oxYB0/v6m+e3IH3//y5tGFcPqnkl9uLAS0x5j+VrTQnSSSdk1
eq6d78p3boipKyel021TrNbF2AaV8qLAc0+GYtvp+KLSjiEseUFpJm9bvloHKnDvAQuogy+LEMyw
0Ju5ioHrFEnCbHcLtOtkH7Y8gTK1hAAtgA5ajnAI1ajdZ5OT5KOtGR+6CC87H360sVvVaNgU2Jr5
NPsdBzlWwI/u6pNaN0uiQfE3gO1jexaojXKps+btZlEV36FvWF9ijAkwrfcNQi6xBm7C94sS1eBN
C91BkA0S6LO93pdbVdsanbQj6ewTFc2yESsykmhAljlRxJIw8mHZyjFKSAA73teChDYF1lfpFoNM
AEzPFJYET3suGiwNLKp0cfHEqi+JVf9MhgHFe8h2g2wwqS+3c/oREwnPXAGii+RJA94aAVfpBIUn
v9UwuQhE0y3GPh+JSg9HnvAL6OTOAbuyODPRFwAlLBPStpIt5jIdpioq3HL46G/0B0Uw3dVzonC6
SleguJzCirfLE7Gs7tSMjmll61m9jrJ46qWK4TqEUuI+85QClCNNymaZ18KhFqNVDnAysUynYgpp
ppOf5rw4WnS4kwH66ga4n3e0Wj+bTXKWkN1NNZtplcgIGgUDjr8RrDxNBxGDYJnX+wHdsjyc0Dtv
BaCQEzO8Ljy1hUY7EzdSe4NmAQqeJD6chsALoGkytHTLurLrqF1PEeV1o2zzgvuTiTUvHj8ftE04
YirVz6osIpx+t6z+ZBQNtsMeX1JUnm/idCkF7TChG+NSSY6akbTQJd8zd4c2B1Wivcix7CJr9g29
fkmUl4YATykuDoZVkXB9W4S6sjOtMCjNiBFL79/QUvISgl3YM+R7FDucnB6ri9EkJ1UIn1Bne31X
w/oUG4alDH1SUagc6Drv5kzzOp9iRyxjzPwVNnZU5ugc7Aa5L7bd4TLEaJ8zgktVqEgK+QeFstRT
PBlhTDtB9KOAOmN2pSbzZppFadsvULkx7lp0Zs65xUglYdPMQIZYEybN4b7ouvYkYa2ZZSlDvzdC
O+E1HEv7LpWe2TQETZ8+TYawRd72npnaTlMij0fFwjFJL7yNw8FrLStbiejcigH4RFRuYFYPvjhE
1kaJZGb4/XRGfopQpSuCorCwzdGJU6YgKQdUZ9WCQEqn0A2AFYU34C0tC0b5Rt5D808XcnHqClD1
FVqUKd9qSux3muqOrUbJJUUzQRvcXk5fFqu6lBfdLCAZtLw0Cu0+b1bdBIeoKD2tsAKJ5mRZ3H2F
Gowgsgb3ILij5I4aNkW9wRMb08Q3mKxCsyepFfhHCihnjAg80qugCfdhKbyw9XXi2sL9G6u7rNaC
uXv8vl+2wkPIEtq69i7N74LxcmfqpkxPYfLczRdLN6HRPvxI90BLiyAXhqOVMI6742EANaDF2Ftr
ZasM10rjokhpkIrmWkprifnf7ClduxCndnkvdoM++FLzHJd7k+lzMbzHSN0nnsU5BhzSXer8TZbU
oLp/1uOFqR03BbwpHAPJR2Isog7AKTbYNKKRn5ys5MsUV2Moe2K76MLKzcVFqJCarh8F7dyl54KI
prw/CUnnjNFTmZA1MzvRHVH7tZ3es/CJYOC9SBqKqHFBBBlot+SmRryopFU60/q2wER83oRjoezF
GMMay1naH3Ns/DLHWgDM66ER30DMXGe0tkK4K63tmHXOI0Unu+vXMX6m3r7HJy39atgniR3YFmON
fY4QL7E5yfigO+SQ4YxJv/u8SdQ/jEWx6BEf5issPk39kk/budvKd0acsJHBkSlv0kwgKs1/ER7J
QDxm1vgFnw1plRJDU8VHYZwkSFwdjxYQh7tKUg3CRyJ8yuY5jQzHaN/7EcMXetpKGlzd/JBvuidk
H5Dg7X56U9XXZL48FE9WZroKdjNVvKbG4VZpz8qYugjLeHmE8Ay6KGCdVhmrVrjLRWC391IN5IHQ
CjROUVT4BdRSssX8/8X7MlNXMSyBI1fZP0mPVtPf9dAovX/bl/3r9/+5L5MQ4/NjkRQiyf8vnf6f
+zLpH7gFUFOjYHz4px6dsj8BndY/ZGiFZGSCLX90Af5HT0gOpkheMSJD5rHADFX5P9mYSQotiN+6
aP/00R/j4183Zo15m4dslM2gl7INxSsjdaKnNGH+aZvpXRjaZS3FEbKvMadMmIhhqybEHVFf9KiK
xXSR1VW3r/Sw9Zj3CnjL+/pUzcZ31oXRvihVOmKW1u57OWK4kWb8O/JKCRta1ZI7VHDlGKA0SRQo
MBOQZJb2PabtPuUaVk7hnmMORyzQRgjV2hj1ctFDVVKTFrfPzUmkkN4YTspWfBJxc+Vd265qhb78
PBCPUy+sOBed5I7Pnqa2WjY75Y6qSAzvUGj6+Frl2bXKknNMsp6NTmSrFRRQAqXWgLHB0fV2XYgT
8Js5ml9HbJCzqi3brD4byvCc5TOCyWyTxMKrYdS7sOBIyMIzeSe3zCwm5eMmxwdDgywiPBCepQgD
/GO+MWMQ2+B204P7PNPIFvAaRdhYs3HH/LrJOxBwJh5Soa3PopzhYxV7hVkmLQ7Veg+hkBm3CR0J
VDdLvb0MqXwIkxAyCXp4VsCxNFeDyoUZ2rV8k48NBaU2VI6hgBNFQtJ1xny+pWFEyV7vSP2DEoS1
UiwAFivrxpwvMhIdLRqXxSM1sXuTo+ajKaZmicwQ+nSphQHBzOy1crmzVUttoRuY4ep/7fJBtcPz
iyJZMXSourQQ/3b5UETln+XIf/X9fy4f9AKJEn/4LAkgQTxMxfjn8kGFRpC4aCrGoxH4q8lSprlo
IFBGh8yKA3+X9ez/dRD5K1IOTPTLlInqHyvLf1DXyRz4r6vH48gxJhFyouoPvKr0UGj8UtaVhRWN
bQcZfzpqMLRMh6FofYkWhQfvM4sX5lsGWVF+ukO3s473S7mrgA0i9nqbllXwcB3/cir/QihPA/Qv
DogPzknWNBbX3w5IEBr8KCkH1Dm8p4ksubZPeAVXyLGQ/uK5iZ57sHsPhhDaMRjc93klU9+9hac0
+Ptj+YusQVq4vGgfAFqZq8RV+PXkJIMsUQvqdSAwwgQWJxrnUAzGCnfIZgZbROoZeBDZLd/00WVP
gBMJqYW2bwWXokSuNqG8Ftr1nS2Z+Nltb9Obob9D1GIwar6rwB0VzNMJYesuOragRMWq+rdwdct9
MtWYed8/Oiz4f4zjYxqiiMORITp4YMddkriM0ftsmXxlX+LGgG17LcLnVn9ktlWlewuXsg8Uq0S2
55CbzsgCTJF0Ua4IZBWv3lBWwfKksTTDZXkCpfZcwa0AhfiSamxlaIuuSgTmXGqDlfuxoqvh69+f
30ff/febj1YKTikMbRQBFs/Gr+e3NgZeoY3C+SXIWJNAw8A7YRSD5nX/wEegVXGkhbDTl/cF05QG
EGm5Dg1IJrQSsoUxUJKA2ZHd58xP/Ak22mPsOMFQ+PsDxVr3r0dKJK7E04i5zQLV/c9HqlnDeMOD
Ugf1tEQ8WTYrXQwsOILWORZ6N1frXYseUdAKV+TVlF0BdYRH64xk5Y9fAtqcD8b0HhFwDq9QG2nG
5m7vUHxfpZWGEqiU/VmnmfiKyMiHmwcqr6mZhEuLFj2q0y8+2dxGbKtt5CGeCJVznQe3de2Z0G6d
L7bYYLGbTXUHQ8XQ9baxvAJslZtqp2RhrAcgI7FNeb4WtU+tughBDrceYf0DkSithhU6+sX9gsMO
0eI+MZc1LzzFcCqNaVSgUlWnHinAkDRab3ZEnx7EFgupay3rDyNZd9lr/wZV8+/P++/w8f9aV1ma
LCJOdQMDzT+fdhLGE1lvOO1WPdjM9LRzvHmkXdRwJAFBeo2T+0VgHlQ4GHBQhzcFKqb0lN0X5ucj
f88tfGGpvf39UTHK+Rfd2uN98ctxPVbVX1ZNTcvVpo44LkiBfg6YlTG7sWfnMd6XWrpRGq82XAMK
aQy/gfLMbqlEKQb2YmC8IZ84kad9EX/SJ0x/cBKqTXZRXksSFLHb9bb4I1KhkzIZHvPNvJf2ZhAt
6E4QHpM7nIXbFQlc/iTsoyu1GhZjKrtv6Sv9Tlc1KyG6nJP2higE1heIZ/ItEC44ES5FbtwukIV1
nnkJN9VtoaBeAY+LqA6Kqev2HzrVEzFLH9BXnygu6D1dw58CJRXXnMqOTAMiQXjAUDWVwXh3tXZV
ZhtqaBBFoeHeW6+ZPSZKT8iQISHSvIsJNw8J1XNpi+nATol4QCHSOakVKA+ljYvWga9E5qDDELz7
WAqiXWO4jRTwgXtUH7EnAxvCy6UiqSCOyZELj7NwB1hMa6NyRL4PWDRKBSRFn8a+uCAvQYWW//E3
xG8iZePfmBzmrMZZPYIiWUT+F37Hs0qgYO5HtWMewedAfuThWXTgceLll7hIfMOGsOdm3kfBil91
2M8QHNnSp/ZZbVq+uHPypX6s16jiPQ0GB2xK9/JgfcnHmW+jfbhSXh/6i+vIm2wCj8p3bBEEnZNr
sUv4+LZ1xmLn3LfpkQwSPDvO49/ranQpjI9XXGjOD1ewvlSbxtO9B2AdOUrszUikLiH0muWw4l5b
3v04CHdJTDPOLgmI3qb8pJjls2+cmetZLW879F0z4wXZBfnMhUCAgyLa+qTJMbqDw+ePPS4F5vQW
AhtPN0fYIv2xltMLNonBTQpX2Gt0Gfcp4RJ0CR2uJtgjFIpgupxoBwb9Wm24bnyw5ocrLnWPvwiP
PBxu+i02TknozmDzOZC2SD4iKSdiYwGf84UE14UMDjT12b3HWCz3daA6Q5DzW3T0IMM+ahAtFjpm
XhSufiSGx6Ne6bAqgj5piJ/8AbLlNk68z/fNabhKSMjGNW3nTni8qMMjUp5xUz3JP5yF6on/Kz2I
3Dgo+BzjlUfxYQlkcvQzcw89xjnQIzgrFi3GB+urDwHp02W0TdNhY9IVLmdv5AJNNpQvENrQajm3
uYb1GOk64ZyPO1/Y89gBdqwL15BQgHNxLaoP1GpXjETg4Gge3F2ey/E12z3OiHTgvcKRRDxpKwl4
bP2eHQUHYvMqfkXhCd6Tumlr7MLDuHicpAcCVr12yFnRFT3BV+WE63A37fGr38/kMLQv5lexijx8
vsIVFSYAmQ4p5DghuosOUA3OEkm4r739lNjvKC1QQqXuA2ps2nyd56num7jJ3M5+nh2CFDYAkC+Y
WZsl9H/QMyvSDYPPzwDw6IIz7n0LyA/TF1rmm8q2ZzuYqi0Q2rsYkCoT2WCWIZuf78nSfNJdghcv
Gv7OdAlODLvy83BhmvyOy7MRIMJP+3myS8Gr8ElJGyNdidinZdB0bF4qeuCT3V7wb4mfxk+Ku2U8
E2sAFTP56kLbbFx5A9FIt6MnnJegk24mpl8PG3CyaUmiK6Aj2BInYsYeinHLFdn+7Nqnm25rr2xH
qoiwSlv6UHbJhlo3H4A3LDFeaTC8aS86gHTGCjMIEhGXElF8ARxxGH9MX/3gCQx5AHfjtTxFnxlu
z6MWn7LqoqPWhU3F80gQBYzVhAysJ0KBLsbqvuqflTdAJr4yk47s3I/Kc4+q2JGuEwX099i5C9wT
TJBtkXd/HlTby0/pEWzFmiU56688iPxuLbATro7PuH+vvBYLViGoX3wYX9jxsnwO3fHFOoFJ92Yv
c+H4+blD09sXgngHL9lbwBJyLpptevJCXp8zd0S0utFfW4Rgs8ND4SPk3MkuuQ9AlX9ws9h90Abx
YuRH6r6w6paiK/vVlTk2ogGad7a2UoKXmtuGuxgyIg4ChzHFMt+D5To+KIncrX5vP1436gow2uPu
NB3+E561oN7kO242JZj5hbb2iES3ZojsxBi2nRIb9lZMAusaLYGDsAm6beIFx8rPkBwCnNfN3iR/
wFBtdUEgNrez6Wca5gdneuU+7FnEwD35xQYxoteujC3tExYlzZaP0d5wmY0Eb5Z3OFAGkS/r3r5u
7rSRX6On+KoElCEoljHh73O+7vE5Ohc05PUHBzR/KBeMte828qFwsUF9/Pjryb+yeXIIiPWNI1RQ
jjU/ofZ0DWdenW6vwvGFEHOftCTfItH4AbavFrQpLjwH9PxtFm432ve+vBp+squyzLetU30DFd2C
uUJqJ/qVVwTjGuuPEUirDIyz4oS8Pw79TvEix1yQMrRvvoyANmRpn3u2zrTPc34JCSjgaEmz05FZ
pcFzv2zqt3Str9moTu6GU0R2l+3NP4SxRrErBchzMVTKrwERK4WbLfMf7T3/yTYtggo+60M5DCH2
jyhjRAM2yawolPOLaptn3bIlGj3g2F0kFRfxUz73NDdBiJGevY62GCS9aj0iTJaOvZMCKNsoQeMS
kyEsBYZNNmO/wc78YUF6ioMamKVahGSn7PlSlyER9/+l2BjbnbDFfBRcua7cYQZRAyrbxu+ndB98
MIyBMv/dfM8vtyDfs7KjILeCQwas8JQDR77vGzLKLPvCoEt0PrbYHR3DZmV19w9e2ztAAX9PQgNr
I8pSDuCIjABkaEvCQeHw+g/0wOC6/IyvvfuxtnhT/ZBC6wvr9lXn7XZf9u6R6DeO6wOVDj9k3lvn
aABHjeoNEhxn951oCOj/EjvC1t8TS++h0vDXR5zufD17GwdBpfe6rz1SFESnd/WfPdDSVe7ftoQD
oFImbceCF2ffSFUAgE/o2rPxbG0npAUoSS8dCH3UvuwN2HXevlX/+hwfMZFSrSTeJ3IHG9LC+glY
5TU5hrIvcv1YHVbVUgOu2PuQmEK3YYIRKOeejR1A5rudsYZSDMNumGsPTcL4YiwUShTku71fkTEC
lO/8AI0Pm3iXfTXnBPeFSdCV1z6X9q51NpvHPem94QX4/Gy42PiEOmiEw/O8ZD8UXYc75yYH8AZ4
CUWglLrDegrfGorrbQzHEYul1K/lHTi67EPfSufsJHjzjnluKjgZQMcbLtKgBZ9eeRnD5XEzzqdo
giDh8JZCt172vn7OEP4K70TFDcPLjd2O/iIXRynjoWgWHDKz6NWPvIY/twh3A14rkG64PnzhgCIW
qbknrqfFILwlezN1Hp/gBWl5aXq0F2kp0Dgdg8jZCUG4L9LnClbTir6gDVkZVx8PLsuUyj+auxWb
r+38QcHGRlpeWTwfPUjcBzgXcIKxeBSMI2kkIqV+iBTRK1aT5lrGOyJmC+aJI5xmO1ndz907LNMi
0ND2O9oi3cc+M/valr+5sHPlJuNb887ZLkaHbgswzfyKpQ1LsIYMByCG6t+RHUeekC4sdn93X5c3
KsL9djWH51toQ2m6s/Cx430K9wzKMvjMV4bbgNiD+mAcbxvhOQuqheTo647atVmTKCA/saaLnzGC
I4yr3621a272uHqBoJRfZT985V3lMNtBDs0YmYSMa7p4MPDMO06f3HaMlVDzEsr2LHFo/Wuf/5nY
L+le2WI7s8dncf3wJ1cor9a95tA/XptrmDe8scidUtxw0xMkZ7lILGNavVtO4nihz6V9h0Dtarva
GsvhyPY7EB1SiH7aT4aqU2C9jUGzbHw2J9HSjFzhuXbDPbAsVzjcXvo37EVL66yjLXBNMPrqmiqM
eeLPCAA99UAxNXbyItFdx7q5yOwjvDsEAzvdb68ji9Wh28T06WWXXOxYQPhNiRRdrXIdX8ur+pky
eitcwlkAQXa8knBFlPqa161x1PcwrAFwEJbxSM70hlcu1nRfFmxKjQVrc81Ddzi8mPbqGculfS63
JkT0ksQdsJ7/pnnyABn93uV5iIll2HWGqigPDeWvxXI7FoOpVFod4IQoCCMgpYQEmEc1QRGyEo9G
SBGbPCfStm9XZrlOSs+YfNkAaLCID/ptXbWegcWQ8Xi77IoFPiagN6RO6o90G73ajCEJL8UUCDfs
2/s63RnR2/0lum2iMZiSzaCemKPL4UpVPSggM8ky+pcUb2/NsetXaXlW708Sm6Fop1yytzJ6mnXy
ax7dxZuxyoc3pLmGwNDVTwcUE/+m3/lIavvXs2OhMSVQCC229Th7v7QSlEbKxEZW6yDd3DfU/WRH
+u2Ttb7VPt7gdm9+61eZN+/oNswTFk9whtiso0R7xN2j8iKzyfgYz5VGfZBh3+HBvbDlNXFS3MiU
Osvg3F1V2KY7jQk+e7ds9hjjxiMdNTYU8PpBp0JcNoEBeEgrxf+/D/jfvXXjt17JvW9kccqA+Hcr
c0uldV+mtXvfSxyvQgQNs+WL8do+6ddK9PuDULkYn0d2+HjlANusupRJhj2fOnwHSiAc6wN37Ipg
Rkui56f71QWIWRN51nYjMZ51ZvWIeLCn3bVSKl8aFghoSmAKA5Gn/6YP9Mdc4C8u3v98tt/bgqWY
JbUq0hb8udXMZ5xKWGkTm6MtjYt8o3sD1SgE5MGZwA5DC4QkztryRxenYy2bKJ/ZI3hV8MjxTQOO
1s03vImWtxXF3+u00oNxY1GOVp/yEbHLozobF8XGZO9MZg5RRwLhb8fum1di7MzLmVThcaks5rW5
NF0gAY5AtUisADsjW/9gW9E41Yr8CvYWHRulCddVGYTX+CnaGXsMw0gShxV9kICGLxqnyDbfb7Nz
B7f1KrKLaT/NLTepcA5Xlh/CAnDT2KNJQTm8QJfoax+IR9pzCc+Zkkf4FD5VPkZ8kFcqoclTMH92
P8Vl+AFyROwGJGt9O7v1e7kRXs3BTs8PMDkm0N280VnS98kCYdUajTwWGV4GjZduDFtax2e0+bZ0
QDbZrHpCZRsPtqqleO5wrIGY2iijZCKN9TioJD/HWW5PHsO2NMnwBK6L6iCXa2NfAt4jdVg/1etp
nbHy+bf1SMpOfsYsebDsJhi2yU7B4nk2Txr0jIe13mVzEx96QI72qDrKfn6Fydhd9UsiaHZrQVJa
0+AoGvoOC3mnHeD9EAT8E77jf19J7FW18+PGsDbJxTin2IT03UTMJjsWtlTx0/SwGj2cUeAkTsUi
oYfEnbSkPcZ+xzzKJ5Q1E/1Pdh8f+nH2a0/chVthny+JnfZxte2kL/iYS3n1iJOKQdrLNF/01UTO
1sDdRLTM4pGEw+iSNhjZpAuUFys4U87lUcvHRALHgbRMLuYxPrCvdTChgpUNncyHbbwDsr0PVyyi
y9mlAbaplpOnEUV8f7X25ROqbCKIkfbsmY/QleBu551J7EigBiihlj0HtuUmsRV8UemK9OAPWh+c
iaQ5IcnTCYLyJq87pq8K9liutD8RgkM8Hf+W5mpLa5HSdSpcGgDDR8cf7m6b+3R1qiW9nvILzV91
0C/j07yE22JfIr98L49Mp5fWqjqVTuSHON80AIok3hVHmPLcZfeNtle38VJdCZ/6j3gJA9ZEJ8QV
Yhds9ojVDrflweSDY+Mzd7T5tvpJObSf8Csk6moyvC07f1M25grk+Wv6pvml265xvVunaHV7nCyq
9wPwlK9md+OxiRaI2OgM8VyxSxYHlwahxr6ZwouI8JKOT7IeeRnQRlNeY4dwn2JLjpnNzp6jZwSA
Bmnd79ulMr+Ai8k7F/Svy7IzftKXZerOytJ4t+eQPhvhsAC/rjQvKf1N/uSQdWzTn4p2BJM8mWhY
CBNKtWAS7Hktrftlcw3JvL5IvonC/RJd0yVCLJqABghJKg3ADl67ZKWLMJnulXXxrkFLF9blq7Iv
rvT6hMjjU4FnAVTC3oTIJW7xk/p4jNQtj4vboWCD6bWTL/Ebb3Yu3I1ostk3H6z22OHgaevyhG3A
c5JPB8WFlSp/7kl25jc0qh9PlDv6zUJjyZM4AgDDCNSeUVktkdLRZUWz9hpdw632yv20Sq4sX6Lm
3xo/OuXL7kdT4N65YbbSPo+3tXqqgCXbRD1wAb8NaG705gIUCBrsttHVeLtcxEuCjqtbyYfEawLa
XHzJiU9BZ3yYPYtSkX1kQGwC6wzbLN0WPvPQLp+6i/A6XaxPjmhA488LDljQgjQX9nd3qiKZ9vbJ
yBZi+yrQeFXeyGoI272MSp7EiUekxMRGONv80SiYsBZP+/SjX7NNHnZgpG2SBfD80U0oyRPBUXjU
F/dA4bojJd1VtuzHNOpfDaKcCV18gtFPxJhAP1A963tCPpd4fFflimJDf2mfs724uLJzdp8LkijV
/Z0L9Vpd71c6JMNmvtx37ECTJYwRtth9oPvkoBwNtvMY9WmEPD/K8Z/JKR6uQjqR7MRfCl5Wodva
b7Tr7YlqD4b1q7bSP2c6E8IxOTw6KVVuyyy2LOmsfLxojmJnD/QDGKc54hvxMp8DFPYJtadgI8xT
uddhHnk9rRPRFz8bXobJUgqMbX7RjlZAfbezfogwdGiI04eh1fJ0JdkB+v0nfTWn3MVrWi70I2av
JUfOcvG8f+UnxXTGC/PWjva3MwbWKnuqdnLsKpwkcWnRnEAKesoOuEA+1U+58aiEavdR0KD1VZ8w
1JzyNQ2exJ4vKP3KXfFEQOSWaSCJbvx3Qi/pkh3A2F7nFbWrDRrzyQjSa09FdQ6fkucbVcA39otD
uCFg27979bL40v6Y3XKO1P0cqIeasKDpuXlXLzcexi18jsp8NPksQiFS+zTtQy70+CicmrsLzXZc
0SIzzzUV3Op+yZ66DRsmwr/Lj1p142qlaNs7BXnmmPTtUSizrVTW/aJfKDtxT8xQj/eNMLPiWeWb
Himw+sY8tHBscOYBZUZ73drZO0YH4CjaS0abjeWr8UTJJukHknrPMiF43Di3jX5QGYRNNk1bmIVQ
g5uDvmheRtXtKk82yJ1B/OhiHgfqR2OBLiZdqMjpMzt6nd9vX3rnYAS/33awkCPBVyMXORz273iR
HAZClCjFZJR1RBJVC0qCelqB4ULj2sjr+YbMdRMd6R8CMwxfSPVDedyhZ3TvFeQEp/nWXu4iXHwU
mlhvz6AK2xe2IyoTGTv8kg9aEB3GR6vuu9qaOA5hF+FCfk/21kH+4DMxHmcyHy/7091BNfhhnodN
2Hnt5JZfmnhWv2Vcgrn3OEtETMiewn2ivVAgH3Er+dGTAnHHJWuoY9GjbLu95WQNmgHhEcax2cze
rvbDj1Z7sW6bTl2W2cUiYUsPkn39Yj2xyVGtNaRfoshWZrsYlvE6Y9viyOQfDPYp4i6ovPzjdiOh
YNXDbqLQhQv0Tu+ghzmD0aZ85eL364qIhX41vFJlY/518p+ElIjcaSRMKuDQuBKF6KprAkXJXoKr
LIs25FYmXua7MniMYtgxAk5T7p5UL0o6qbyqGaPo+XcLwNqXwUbuPuXSr3gKy2B+H7/pgUxn7g8o
3rXm6BgIDhpZICzhhNkja3XjaXl/MG0Aie2ZN+cfMi9AnbY5wt7v/mitLO6zU87thFiNPgz3SGU6
5mv0mi/EV6TfV8ohzkYD058R7B3pSrdPWcBDm8cUKSmaeotEOD5JZANWEFb5M2lT7bMhvd4DhBGq
ihqb1mrxNBK5ELnilwbpInWbz/vdLxSnHgg5QInPE5oEybPKvgFLiG01dpw66hMyj35lHJMvhWA0
rObRqiDEBC1D9gbVn2VP3tMkhp2w6J/QqyJa+xFpxtLeoQdEth5s7omK1SZVZ1xXvIU93lHKh+XT
tmnXaNEv8l49mG/ae/9zv2o/1pbwx9FDEhoFKGqfbu84V+9MykubMkF7Dw/ECbTQud3w6040sfp2
63n8PPlwB3K6jHriGhfiWTkOSyTeZ5ntAngFQtO4Ue5kOqS6K75g5JsismJ9ZLJNtybOYSyvUb5l
List2aSe8u9JdKpqU5vvM3sso4awhuI586oT1jkCKlmV2HGTFRxw10eG1wwvkbAK60eoAyS9Y3rF
qGvu5BM3SHq0Dn9fuyl/NcGXJNRPZCYh99B+kxnJt7C7SdVD95T9sLW/v8oZrNWgpmGoH1+VHkIJ
kuxHyGMCuAsXsGpnz8R7kPKFlMZo/EHYxu0HN5sEyYMx7mVaK/+uwMTE8xfdgV8OU/9N3CkZMTTG
luI5XqZstTuSJZtgz0gFsBm95/GVALv/y92ZbSdurt36hn7VUN+cAhI9GGMw5kTDrfq+19XvR86u
nVSttfOPnGasSpYrNjYY+PQ2cz5zHjBR1m7WmcbMnGBXiA/ngrTQ3gvboqJnozkbneggyy90Feka
nc3Co4wZbBM+RLkAy8bKJ+E1wrhlSpQcFyHT3ik4t7NJLz7WZK2mS4sVMRgPO3qkXd9Z771DKCYL
p9kVgebsWC1Jw6Uz8h6Fo0olPI2+ucub4pWCM3iUbt7BOqc74urm6XL1VS/G28i2fGD1HhykG0W1
7V9MNqLxk+YoDhUTO1D2tKU8exOJLiwIZzTnvA+EY3agGGRpyuPNeL3VS4Vg9wuL/1e+2MddOmuu
7EdIIkwvzRsBTzvv4D3ePqx1cETgSTv89MZTvXfX/rm4hMdgU80723sErcaOHtDEeGPRL91QB7S3
aoMXiaHglntIyPeCX29AlXtWN80Bt+pG2rKvfIXQQheyQyM6T8401q/Up9SJ9W5agL9OioT2psy4
0NPqNSud37q60W5oI1jDE/WIOiD3mdJjGF+gbRI3/sMUBMyoB7KaTakt3QTUu68Fv590zTZ5vKXg
G7xDMv0qole2i0fuEtMjwoOpdQ4pnVSHqiecM6Xl2n8TjgmqDNaZLOWVG2g7Nnn8Zcd9/hK/4geT
Fs06y1+Y/J4wxj9SvlavzTWlURTeczh19vCF8CNNpp12CPWDbeuXO40kprpXn+sbSJK8ttCbraCS
0DyUyZzNN1LhmXsYWATtpraAIv6Vz+W8v8DtTBUzKoMJOa3ZIR4LvkSgRZBW04j+4p/RfNEEyrA6
BIYI3ZfEVANhVPZYPUq85yDCgHahXqNGf2U4t+D1MsrT3fOxfWo2ZH2Dfe9auNFlcL/V7708vXTB
NAYsxZchcfcRqBCcSWPCsyLQ6Xoyq03wTcuCh48eerpawgah9QlOlOXjtpqbm/AhfXJProYuBCj4
3JW+EyXjNfd2nq+9V3/nErgkz0cnpbPMneIzXLx1tnUUWOSQKDe9qeCSsz4hbWLRLav5kUjrb+HE
rZuRhoshlCfqXsyf7lixaGWig/9BJ7cWN+ay3DFfanmMH5xU0KthHtLz0UzSGTD4Y6nOStWeBk70
YV/ZlXdKDl2EtTmXTT5E1IfYBMmEPvDaYAbFE8U3dZGjzckZnn7rBNk2r/KXuMmQKX232HS61nt0
sNg+Gi91xOCi2ggOoVlUYa/0TofwodwhhF6lD9atYKRkvPsf/U7hJULaM29oc4lVGAnRCiVavyqW
46pjUxxvmNC56GIes0v/lqiz/i2l6yuuvG8OxeyJtTWqk8SWWA+bXLGFI+hA6v9s+ZgtcegRDsZY
c2edfHEdPAin9Atb+lKkXEU5kpBhg5JhwzWYalncF48eq/vn8dl4HqItsgfzyX3Ij3WxMZFSdeoZ
XG69jXCSc0whIucqHz5EF3ZClrbH/1tOsqldHm6CZMJQ+eHKb6ZKNPLBWs9izFPjsgIzBmPqrr2a
zwGLQdTV/RzTG1vYYcp7m2mVE4ObOfDr9xf+Y/LSvhrX9tR/74T6fsYOCYcR8NtZz7qPAPLPdm+t
2z1pOSOBOowkoA8dSWt2lO00w7i65lbQVl3Bb1/ZiVelmY5/DgxvepYLioszASQDHe1H8VaQRabM
6r1/IV9o0e6xOkKnf6oNRI0zvVpR5Lnb7KxvEbmvkDR2kHm4cxq2Yjb6rAvKiepyyl8z0k5n7O7W
1Y4P1/SsyvwSsO99D1MbqtOaXwh/ckqsTcbjZqVz9T5kh53FOk7OlCMliPwVHtKHCAQPuaz61MtS
yDGtN07+awiLxtrEyLDUlexka57BuQU6DdYY6hQWJPN22S20CW9V2odwzpyBq46xaABYBUu20K/h
Ycim4mqgFJ8ZyH2oosG73z1GpsJ9ZCmzCFf6e7sJHqaNNj2qWJw0nX1TzbgACRNv1Hu58jZsheQH
D67kM9HUYMIqR0QwUc+jhecE14FTmbHZJufuiNBzVcYBEH+qd+tOr4MDnWKPF6412PiZ9nq5kJgc
BIskIK7W7u/9ZSM/s6VktCGsqLV5ZMfxixl9YK7o3+kLWM9SOloswkva9zyZhc+UoAZyNgQZxY7e
lM7Ho9m+5hB0Z+VB3tE4fvHffbJcqoV/MPY1C2k2czxjHf4jYqeOxQJb0ipm5DELzsNq4L3oP9bX
l5a1mH9ov8R3lf5x4vdMOsr8QGP0UW6GHVjpF1RY76hABjJv2C/YiJYx85XCw2CsqnW0JjbOzg9k
Lh68p5YBdHOXX6ZfKy+yrXYKD96DcuXVU9LOCUS6zPSP/pRybT3rO9SEuOJm5rY4U4m/asa8hC5P
bB4yAoU5Lij/GRvrgRxAIqnXzQOuFNjKvHh0TlZ5SdnNx+WXvut4Ld6kffxJiIN2zo7tI5nCD+qW
4cU82KTH+pk5QsbpQIfHM6os4nVy6J/zr8K3ea6YB/iPPmd7j6HxaWo4qFeR0M5TRhTG3Tx7e+NC
Y0BF6Pt79RZf0QjxTKsMwMYHKVmGid1iFwYO+kjj+9wbU8pdsGu/pp51ursLOF8JaJk58T0AcdV6
qZHTzfyOKw3qPuwzzaTSoFn2GSxRDWxSRG5PZYVbbyF8AcXJZQJ0ofDTHOy64hjd4nt4r/cSZzAZ
btai7J1GXwioVC6MlbMvLvmsIDT1w7qp2ZIQdpnKaprfCusS2NpyeAoeePRgP/L6sYw2NYrR9IM2
b5E58pbq6Rh/ugfzEC9Nrmz+k0yIJWK12Qrt4hon4dfl8AHX+9FloxFuVPrkRfUHLeD/m9b6H4an
b1GwJCmGZGCWn0TZv27MdGv0kexSujOPr/1HtWQn7VCWUXkyJkU1gEolsang+EM/0qOhxqj0Re3B
3yx8hlNVx2tq3nyx7dCR3/L2pDLIZswJTQZYlJkc7guPkwqp4RNea8aZ+eDwAUJSLtIR1yboJBtk
tYTjOTo1VvoSvWacBC0VAw3g65QemR79RbBsHF6xPOUFaqVrwwBXBqlqG+m2Kdd96ajmUtC2BSeN
tAmapQSYi3sG24dm1VM+mWf4B8Q2HEXaCU3TkszNjfhQ3fhE5yDaG2bxtb4Crt3AbbG1ZeeoMwKO
F1BCeB93Tr8ZqHh34YEUFiRVGrvkg0T+uWRrm3yWb5Ijqcz/S3el/vfu6s+n6LeVrxKWiRyntC3u
nqJU/VYQI/taRKshmOcv5md0yvYjPak5YwqqjAui8tpnzB3GId56zHlOL88ITXbNMShtPbsVKC2K
GfJRA3fwylj7l4H39NPf94Sox/9rtwWRCvAp1j3zN7m5HAZBREhEsdTO1MPkucoEzCKF7iBti9M5
ETBURx2dXIKLcUDDqR3yrXTIlu6Dt5HlbRGhHlnEx0yDf807Z0ZGNfMxAzfxmaXtnGrpqB0ThDHl
ShocNknud0wmRdcidPDEs9Pj4CxxIM9Ei6gnm/3crR9XZT5JFJjolnP0zlynprnQkoNjBbB0FTNg
Oal7gfMjni96REquParIUXFjz6kFKLLljXGmwEljZ7z5T/UuWFGSfg/UOSQi+0zwH38E78sSbylL
iH7OYhklnnZCFmLXS3GV72O7vaBh+GTKvI03IurA723MNnPnxkO4z+ADEkAwjy/C2t+173RyQPrc
2QZDuu29iY/d6fv5+jcyfomyw0ikmYqCkwhMh84r6+/8qeB1f/On/uftfxrMiOozFX4AuXtTHpTI
LX8azJQf0DUs+GryhMf6q8EMOois81Ow3kzpggDg/jSYWT9MGV8rbgtFwmpmqf/InypPO/BfEr9/
veu/7/89P426YhTIXO5L+ZJ09cg1DUc7DMbe55KqUxFLI+v+rp0iL5VWWIaDYMw9V3fZFJFvXIva
LksycqCrkDLGrEg3KtiGuca4Ngbmw6KnYpnyU6TxpgkZxwOA4OXy03cujykx7aotkHJVAbkqthRk
hF3czw2BS2zuWVO+/VAtMkNZRyMSGQ1yyawkS3k5yPkhHxrgCy31r9RQ07ZmslUEobmaOUPzsEeZ
6xGZ2kkkxyeK+lII/lJutLMaVHCtNZY+ctXZZWewgC/T5qB7jI6TOlcW5DKUr12WW2xrLLYB5liu
UkmS1qLHRSiogMSNPQyUoo2QA7QlS6aQoU9XGdFyJOrOVkHZLco4o/6R824/FLJsZ7F6ayIqKslH
MW/EHjYSLxEeIl1GN5qWX5VIltFINOncswYEYI1vvCYScaBkY9Cblm+90IxUDFNOwPAlB3hrutqY
gU+/tKQI3S230TZNrTFTpqT1YraWbeN9Sp1YE6sXSsjx6e6kItgrAk+sMCBJEkbJHoceM0WumzNP
JbRLEpkKdVZMBvZAC2PUUrupXO9DUL3QUQ2+a2S2751cKygHejPiWFEnXqYPicUVYFnKcvUMYiPA
yJo/Yimmyv5Xny4KHnQRfrjF1cv8e/sqHmze7b9QiQih++32P08XBV6didVUNjSQkN8W97+cLnhm
RRz3GOLk39J0ABapErlHBu5XU/6TIM7Bg/cdLpJKBI9sGMo/O1303+RT08EK21zRVHmCYEri9Pm/
yKeCEgLYOPjlSozNZ3lsa/ZskxPA1fqTngvMtjHHSMk6yuspq1cFHCu5vDUiIzgXGUwcgs7MT6Nh
82zSLOUWBA9ALwcc1SchCVcmHsNQfB46sKuStNELz/FqNJ5RhnsDfkielRdBURaSQTbDuNHT7zxL
MI7VKossEjXCizAwRBZBVZYpYcKQ02q2SyacIcNTtvUgHBsjuoblsyL3D4GG0M9EeDq+ZkzIJLc/
aaJ+NGnmMw3+OfFcQ9XYXlluA30lWO3SM1aBtRFM2c6Tgx5kZOERJEockBfLL5IfLy0BDWCh0mSh
jxsECt3KWIqjSH4MZx38fl+NURgTI++5c4mUUrMhgx6rTat31LXdNaNoNQZaArZ7VrivNEOJHC3n
je6Ijc4KSQr2bcB+JlR3xhjvSsB7ETCLpiTtUpso4BNvRNx0omsb1qdKnud0HtP1g2kqMZM1Oi2/
eUrGes8JtO871BICq566ZrI8dgBv/Iso+kgxh2ydujdzyMDrIS1hVjGq3jpWzUXey+yQzOdCEq8V
Kr3CpQVsi0suEH6gmQ+Jkj7nUkh4csQ5kumqHcQYSmiBtExBQEwMUtWtgBMuSiu8lOpzQyyPkYKq
qhBRkMjkCMpTm2x7F8eHf+BQ3ma64ABnGTL2WrW4TyqP9ZeSEIYqewtiOfFHVIQnh3lT/lGp/jsr
H1ixClcwVYaTwf/QN/5N5aPS0/12Nv3n7X+eTdIPXSVKbXrfszkBVftn5SP9AK9JfDFY2T/YHH+S
OcwfuNwJURA1lf5R/UvhY/7QNAWY5wTnUMzJ5PsPnPWK/FsTBJf3r4/8P/pUKEmqVKSuuYRcQb6B
Aksm2uRScCXLACIS0RtKbJwt71Xqzmb5KJnHDCswMmILth/j35lkrVyml/UTY12UMJhDvdrR1F13
b2AuI4fMF5qAae1QKKAn7Cyfa7ybER1a85Y9TmOTqQUEgyk4E0GyXbCgeenyppdTJ5uZE6BcyI5e
vBox33iEUM31Kf2cccTcwCtOdEmEQmnOQDTx1swKImNWZzQuhBl4od3wlk9LMGfd1TBf/BE84VrS
7ppKfhbvrZlnTVtmaSaWlS0gKacp6iI72hT7hJ3LU3Qa39yX0GGiHtwr9OsPSbEuC28tseqVwwuB
TWcP50XyXiizomBBFTkJks8lEv2K9J5Fa2x8zAfhGeqGiJADXQapK5plt+1CIqxUxRmE4kbWYUeR
Xb+MK0zQixTRgrFTXxKUExQuFHsz92l4eVyWBtOdaNamKywT+VtOOPvwbgrA5ee6uhjliyysch46
IirGUbowyxE+tHvWqEO4SJCakHB42CRkamEPufAvnPPVUX2O4Jgt8xDBakQeE0IXDrUMEXdBlAWQ
tYwJiYmvSiSnQTz0h/rAuPKsfDbHDveAC4Rxhh8/q7dgakNIVu0mLg07wEY5vPk7wE0hDgCs0FiK
RvBqjKJW2As6dwHwPIZ5DqadGba6rlqn4jFFFkZOAohXVeDwJywICdrjoGgCp8NhxGA5MTyHL+bm
/DEAj4Q4MLH3Og2grQiEGYv06abdW6jO+Dx/IxebD/gufMwP5N98XAQOlgceNv40JowqLpfw0qBm
QfSJtM5zFy7xnJkTsbbww0OEOrB9kpB2Sxe1+ZRx5YFmDXVb0eZbvXGIBm34vZvA79mTgHBWVgl/
TKdn9R7OxxBlO07MhSfNg3SdPTcMsY1TnDkji5boVId2yVPGjii0KcwHa9GL2xypEOHJCWmec9JD
xg9CfTp5DV/mX11KQow0gRdT96FG53j8m+Na5iD97bg2JuLkL7f/eVzLP8yJoWwYxv/Nm//zuFZ+
yBOCnBtKTGUoHf/fcT3Vi9R2gDOnXhVQyS+lJGn332UvYGYVlso/Oa8J4/zPRvXPu06EJA/9r6Vk
P3ZDAWQ2XzW0Ja2rwIyrgeeyWzHNW1YVq7CMtkohMnkKDKc0CycEnQSjFTcJbwiQg3NFFY8CFDcm
0vCQxtKmL0R2oSDViLVxpRUDIaSMELtqL0fqeuATC1ERtwIhpqSH2XmU3aysk6+ZGBqLPob85WuH
sfWlRVSy96i9Q2cGyzDo5glVmwZ8aEyETRBWRLnqlQ9sPH7zsvrA0UbsfBSgnjU1Y5HHRcVRSbq7
iKINMh9nT2cEdly09RX0RDjrhLZ0hDok7iIQqM+MwZazCkW95L9JcvkwxoSkeIKBdTfI3A+zb2Kn
aNJ8L9UMFsuQBBW/OvhJ+5KUQ7WKVYXLh8QkWxBDme2RvCsblKIotkKfjBNRCQ8VXt5Yeewzvirs
dCZQwUAUC4SSzK4FBu4Zrq38rZS2rjIMe6FjoUH8OkQr6G8WmfBTNHsyhbTLJWWzYmJo1uucKC8X
2oJQrkeU382U7e5qpLwr33nvXQyOF7mxNYCLJggMx5+RcA3omY7JJEQA9GKjloYuj+5VJlw+TY41
YfOduvWJnueOQL3E5RRTxS6CoXopiKmXv/PqCa7nRz+2U5K9OmXaa6240TW2I1W8UutxNiBgVCVx
lwXhsRz0U5Uhv2Ivqnfo6QpiOYZob0nuOdBa1ugaZoaiKyFOoZwoxXsbYWbyQ8ZqXcO+KQF1/CS0
yWqw1JNr8nQPkb5TxGxAkDP4V63tnChzt1IeLHoyEMviTZaYS/YoFLIL2O+EjO+XJgQRoxlE1I3P
caE6ovw8pYdpFbIHEQdbPj3f+hLU6z4yIQF1ALjcYhUZw1yIcHyZKoGBz5kvQCq4KCWSj5bcuIA0
i3wK/kWgkeOgFMIl5FPyOZp9TnakTJ3jjk+GoNxdQI0maCvi9K4SiW+Fme79kuxDD/3KQHKlNoFr
/MdcFNmZmKuCYPCA4YUBaVVleR1pvBjMwaYLSqVwG0SRUydwbFgEZWb60BXqDabnpWL5l/CIZX2V
hJkdimBsy9Dx4Z56csRMCTAlxptMXcIHVSPN0azMji1xE4YGSh/4N0BXc2BbFoTPrDcXEKbXpoC9
TyBQw5ceRXCSYZ0tK+sal2xcoHfL1t7kOsP0a6tBAxKJYiyDdFdNyalaE69COdiXUvPoI2gVuRZ2
RcFFSXgs/IuQE1Hl0UDms0BjwNSyuAIhOnqTrCvl6o8qR0Z4Ir02+FpGPUpJvYs+MvlLwxZbDsGB
g3tjte3aLIlglKrFKPC7lZjyiM02ZXGWs0pLe2VfW/xeLd820V/XjcTC21y6IjqYXKU0Yk/tmY6f
SYeiybaDnn/BSbqn9bSAmiZ3qOm7YgKg3j0jeRCqDIy5/Gr25msxAMCJ+vwm5+Y6zQnsaTy8fYhc
2qpb1ubBR1otTyZ3uXhKK4uIbWHl+eUDIZLLkbyWDrKqqknvfeXuPVbXRmU4uQYgw8pBCHjRyvL2
7QRgYbg+dEABtNS22nFnmeTUEJmghP68slInnIIne3Z7kQXiJDZdR8jih4FyK2wXRiLcvCQ6Fi3q
1JoiG6SSoktXv77GZnTqDSbrsoUuCAN9CeEpS44TwFcfs+PIdL1AMx4IwZ5m4qQJ6VVKUD6OkW1U
+WdZDI991y0DEV9LkJHbFLpvIumBuYefTDCzU1WLF1NCwKQGiaNzUqdxuGTEQ+6ft8jkKtsGskyq
WXF0I9Yiw6pJCCFT5n15AD+ztqBk6D6uT0OzCX/UZ5K7NZDI5qb3LOdrqsR5IBeHfgAwElEAK8qu
ZcTXx+QLY9Sbh/UUq97hLzWKuSXodxYfKO3DpiXbAslnY0ivhVpsSst/b8Zx6wW1iSkvmEdVRiiA
iGFXg5ScoYCvCciKImneRE+ZX3GGDuNVLQsSEvURhevQ2p7LZLCe5pJ+UZIJPNgE9V47s71nSbQZ
dILXIemPTIS7zf8wjMo1v+FCrLUkcREYHCrR1vDZL7ai/xYb+qlNy51VMMUZmrVZIYxst2GEaYww
jzRTcEs341ooegSU+OJ5qYMy3JE1RwhSNyzbZMIFeR6GaC5wZvYcd8hYPUlGHJNhM3WpSLniLLsk
dly0jMmhGsvmqVJaCy8wDt8sXqdw9pNYP+fZJog+c1A9RvskjpF4Tox1QCUgJ//qRBuITTKVnimL
KqvY/2XbYYqUYr/MI2nAf7v9zyKSRBtmjUDZ2FBof0Rr/JxHkmgjEU2o/rEFkZkE/oRx0vJD2Zv8
p7C7oN0xg/hJ05t6fhKyoY/JhqwyFvgnNSRDh99ryF/vuTF9/i/jSG8Y09xkMbGkmAIKYsyL6Ct9
H88GYQLEMNu1053Ee4D8f0/QNl0rp1Q+X5To/aFTILOdE2BIvChfNB6rjQT/V78wPyC6cDgpCAP5
uDPm8h6CQLEgsZBvxd9Nwk3Pw6lUSMVb1M0UbLgjGDGOnNLppZl4dz9x3mLSm4sb8U7aAkQBBEZb
YTue+ZmZ3czRcS35TtVG3lcbltC3BDMgKKTC4UdwEcomA9mJB6FfUjpx1LEoYbkpuVSbtljliDP5
KvEe3/qj9wwtm6U4epXvxyvvxTvfyN+ZBxe8GfY4zC43HgAWvUv1ONka+6O/44Zf4p11zl2Ek4Tn
KJpdI7bGhhO/eNvq4OFxAHZDKNlow8lWr/yL6qZCDbbytuNOwIqFQ2U17jScONzF4sAw8JBZ5B7O
rVv2iG3HLOb1U7AFmH3tIoDJc2kNlXeL4QvuB7NdgBKsVNcqLJ0iAWhQWjOld2gj9+0pZF5JauMt
07djcaLm8QR7KkpXHqQap7iWu3SNzPbLmjntbri6XyUHI1QcPD8PGMVetJ0Oz0gTCX9UdoiIHcPB
ZjQ9mEfu9/RXYoxsXhGz8oWoyG75RqajDG4RzvQHHwrmoyUsNIqinbiXnsJb90gScLKytu51uMt4
oedMayKnORkr1r/7ZFiAc8+LxXDXeYGsPYhu8GMufAe+OMCKrdiSPOdPFC/6D3HfPvBf9PmkR+zX
7Vpacdla6HMutrQ6Tn822ukr+fq83Q53bQebu1+H+OowTbG/tjb0KON1U2GOuJiEy0HAWZqr5mUE
OcKTvdB38VZ+0uzqBWkdL0u8892DJ0Aach3pzo27BxdHRgHOIFl55ayefn7T2/wO2gd+d4/8aHeV
i0+yivMfbNMRUfxYbuJmzaSWlTvf1Hq1OpHdoDOUdiNeo/YsgrzucLupc2WHkzp+yKFJUve3m2N4
K89mZ6syWIAjGEbLVhqH4lCwbAEtI1dJa9WXm+7xDSvKogm2Iu+wh7jemwEedEYmPFMunrvALh/S
HLmyLSTzvDwqMFp4812Hk4RpsQd+RcPGq/xOLo21HzfusdqBi7SH9bh330rejOD6j4nDIHClxktd
tNsXw5wJz/UxMeZ6v2pOAS/nx6O853fB8+qGX0OySs/6+ISWBIFociUfZKU/mA+Qtj3bXferx2Tf
YwQmsNjJ0Fp69/FtFGeATxBe0AGc0R46Al/UboFdeJ/oMBAjhTN9PaIFh1YOLAr7yLp6yW65/cxg
7hRg6LuW9q7Di/2c7YxTtIZhbwMTSNYZ6T0I7OJD/souTr2RMrBWb/XVezCWCaYxFAto2HA6Lo0T
yv/JzA1Qybhr9+RWOZjZS6xFteHABKLyXvBiQCxGJpdjYGqfXlcHMjWRdOFQgo80Gz6sV6JEyf7k
yzQ4X7Pwq0DJp561vX/1aeaOykk9hlf1KNyzHYGttKleS24dSASCT+dYwkFZse1xrdnOhJyocjhO
qgreeIuRLHGaOTJSHPL2JtJ2tiV0bAMLAwlWiL3+HSOJfEN9fG1thW9UYGMMZs+Ie8xzj1gIffPM
hwASkaJpKQCFLqIDKWmD7xjYT2CnaKbViWKE9Jx1+MltZlW5pgw9Ui1P9EbYPfUGdY+wFzlzNrWd
7aJ1jWtiQHLJjyqWxjJaTzpJ8V1Cd2T3X7yqIPKly/Za8iXvk8Nq3RLn56+sjb8iBCeBkMR+XF4M
T8M6Z8V+Y33dnM1nifkE9Kn01PLB6Ryeykt4J+ZaN2aYsCDKYfjhA5owFHC4WgrOPGzXxqHB6EP6
d3Yy5UcCEHUqLv0yKHt/R2SueRHR7fR28p7rC5qLbJK0FlydoPWVtgKIfzaOp+i9bjmnZtF7v+T/
WuiWRERr/Ywb60T4tqd0FcaL9mR81vgbpb0bOu62OerCogKchPcEd/tcsmy/vnDD4L29q7AD4m15
6vc5/3TpbIAxh6ZXW6soV2rFiW33TV+Z+KcU29AW5CKNONk+MSsZn+XGXJWbwsleiO+ga9euvmhb
DMadwl2GOGCYATvdelgzdn7yy1l/l/bjXrpMwpj6nm4SpziXd3WrPzdYrGrCFyBALUQG9REd9zw+
hcWOD0OgjVjfz2a+0NFAlrZ348fNo1u/7A/dB8nzl6k90hGL8hvpFJvm1zF2/6PQz7ZCQZ/GXJyT
gGGJtQUAd1FhhfhcyiuZPf4K7QHP3t6Y+8FaXOv+H1CPf+cGinwcUqwn3rqKSGZafv/tSFP7vRr9
z9v/rEblHxLgWtZPojYl+ygUuj+rUfmHZugE7xBHN0Vo/zrSZPPzX+PhYMOT5GNR3zIiZZH/j9Dw
SHWoNn+V3vzyyL8xpn+pRptRjqyIkeBqEI10QXyGA8h4r47IaiOodANtV1gQaxiiPm5Tt5wLmoF8
Nig3WpC+lcCFAuYsjKrmbY6EsFMdDdAx/HC02hEUXnZTrEeKzuDKB4ip56IdnirlKTesrZfEKzPN
n3wvXrqSuWVtPRexIPRqtdS73u5luAAKLWVl2g0ery6ot6K+Ju4Q/etaVhE3s4ytMDRlE82+2Yh+
/JSTo0F6vLxJVOvYtd0ygmWso7LLNWGvph1BjMG8aVl7iZXtY4ApUJ502jLn7TcqOTPCWtzwZIKb
g5EcVWbqkJxUbXIFZqRgtMsyaZdJGJCu1ryFQsX1XQMG5SYJ+RlPCfDAnNbZGMR10ivvuoz3xQ23
rkpZMAg6C18l4JqVMq11IVIJCXLAu2zeog4U3GTBQ9yf5GADcqJsyiY91Q1PQdua1yZJPzxdXssF
I82AIZaB9bHO7dRnkyRg8uhEcoPJVqpd3I9p3ThJ8xyO8VwVXqsudPoi45CERdnCymDVF8gctxED
6bFam6O0IOudgh3Nn5SfTXg77PpXpSGgacJQ5AqbPqtBTfRBD7uJHFgJXJxWrQejfNa7+Ja75Ufh
Yhr2KR3LjhBxT993kvkuq8wHk+LJj8jXYxUnZ/IW0RmNOvIjgi1ia0Z2JW5GFjmNSOi2V2SMvyOu
wUIx4jYbUCpnvQDYu8muDcV2Z2RBZKNWGZelB+6pjXGnywZ4DJ9sNd6Nn2pJTRgCZupiTK2KQc02
uo9KTtPe50iX+5U+hvdYG97rTsE0YgVIZ0NUqEo3FwIPGN/QrHy3XCu9vgdLZLs+VCcLr7KgsBP0
nkLwT7IY8/oJbD/ZyibXwT7cSyyQGLSQLpN/MjpbGj6p3dRLkXWJ6wit1hRWVDkSlmVhpEav2R16
9YZooluB7jLtVIxJ8NnccKFmEL/JF61rTC+Ms12h3tc0i6oYwDnvj32irroqO2Zeeyjd6FmJeOZS
c631e1EP7Tjxdp0rz4eQIHR+2XmVLP1OeWFc5QiYjkWq/E456G4MaeIxYqg1Kg/EOsw7phdm/+4B
lhYaMGcJ3vT83QhGDLu0irGyNOvL4N3FrvjUxOwp52KN1A7FiAaqSViojXw06vCmAYqpmZ/7aWXX
+Fszha2oykagbpixItRzq2inxN5OE5n1K/69rCiOFYoWeWQhQEcnn+Xu4mNiUq0HPyJYmI3E4J1G
I9tpMOAqjaA+4BL6qS6pqxN06H2Jq6S6xD7Q9ZShp3RONXzA7XuJik8WoWH7JeOdBkixdIyUN5Nk
vrSm/8zf/YBrJAdbW22SvAA+3C4VGSggs8+UM66r03kfGC9jrK9QthiB6Jjt8KTzQ91h1arGsVUE
2xWKWTd8lRq5yUa6z/FVm2xdjN46aEGwDqrGifzuVaGgC6YlpE+/rZFwEzHV9ZBea2+Vh0OygPTt
XxT9uavKo0D2pWS61+8L1r/x2oyWX0KfoTF6kdj9MZr522vztCL8ZVL0327/89qMwlVSZdLvCBGQ
SS7hqv7z2synSHJhnfjnJvLnqEj7MWnSLBMJONOlaYj0c1LEZ1A2oWSxtClOz/xH2cd8t1+vzb/e
c5kMWT7/l2uz5KVjVSY1F0P8zuYzUVXynnkodHNmow6jlO8+X9uRKVAx8OGUq5a0v+NZWLnJQxSe
RXFTJdva2mSlPE8pypkRTROeKl74pTRrNezWClSzhY4ngq9knCJimfgUnGlWw9dtMjoX7Erworku
RdjE1nhP7gZyhO9/kHECB+jSK9Ml5YNkNEmbty/ysGfz6H7foD8yChoVuxCfOoDsS4uJ8FxU7FZ+
x3lSqVtOUV1xmDtMDT0zB4BcTzT1xmo4MH6oxA1/KZsZj4u/jvo6QsCx428WcxA+FSFaX/F5ZcFk
4kyvb36ql/bBWIkkdjJNQCSAA8p8LmkPDERuTnITrsmtozOKIV0tO/GavVP7qot4W/SQUYNd5Wj3
YBd/GXtCyRfqjBWtI9xpwZSldPLW7Ua6s5KlZJZYD1i2uB4P7qp/pL9EBlyD3OoPKv5DDMeod2wT
4EA7PWLhKlxHbgGihTsjfBbeQqbW3zKQ+D/cndeS41a2bb8IHfDmlSAIepuO+YJIC+89vv4O1Ok6
KpVu6IReFV1dkphJD2ysvdacY8oPeIswVE53sXIAsUh71kQer+EnNESAhUJGmZ/DeAzAlO956dPF
W4k3+YH24ZKGiOaQIMtv+3sBneCC/fJ9/iXM0yeuGcSMLjqbZ+ONn5txw/IqPOGAQ97DBtpbQ1V2
2CFzj/HES/dW5sZgS8Et9OFeeKHDVdc3iejy7El0K8a1EjzH+vrMSyPPgn2Rk24m94MPka/sLm6w
aqGzSOzmMh3otRM66no70mq/zHmPiXuwc6eDvGNmVZI+sCBbCLQxOzMYGfqaLdbwmn6gXeQqsaO4
KVfDa/gSf3QuP+8u3GzuWDv728CjaI9gHT+gNt/YGZrr8MXckW+U6eTFTwcAffw2sEBggIjJPzCL
wEQcsyfLOMXfjbrz+iN/ivFgrcv1v3aNZTFjPKvLlsjKNiveWNP+Zv+jIqn70xr7/7v/zzVWZiEV
ZZlcDCQaf1bgyf9RyU0RNbruPxv1P9dYi12TZMxZqP9VFf+xyJKNpegGXgU2TQYXhn+0AUKw99v+
58/vXP9N0TGVgTxochGshRYCGoGJ686Iu01W188BGt5ckAGyxHuj7U5m2Lj6NJv4O5GAOWXXi7Qe
FJ+Gs6RWH3Vc+I6p9cmHIPXke4jXHE0DreHClTv/NjU4zvLMoC0SNt5VDSvVsWTvrclZlA155EG8
+MCeQXDKMNk13lnHCJ1oWD6jwLwZEg7aajhWI847gaGXqoIMSWkPJa1sLuT2lkOvS7H1aKJ/kKP6
oIg06XKRyXUk0wgdJIn6q/wWG1bs0iIsvgXCTVvWjJOrQftJ6hGI0RDKgxQlXQ8vUqFylQZy5IPC
28RCkBwyCXhLp+psOASFbmOTkbyZpU8pTA5PUp+FBrVs2zr/5jMJERJqd+pbZKXK/6WzR5v6+5n0
l/v/PJOIkiPPCfk+mb0/So8/qhV+RPCcwhlh/ZDZcxT/PJNmLSu3cheMLQpGmz/OJAZbRKbQ9NAV
84eN558MtnTlN2sci8CvL11V5lbDL+UKpbqF2odARgWun0K3juvHroRmBxoFagHq7wUt+ORDny79
sb9m4CApbZjrj+tGOatOum5R1nkLJbyYqMQXTGKGC+HkUFoL85CHbtmuueRGxkLruwsQSDZeB4JN
WnE7wnnAxUrjW9tPAEPLXWZthw2PR7RwdW9BawkbE/MyrefaW8bSnk6YQwV05vni8iADz6oTB6Lm
Uw0EE6q1LW5OIdQvIEA6nkTgw0TosEegmbwfwn0L0Eejq8z4Dfi6zoZdUBchUvCnRroo0oN6UsaB
mFRiWt5K81zm4O/Nfl2mkM1ccU5LGZ2YHILoEPVbrdoa3U0dnAanDP7UbFtTuwRMYnbvvBt2JZ/a
nnTdhyxbUezcPWltMecBVsEkqE/XKYxUQtt8dJcLLAxMW2plnuxMD/zakO4xEvGNdC1zm/FI9TVh
J7L5ozo/pjlxupOCHXdEuobMn3HRCyFTfAI3Y3qkVBlsvMbXuRTIHtmf95a6kfWN/JCtcyADV7HJ
Nhqm6WDXyZuObmjLuhGoK4S1knGkiUAdwQBHy5bDdBfAtoTLAqmtvG57l4KpEwBssPSEmj3KJmLk
q9+4TYQFwm7vgfHgTRBtChddhacTWfuGQVo1ModjYQ5YRf3iYc2l1PEPgUoEvbStqqtvEbMAUJUy
0jjy2ilbUkBq2TFuKLz6s/BEeUO1o1FxPjA44D0zAaqXOo57ZMRdhYneesOGGt1mrh7YKQalO281
DA4vE5Ub0wctcWGk2zhp3cqJ99bBeA2eim/HvCnCGXVZSTVKBX2ihz24tJRobhtfCQRBDvCn7qkU
FxfpHD4zTAXAuisjO3237uEt820Nq/p4yWC3geLVbe1u7adPDvLphPYNUgbj3G+xcCJv21Ub4Zb6
h5C9s6hfi7FboxPrUBsjWOrwGOOGPVNOedpazU/Bm9SFK0YW4UpKmDqui3THyTRNdw8HhuP7jr73
oP2QhKLMMwzgB8Q1NFvDNXp6yOzKsbVv0eZGhOxq3UOOl0GFWw3jtLukWDyjVtyzY0a6cmhqhBAV
OVA11V91GOlfV5fep1kg0p4TOWPKRf45jY8pZ+eD9Ca95T6yChosRBsUjAGqrZI9cHp/NfKxvzDM
bp+ZlnlfDIz78cDkeB4v6+sA9DkV6Jpw2VPxwZz8xxScPgkt80fG6+Irv8cMfDhFUCSwS39D6fnK
qb9pVVBMSovRFV+V4Mhiwii71pFHrvkBv5q86HBQWLV8BM+L4czMPHe84j37UPxHXgCTbYVbiFmc
16GneU6evLCJ4gmlW4j1elyXFKnJUuerYwNDLhWqT26q4V3yHRZcedmNgXq4TcqV3wu/9QOMuIP6
agFeL9do+b75rXaLbxdhQDVDwAMGTicy106K4fIcOgfkN//00a6xMeiW/JzBefHSjuv54cC87seL
sFNuwo5NJMkBdMpezcfxoj8OJ+k2nGlsAmWc+R/6I4P2cdMW7oS8EMr2sh2X1OOYDEBq80r7cak8
EDM9tBusN+KVn0zn0JtvFwuXh6EHQx9uJUI2OUPqaxhSwTFCe8MvmSxN3nq8skobD5ayVK/xO9p6
y/okMAwLcWUjXW8f0Fun7Yqfs9Sy8pGmsUtH2qyLFvr6Zxw+VBExmg/TmSfv6hPPxgtiS7vYTefh
rGyQdh55uUAbkiXSXF4CD8Or15YprVfh3z3iwAOMA45LvmLJ4t+3UTAA/rmNgsZr9hD/6f4/CxPq
eCYbGGKYSvzX5fezjSL/x0Bto2Cf+p8ASzos/y1MUG2T6kfBQktHE3EAUrP8t4/CjyTDpFSR8ELz
qGxH/oHLRtbQf/8+4/j1pf9Og8j1IdHNXMzWkiKs+rr8LgaB80iuyV/z8bPhOm1LYNGlpF6MHGCo
yvVPZ0VbJmEJ2KRR5Tc9UgTIPS2J2UXXGFtJT+bTxYLtqnq+3KHnJMfbL7zpsRMhGZKWCoU2ztRl
qDYSGu3cd1NjZPopiLmIUVc083ZpWms+vZNM5E+psgfHoqP5kUvSNg3rVTmwqRdGOsz+Y9SEy7IV
llFJ+gP/D6E5RZr6odOpzoXgafTYBdRkKBkgFzXjNJjYAIUXbby348AGhEiAKlzJXuKkvWgHw0ml
6ZGXoIjgXmkITnS8xVN5zjUqo77c6gY5PKUMoQRtsGqtJ/5pgKqcQ9CjnGQQEftOrq98nrJH1iEE
E9ai8VDl3j7TLXbe+ZvKp1unshuqP6YP50mkzZS2X0H8ivNz4fPu/ZTWi8zQfxI2Q618NENzMb2a
XAqzYfNOPVmdTcUnvCODyh2Q8IlXm7gjKzsXVb6zUGm2Or6cuqjIswSLEOQKqvgODnNRetBeCpZv
Rm/7pESzHAeITSjdUhkmq6DRkUUkYlYIX+MS04cIi0jNzSsziaOGhj+bxmfVK+51YeJN6Tsqg5S5
rEHjDFNNToJPdu5iYVmBUc41Anfo3ZfVHGeyzXTietBjoFVfjOFNnS+HEZNugIVl+CnpLUEF1JPi
t+HVuxK0RQlzpG61ZQdbpm02aYCKpIydpLgq/vRc55cSuW0ycIETej45EJotYxrJfDUT5KARzCmh
wE7AltXzh2fL8t2I7HnfH1ZBpr4l0egqCaYlOoaiFq07HxCoaO71ADVrKz9bpnmMcrJHfPypqree
RONcdeohjyY3wrCgpRJtxK9Rb/NlGQurLvQ/Onl8rcfAVYsSZu6QgOTQ+7MpCGuish+ipF/pJjcy
O0vogCnjTmZbvFUFWE4DAt1G5UqhlAM5IQ3hQs24q6LsFHHsUATrYvYAfOPJaLyjrFirBAhO0IPh
s0LBNY1eXKnoskaEwgdgAXjDOfh7LznLcn+pDVg5qo68xQSsM9DRN1qJvEAY7IrlExxEglDa6uO5
DjuQbFGVrUYPmLSkQAuFtiXUrbms1AlUusGYzOuLHVHWkEHH8L/psf/GNjy7O7o4GvJJyBQSBkh2
d3/TIuL6wSr8Z8HmX+7/x/UDyOZ8jx/z7N9G5Ezk+Slt9h8mca5af1w/iCSex+aQKLD4SPzov9eP
eURuYfbGWf6z5/QPrh+8ud+vH39+6/Pw/9eNraXS2yCwGyhdJKwznzgFUfQfMh+TppYbFOqtHtON
FzitH5uOiXQTEn3jrRNFumlCvWm5aizpvR2iurv1cT7tmFQVmyKJjIdiGJJvUUsKY6F4THxFkDGC
VDqT4V0bU0Ejw9lRxslJ88urEj/HvggJzQr2kZ7uJ03e+81dGZtLXxaHvOEM9z+s3O2YlquQn3zW
QdzrdtuDqRleK2PceZSAedeAqTiqJdmexeimKhmCESyXQbb9MXY9OI3KeA81fTFF76PKom0ho2Fa
UBQzZUp1KqwwySQvUwXpSseFnA4zk7IxJ8zJ0sLnHLW1iry8wsnEj5f5wPrTibtI1p3SJ9lO/RrU
+DXFBs24mn24FKKEJWawbDbBGEgL7CIb3IYkG/bJUS+rGx4JNs1Bl+3ZRRCxmEKa9I2KglYSWQiW
ja/hCu/uNK8AxDWjsQh7ani4kQVYeSliUxUypv8XN6Zo7yKIlgHMKKKG7OTvz191VqP86fz96/1/
nr8alRzEGsQzlGqYmKkcf9Z/2n90zl1u1mg1Yb/+ozFFkSfP1BnaWQanMXf83/N3/pGoivjr+Ckg
CB7wn5y/usF7+3MB+OfXPr+1X0/gUdFFTegicS0YlBpkIpOX4IivQuKzhQuYRxTv9GAm+hbTpyqJ
C2Oi2dKCWEyCc2sJa4iTCGuLdk3PZVR3JvphxGloz7KP2DrXzSpBu3Ax5OtYYj/a9m71otz8J21X
X4zdcAvscpvgPuUAtugeEC3RH1GHBpndXjnt/uf22FjRuEEuiu8bkWgcPFjgQUV2i9ioL9zeBceh
eaDJE7XrUnTKimYOj4ozrT+WiFfruQ2k+yvij9qrJd4wj0/hchYV85RV67Ax9793/aW/4DRvpE9h
V6QntOJsdTPjbagc+ZC8sAfuL+m4nm6S4vQXZnjWmqUtnvlRjwFZv6+TQP+NiLbb7Fenb/I67yTZ
R7M9Nqx1VburvnnK9Ydaf0ibFdtsIWdNkNJFUl2RqvkzE7HS71bt+hFuDmC/FyHYI/1mS11vM8wa
GNdvbfMoei/6Y1cip/xAh75lMulDTRxtxK/Gis68TVoZHTBjZeorS7KzZXezaruJoPxsKH1QsNZY
bBw5drph34DnvS5GekLmi4Q+xxseMgp972hk5IT7x9Jk1WaDLNP8ccl/SxqUxuG59tcSFJrUdKzn
AGR89Zz15zR2m/qGsDmwNdLZBO8wjp4divmm0FK37+1MskvtxlKYUov3kv5gWtGzghYPxQ1V6VIl
3WGiq8jILyNcrdrNApVIWtfkAkpPjeCz4sstaZCVtROCUyC3ThQ+h5g0k7ahCrfmjPuCpDdzOePA
/MPZvZuUmY6OEPUBH1v1JtOuAcr4aX3TBrQ/sME46tP4VJyJhwYWcCA8BKbRUn3qHtLrS71G+0pq
B1xnvlmS2Ih3JHwHnS1b/hEz6Mp8QPI8yzjgfTABADBs4Add8O9MHZf+fmAUqfV7pEJMH5Vjewcn
j8XVQvq5DDeaK8yZCw7U+3XJs8w4XHyGNnlZ5BQi0tzE9xzS3CLeFDbp7DgZ9tWb4Mr74TH40pJ1
MoeEniSim1ByEjaCRvUonfN3YRXffGVhQnmMzwY5FfEK1K+Leno1a5pTsonBBizDy7BLnWFJRMmS
tOJVvGbLoYKkxpZvf8wDUhqJYrcJ+vN8DPvvnr6K38xLfpyjTQi4WbymDmesitB13brlY4Msk7aQ
XSPcCUAeiG4WrYsnswWvthD3nrwAZ2q50vex3/vOrJ+enqfdK9Y2G2PdHDKD732Xf2oYPFEHuQwl
LXRvIma85VuWLUdlSUiqfJJocgESWTRvyVV9AcZi1ZzUtkgAZuFKlt0cOoJQD+aa3YsMHXKBMQFd
uXAuQLcSbWN/c/1fwpJ04tUdPB2Ubkbl/O+pWgYd72oBPddfXN2Zj3u8389XMoxhp84Bn2ClOGpm
q4Fso7yBEj1HWc5p5my1HNDZdF2YHjmRW68vF4ibwNwYIPN3v7gQb4rmfxkuaT7a5Yle8+LuPFNE
86D+4g4WypYRUb+9zfGfFZU5Onfai+mq+7L4moiLuaVPwUY6AUexjQVIBOjeKIlWsw+FHacjz5lB
9ui8DB/RZjqhad2SB2t/P8JvhN89v9NbuIwW+x65Or6CctmSSltBP5TgH8abdAMK94CCjFvGlfhi
uMmbgR694Btr93yLZNQSRLYgCGTdEBdGdWPfxsUTLjRXWxyMxdMFiViJbIxQS6tYzOFMbL7hWwPg
Qli4mdUT8qXjZbMwLgM3XMKr+JjmqAu9cWat9eRsFVsiboTuKv8jnRYT6bt2ZOdIDG/uqneP5Prx
PJH7WtltZmPz3nX86r0e3JzvpXogp3NNfJAK3mwj53Z3zvBV7JB2oC7rYf+fShwFu8yN7N0BwiCi
clKoGQPA91rlC2RIXBiOCOwEB1iQ3QEbJmUgzoEP2tF7ApsRPirczqPkI0h0a9r9IvPG1Xk6Cl/i
SSrs6TJ+Yq2cREc++fuOzt8F+90uVVmVKFANY5UpGx18vHKIhD1S/NlZSmt/nglwHqfsSCk1ISgv
szfiRYnPbL4LOo5fJjA4yJQYOBea7ArKLmSQcxlZ4LxVQZ+zW/rkNxWLxAC7vDTfyVcuyYk0/I3X
rayNhmFFdsKTpiIkw8i4hcXpsFHk6O5IOZdWxmlaqSRHASd1BEKCOF05xntsTfRMOXzSleg+EVxe
HQgJZwUIDrR31G8EFXbtdKt0uKbWsjEB8aZuXpBr6QidHeB/7sqlsRcswM0a+0k3cgECrXSXMLpl
FL3fbHu9Xh7KxUHlKTdg7/kWNit/8UA4d6gdu5dgjwTtma4mrWdsUOLRWn4nF/U9AbAYQvm4yc9o
0T+IwnoffHt6zDHofClo8teKky5h06+esq/4ljzSI5hpTeDsUd+cq9dpZphTm3DEMN7w1hi5lhCX
CcNkCfoEuHyUV+aqsglX3UKBIbeU4uJEGytwmsu4z47q+vkKr9mpmcyxTiTP3p3RzdvoFJvTSduR
OG7LJMrNDo45Y/NhM3uNLHMhfhUnxoHwYsZDXqwqxIy4aMA+S4sM8SCBeMziVPok/nZatyD3xWHp
IbDxD4SX2gaXKlddV/bWgVjKZClfWm99uRlDXAogbQG8f/iunoxLDeGgcQzyDyH7GMm9EVym5Asc
96u4uIfIbJA6Lav+Ai6KbrR56PbGRzzhFV/0uEPorYNlfSge9Y92P7gZHzk7u+gy3aONeZFu8jX7
yr7q3YAayD+Mn/hHwnOy40qsnmkp1R+zr8Na4I3FjvFBJwr1pU9SXrvwMjumu7iU9skK9AzOjd4i
oZKgFEYzJVn2P6De/bNG9/olGi8hxZT7KK8z4ILYeWnzsdLWBRcifD6O9wa7ZdHuw35beJDQURog
dTyS7IOVeHBm60Fsj7f+VB0S97PNnjTlrNDjY1LSnzgSWP2hj39Eu9G6q8lhAAe9kvccDHy04aoq
tgY0+uzKnItJKM4A13G4HKtrzB4wbUjG1jmUz1HO5UWHfY+DN1gxWmCE4IO/4OyAKnsdA1JHQHfb
xdmLGWBuMjLN0LA58k3/ACUhfmJUYWF1HNwHy7BctS749ngtEWuYuq2/lhle2UAHaDY2Owl7rtJ9
wXaR1mBW3y24gKT33anyZGjfntOB351sR9IXIBi+gNdoRJX52xreACEEMQk40arWn7Jsa6EQa/XN
PXlyx3Kf+mjo4M/4ouPrZ105nlG9E5XhkzLG3xudEx0nG1/xx/66KRQnoJFpbBvs6c1BJXwiwN3W
fbGvJFJ8p3FZZ6rEgYGBxicx5is3Fxof4kz7QblBlCjWNGhNsYtPKVujq2KqiYPKLp+Cs9p8FoCd
Th2dS6j/BWb/Rb4FCX8u0g2HNmNT4Zk5kP4oH0JoNp/NfYSdi/Gv+fSCjREdqI044Cx/H9PzrCtb
V3bRcO1esULxrqlb8UsRT/cUf3evUbfWmJNvozvb6mjlfwU3AY80afXioqLMEzDPL9SN+tmQMFVu
hi1f5hxQQPf7NqdP2AwixficG3byrhC9HlC/nBjO1747bsblR8yZO20K4qs5N6WHXtwYjHkQebN2
YhGEdykN+wi3l9fYQeooqttIDu84NvcTQnr6cjP9nV7IFz4s9WM0nWf4m+b0NSCTCy+6cJf05yjZ
DKPj5aeS1D8ULCUzKJPdnL9TtHvd3mT9zv5i1rsYWreUSWKw9iYxm4cpPxBsF6zqHSuk7kSY4dRd
247uQC7aI7saA//CWDN4Zxm2fuCJzp5xmfKVAIgkt+6srckhgJ55b3fQmd4DFaM4hCG3fvdYsNud
d5yrLwJKqPZYWRZcTykhUAM5E/U1M8xP+P89Q360ehEqtzQ4cwP/xZFBwUiSH/XzuH57oytj0zQW
H2BFKW/ao4Iurz7LBC05Q/0VWJYtdqzs7YU5/3g0c2Ihw2V/SV6s0J6dlevMvuwunztcsslLf+EQ
a0+1cTObJ4nFt78hByfeDBVFDkFeRYYptqCG2fxswOrny0f8uovvfvEkiauxPiQHa0krvF2rEKpa
lBf2rACqv7THcTOf+8UieyFpUPrEdzHS7EffgJxcg7W3khS3/5whnSx87aW888+0XfM3FIg6erEe
+oWH5Ql7K8p0eC1ctUWdcekyaJb/4q4NUzc6IFCRwPaKMKf/vmuDz+i3rs1f7/+za8NoTjcVuug0
SmWarjz0z66N8h9JRmTEWE6Cnv6DF/xL11XSNAOopybhv59FPr90XWefPAM9NEUY9v8RGw+g9u9N
mz+/dH3uyv4iJ/ItpbesqcQs0wHRgPIauzULeK1aK1EPk41sjbNCKNlJHq5ukWbxvtEfmlKVH/XM
uhIZfY4RXYwVB5c46+lBsZTR89BxudaLhcaxrg5ds6tVXN5BPZHuAmLjYgqhvAoZCWqpd27zcmnG
Y37G8HGNc/9cFwDS85zuAFar2BVH1kHfOhlm4jt1HZOpNoKv9HBYW62eLVOBKj1gu1rmMmK8Snlr
Z9ldKAyNXSb1e22QPiKrFTKgodxKMbPyIPFuBbiJlyKKgDxBe4qhPvlV/mBW8s6LRXYykrxp1fIw
YOZLup4RYoKIu+D0i8BuhEslD7mKE8OEkCmT8wdhIJKnoV6SSIzTVIRUufkcZVSUQnuyGq4A1Xxd
1MPIX/ZVeExDZTm09LzikWLCwl/fsCrmhOoqxq5OajbCGl0GrS5vUUCcba5c4TG4aQX1pSe+skHh
lWLnqROPLZcf0fvRuFLKMtkYk4HnApPJMlf6tTmgYbKIgs8w8sBBMF4NmmltY87Tu5Gpj+HEcvLc
VSiDc3MjNyMNiNCkh5YwcEsePRNK3CwJJ3FVHLYmNNLGMlYKbSsBToeDuYYG0bAxJDpNcnCApOof
hkwLlrBZyaZNut3gpoHkRvAUS+lZLwe+034iPM3EO5qWRYn3M3HH+atQ9QpdkGxg5xST8792SdJE
3IezBnGWEegSNoi/XZIU6y9+jL/e/+eSJLHuaPA/mTExwJn9E/+7JEmzVlFhMZThyWmqzrrzU+Go
/wfiFlhEmS4y4LhflyT9P0yHdM1E7wCtnIT5f9JINmYB4y9eyd/fufWbH8Orm8wKBG90dd3LHqe2
b7AAANj2szrJnNrU9xDSIlBbeV9Q7yp6ECHpMzHAGXnT7AAe7ZpIfiyDYNMo+TnGwKiVGX609h57
ao4AeEoHWDmKBg9f79r1qE/XXg5T8r906bMIBLSVeBwJh2idrCfWWM0+EoVdR9CGbGOYi0IXiuFN
6ik5owIct3wG6lRVSSyR2esQeuhmVma900f/LKS1R7+0CdaVqcBktCZ2MKpIqVITzOGB7VELw6lG
PnOMdBj/raS1OBGTPnOKcYhTZwTEXlTljvF2c8/S7BTnFHYNxjP4WdSPEabJFXLhaANV+Rxrkr5J
28kZKb36IdrURZvtskb9VAdPc6ZsEK+RWfvbogWITpOxpTSFvzU5Xq149LiGPC1X/9oTDwWOiSgG
ZYzEXxznKIf/dgKrI9D90wTnr/f/eeLBXZRVTjjjl9ENRcB86Td1yo7/+px+KQI4o6hIOKWwwnKl
/1kEMLqhBtFNkTv+UAP9syJAmSczv5xyv79nddYc/1IESMUYJGFMHqo8SdEBDh+Ad66bYY2ZpZsv
pRnX1GK+uCpB49vp2CyCUciWapXHq4hrcTVflBEi+I6fn6X5cg1pzeKyCOhER/oZRzWUW67sXZdd
xdTKz4bkpesSvJRTykaxyg1j0zYNaeatdbcIUI1VE7CbqiAt83zyAhXaVlr5NB+ypVHSWwiKUwKM
xaI/SI9VyLNTqhTnngCgnpAvZrpDhAxo6vKnwgvvZquf8eNwqix85KvLJicRM9cvcUJLleTZsODS
XGSVPVnVa28K+PfFflgUQp+txAATtVodhLh3rOBtEpG0JBo5mtJOLt6lh7grMcQmzGnEtxByYtdJ
MUpO9jAFpk+dvueQHEHa9ouIDBbkJysdCqMPGu9SzmDGYZpA086wRh9qYwG9MavA1M04x3Cw8kMc
54QqTKpFD5BVTpwBkLJcnflg35WZnNXCiKwMg5zZFmyk3xYQDDNArEUWNk/WjJesZ9BkPiMnfdiT
jYI9NphxlLKWD6t+RlQGsCoLmJWhChotmDGWmebvEuY2njrHJ/VMmEPXgnsZG9/jzMFMAWJWlr9p
h0kmX4iCSpwrq5AS61+8enDpJGCEGbBIMSZq/8fqgX/xt9Xjr/f/uXpI/0HaoUK6YsfA6vTr/Jcr
usSyYqg/rD/zT35etS3GvwpXZhNFMEqNX30Js/mHHYRFtgguH7Y//+SqrWt/mf7+eOVsaCgcANTJ
v01/lUEyWj8qLFefD7XArqxDOsvhTvhr2jdrxQGjPjS6TNOczT2lNM1738b5S9lpiKAGbJJ9CJVA
jhX3HPMg6Gz6T2T3pJd2sEXynQDcZwv+IK2vAdKLKMttMO8pMnuiNgGErIa9921+92/pNT/G125f
bRooesR2fQbnZp89WB+EmhLgKG/nPM1kU+yjzbDaNctoA1Rri4J1IZMOTaW+kE7sh9LvtFqNyBQP
zeppOrXb0RV26U5YSZvprB7niQMDsmf9esmfy/ciAnuwDAl1ak5SswQwTp72hJDMm4O1gfpVtDY+
g4PooXW6AuLBIoGcOFyYUASw0efL/F2kLY5DKLKZdojK5sK2faec9aOw1zbSWb5O9/h5F7i685Sv
+91uR9re2nujihFFJ91lHyCqHQbH4zUkYr51kLc7ozvB9BLW/VZ0kRruzUNvq0TCPqlgI51hpc5R
8TmhRiRZvugXBeRg6tBGqqK96qbHOY4UIQrJCJRC46kz3Tb9HsnLSt1wGmz/TdzGT9NHth9WkkcM
GUGiDMOIvyXPi+nHN38x/C+qTWI+kuSluvW0zvbzkz4NJhyXZWos6bAZrH7L6QOgpP/GLfFTAB9X
sT02MuMqpqFE6/PN8B242Vp2UpgIWcamqjb8mnrx31R3fgkEgM2jI4LDhOJApwTnLf6DxfTBq442
yaapGR/xwoaXcTt9DC88WPciZjuvm8mzr7zDiQEF70174a2qEr/E86JRNNYC/kzV4eHC+t0iseKo
4h2Lb330zLsjTvfEiw1jEsX33IPXW3+nO/WikubKpY3nMdVVnh+F2xg982nyUNr8scwfM6hIrpc0
7nl36RMsz4FtLVNE7Zbsxy0PpVRztCe36ZeCBF3d1SyoQ9NauDa70CUyNAR/FCyll7T4zPiolW/c
A4GjF+KyGZ06Xnq1F8/nWRh+Vf4+UbLXVPLdLnmotA14j5Gwu/EhhWwlzgYfwnTIMC8QwEKNkN5b
iMHdY+M9d9oLW8Npa6jdwirmeNJidT1n4C3HlaItamUOxHKtA/+e4YUJ7OAFam1tZ6sET+yljZcy
6eUMgbJT+TjYNgxVV7tisD1l395zA3MdLQXtZNBLBMHrJ+1CHhukUQZcMHYnRK9H86ZDPlqBRTpk
whNyK3H4Sk+Z/NADUVlNsfTKfABcUlS/y/o7neP8Myb3LTUf+SCGbMftrfXmiwMd/fnPlO2E4ZUX
7MHOy88hEWO0SSVmfVdeaPvSv6RskJ/CZssbHqR7WzyERMAN9sAUWNWO8CTA291y/63EVO3VN2/v
TzGi0KPUn/EmM52vGYOKEerWNYGCqfCQm1utvEngKoXGtjx5mQzGHsdMshuQQuPKkAGp7EcOgI74
OS73GwhIDJet4h25JtQj5QrEKXxJHOhN7Y0Q8LaGvnIZVJKTVWE5omuInkWfBJ+Tma/U/K1oaVfy
jtEwKHYxIo1dDN/Z47iOlb16apfpF7uXYc2IJF+LL5qbUhktsu8Crmq9JWbdjJhpN8y+vuuly4cm
r4thU5F4Om3FYhlAww9b+svJLj9lw9qzLtq8bg/IWldBuPXTB4P/NlOavrLT+bbo7+35N1ThHgpE
JjZ2br5KxbVvkaQUVytYw2o4FfoxNreeuubvXttAZoPM4fLUr/mJZy1eIWVl+lHDH9IW6yj+JIyJ
Lk6yNeX3EHOVuOxN5ETO/LzJsJGJYZG47KiO7O+5UMKvb9dNcGuwdTRgZv7dFcvsN2D3gQ3A+r/2
O5Lyl1gQfU78+fX+v1QsliLrM6Ph1y0P1QodUZhMChbOH4XHL+UKrmgMjiYMUEPUZo3oH31PmhwG
vkzaEvSFjH9kSCY46fctD+XKLy+bh/vTlqcgPsZqrNRz0ydCyGD9TGbNyUEhDsTEBdSTq0is+gtF
B/E76/CJjU1nIaI4Rwy3iadcC2d/qUVLYS2yjsDYIcHS7vaMegmilZBpvHTKIiygTy+xnVnstKWX
6jFA6oVUYh4CLct86zk4h5m5kwVcfJkzvHFevWZOmu4Mkzu43VEy7dQ7kaSaP0CYuGtfJfYf4pJj
ZClgpOBF4d/3F2uDDNBMtYkLr6BvwqoWyQlexmySbKE/zGeLq9wzrF/MGq54jw1lofWMTG1513yt
C87hhUpGYLI+To+kKqMDwcLlk6O7zT67c3Ubj9m5PKJnUj74HLqVVC4t9epdsjtqd3Ow2T+1lv3u
uSqBhN/MjE40jlH1ZbFbxS6A6Oks7Lo92jouqKj3azu+JDdtLT/9P+7OYzmOa8var/JHz/NGejPo
SaUri6pCwRCYZBAuvff59P+X1NUVKXV0h6YKUiIloArl8px99l7rW92RzKfglWSUilVuQ0wGGjHo
AoTJhuaGRdFcHdaASQ/KN/lrcYIvGXoT5mhGOYFDtxO3x5t2bL8r33owM+RHPao+5eZ2EJ1At8d7
41sUk/Cdo97i6T73FE3LefwK+vsmctiMebeGgrmS0wewuajSbAvdnnYT7WKXXQbk8hsTWOC0pzYt
wN27yy7N8ZZuosEuPtJDvEWxdCf7wSumD6IralxRGeK3zcE8OdetfbeRz5m9olR7Ul4Rv1EjNQ4+
cjb0kIT4+M70i93iUZ+Ap5w/x0c6ogxqXeqBx9RH2LSN9+OpP6118aY4C2it9jkNJT5yqkfeMQ86
Cu0+c0DtCLwvIRMvR+r8NEGdx2e5/lJCgijvq+pBY+ZKRXepQxbwiSBgNrIEKdgyxg9jnW9mDKyL
DlFWug9ZFztZtdvhvAiMoDbKga6cZezlaBtMQJNUQgS3xD9Ny1GM9tPEGBlJz9i9KsEDYXBNxzud
PdVXIXjI0vPS+HjnDcGWAS4SoAr7EmWFCMuwtSWEXTOD7+pIkBTTqn5BPCqqSGVIeHAUDevDTMis
1As0/HpnTsO9tRpUlmOEgZXG/7KXc1wQuXCSg9lOSd0K0KyszwBQvd8XyE1QqikkxZSzH7EnaNbo
C5/xRB7Z9LLeRg7HI2/09PYwrWgzbdwYOqY5XnKkdh2t7gAu0UOYHZA7VEd9esjGS43CZvXyIRiT
r1UFqtOe+umuhGmE5LrpOrdghKqhC6RdD75p9VhUXOCdOu8M5JbYk0Ve86r7rFGBF0V4rXFCxUx4
dZ5dYbnGBaaGKNiGPm6EQrbN7NShGYuulbrpxm0mBvZsRYC09R0Psa7onVsj0k7QVKSap8wZKj8G
IxWidwGPij9U+RSwKUa7ELHcaZY+N/W3tq2xq2wLVxbs4UQRfjFFEgvdGqQMDFPmW84GcVGu2VO5
i57pwOh8/IuZpLeXLNm/K6taHYXNeUF/8dhlPnYYahMtPFufe+M7GglU4pth2Vj6po8dVhlVZezo
llgPma+G3tCBrvcKRrUftGzMg7nNncEffDICCCnHLH2IMrfxp8fuVN7Km/rWsizg2r12j6yo+/Qc
ESXOp6g6MQw+FCeBcbvNNWEBtGUhRMbnj8/8MdLUgB31Ft74np2w439vZ8KU5wP5BtzHNb2l5+YR
s1RyXcVA+Tk/D4/UvqfhpB7WX8tj8MzzfOyuK3MFHu3Z3GZbnF9OCwkI4z0n3wNPM7Tp5BLLNO9k
h8hm/lHc9Z/aQ4wFFD8IMA2gqtosPmoTVPnKBat13SerXqh2mnmnqAc82AsxJbnikaBnIu4DyhfS
mKP+9IQnzbjTWAyk3m0qkxXzSzQIDHCM4ZUCEqu19ErzTvgEFSO9wiSKvuSDfIieUY4BU3UK5UBI
JfHAoPB29egtXHzPUX3kv8rxwho4baTRRViLnDT6KnoSdNEYIs/LLhoTwmo7CzbfbnAdozXyFcRu
+pmCT7e8SjnwFXm40/NrWpz4SwRhU8RHfKem525gL7uTGl5WijsZfvOmPI+ofBc/pGwT1rKtGc7c
A3/n/dbP3KiJbjwgCxXkdOIbkYxzrzK5cw35efgznMTlvwbjkhunlEy5Mz+613Y8WCl758vdSd7y
M3jSJmNNwQavynIZbTDHe4mbdzZe+I7Nok0Zzh+RPQxdQVKggwV92vGUeLIl7QKFbr9tdrxvl0K7
yfPHzJcsL3IF8yg2fkW/cNpwHzwRMb8aprtUXmYdhdnn1g0LwsTrd8eDNllg58rpwyP33Ew4K+7S
8VLeDNkrXrG6WYhWZpZTtfGb7GkSnn68wt2jxVDkLZDsgAxjmcCM9d9KtG3LGvGDnlQb3jB5q6Vg
em3EQiQUo8JVGBZwVX1KDGBJkuk24glpTdiBQuMMbW4IJAwmaHR2uWCsS1k3hhoQsdtoaHBYVCE5
MtcDRZvM541+06X1+Y0RUEGXt1/DtT2wiuvU0+YU/pYx/k+1bklYLShONSZ3hPn+ODP8FqfufO++
/3tKcPc9//zv/6IXvLo0fhkcEPT0p9v/XkjL/xJVS4FhqhorGV/5aWIH+Aej2GrxXSk9TBD+0/tj
SKDozDLWBp+sGNhR/lNM8yUGHGss3zptw0yi/J3eHxaUvxTTvz50mpo/zw+Koq3yoh9Wqk/yrSYo
xEyrpyg1fb0RVh7O8p6oEd4IbDN225gN1OH01o7Zk6XMN7mP1iCRjkI4qx5FwbqaeBB1NcN6GAC4
0lrzzmozyWn1jl5L/RGzFmpV9SgnwWMCN7jW2uESmspTOHDQnyVxFN2VFvsVYJivl+YYSSAEgsnJ
usmJCIxLECUoSWcvKoJ2sjFj0o+l0PimV/rTJEaTrUnDLg6SS1FPTiWY13DtK4Gnrlsw9fK9FJ/j
UNwW80cJoVKUyP0mtDM3PFqfTllqTCpGwP7TAT4hRfGAJwoZ9kgMMQbHiXNGJqNyhbUp5F9Zs7iF
yP4Bd2Ec0TMivtUl3cZLhbrtTYHgkNTTJkuq3RLiZgBRolPik5nSZvFjKAabqSztrrqfe6hfVeCB
Nr3lhX5Z5GJrJepR0KRzXYI7Kh5Goz9awvyuSAZBBcFODYT7QI+ueZCcBHYlE0VAyk4Ec7z+Ii1z
s8YC6zHmXe2L3IZd1oZuRfzMSA+NjquVtZs+e1QC+l0BCGSWN6NRtwJNtjJQT1ZPmFJKjzVVvHH4
ilnpx4yc1la7BKN+bUTttYwAmVuCuOnyhaz0xNMG6uSFnlhr+UJZTza2bjvoy/2QiwA/B9wwRkBk
fQqspmvv5JCSt8MaECR8AloJu1F1DobEq1hdmfXwTUQQ9fF5yNmahWSwJ3ZXM6K9JKtoIAlZdWop
Af+OjC3rX8JljQz5DCtGP0S6nqMovISxdIuqyeutCBOGwquiTIc+QbGXd+40wSFtpXdRqz5aI+7/
yXNTfKUqQ0oS4gCKgUn635c/FEx/Xv7+cvvflz8R6cFKTYNjtpKUVlXC7xoqegnQ1EgbAdxIU0D6
SbCwIpkUhh4rb3qdmfzUSzD/RUodTldwwCzEf3P5UzQW0l/Hp78+df1Py18dpXoUtQF9Z6vAhVXJ
hZsN+HIm4z0RR2qIdJ+g9e9iroCJ/jKNwIDwSX4G+Ebarek98LB9r3IKLAcI470jtsOdgsdtmMxd
iTtbQAANMdJEilREpo/x3gmxoYYzwRKKiVMFuFkU4lUBNEuGombQ4quIleC43g+h35FFlhT5pU4q
L2+yHXe/nTlChJjtR6wSM1FcA+FBWLltK0eK2dLTq9GAko3WjwRy0HVV6RiHWgU3KXWytbYBSFMh
SQ4S7BthaQM9CxYKJ8mZc2p1eo5L/xzjdW3jYJOTkxfn8gs9F9CyMbwCgGlyTzrz1yS9W0tEwCbh
yCrjEKa3GlY6RBf8KH5cLSMHWvBD7GsJV5U1OfV8xTfOCSB1rc44B3IDAOD7kt2Hffk+sUguMgum
oG+EfMCvhbiU74buvhjzxVTPKvMdhSCvVsichO5IpH8lAjMrc0Y8CzMqzIBLcqxMUnkbwaWOh8RW
owAhlrSJkfIPJHG1cfeQjPlFEt5qLPgj7Hd9NlzwnXdhgoEmF9amDIeipC9dhAbnJax8QebOIE1N
puksikqxOG6J7GFnYeIKRFpLtjFS35g3Dt+tn5EeBl2ePvBDqTPDSO/VDkcPjijY1PR5WjuQ9Iuk
kfpWlX4NBLpqCU5K+31aJd87rYFUDEZmWSVk8ASEr2V61cPZyUPE2haGmXG5C0lZTUCH1hMhraS5
jahezVD4NgX8JLSwU/6Kps4Z8FV1HOritz5e7uJF8Os0cAQJxEFER1Wny8qevub10XsaxoANgzN5
A1cmvqWAyQd12IUheRls8kNDgwZJQSm8N+h5dK12Mro7avypTBYKPjLYFM3PrJE8iNkOg8uMlaFh
QUa0skmLu5lGREV8dIclacE1pTwU8XtQfeZR+BAMh0g9RQNCxvgQln4qfFbtaE/J95G2x6C+RfG9
PCKnPwRkSY/jrhDTTaQ8pMcmIMBxtEiZfGVwbxcphNCxco1a3YZW4oZLycw/dCSU3ma/09vBt/Ln
SUYUB0B6TVsdMbp1spPy1qj1ti2E5xrxA6FxROEFXshQXRmjnaY/aLwGo0AzjjBH7CVpR/ivWA10
7fjAdkQxqIwJZpXZ59vYqH4hMo0IlW0hNg+FQB4cscPQLz7ajo6PQAtmCMXWUWJdOwYEP6LmE4l7
MbFbhZFLYqEKbHY452N+r9WPg0nybJgbgLzmbjuPZBw3UaEd4kimBIsZguWwH7DMKuErWxwaKJV6
FMVjLtFLqi9xLxUvuqWrhykaXuMsqe+rInzucIj04fTRROZXkCr7TsP4V7dJDxdieR7AkQ8xgWio
Ov1B1A2vaxPtWW8L477QCGWjlL4X2gtkRA4VJPbSO6uT0yTFh2WuH0ZsneQf8fpmSip/pYZYpraW
9KotRHl5lIb1Uy8QB1a6/+AmvmFC/0EmpItIBFBu/O+br6gznf/l7PHX2/+++cr/slADktuw7ry/
9PHXrFjZYl9exX8/CM1/KJcUJIvGerL4IWyiuf7vNv5qOlcV9mls55aGlvBvwZshVP956+WBr953
Poa8AD9UiT+fPNQ5zMyCSnFrJtslae1eE6kwaSq5kLrG63yv3iXFo0IuT/ppkD2TVqnbSgT23cvG
hjl8MRrEd56NrRpv517YtNoKPfkyvwd4YZ+aBxGv7Fv6qLypn0vBcA2Am74hbADEyhr9J93pOHDY
60N6f7v5jpNHON6yVPIzRDN7RqBzhV6a2O9zm53VADzMPsoxLd+33zK4fg0PJ4aGouAeUWocpKRb
ltVDUD3kQHH6/dQ89eZ70tytdX74EOtPerfTF046N2G+tvU+oX1kXUMgytU2l92xv7OWbz3oDPVA
NCj9c3qT8WPVcJXRg8S0IAE3jM8IdmL6FJ5sbpZHzbIJhAn8RtmLCovLNTff1ABzL0TleMDkt51m
KPCvRvxcfytRBPXGJsMOOMR3rX4lGLq//vRxvPwmPPt/RU9AZ0xE5X//F+SC/+Ft/enz/OeKio/c
v4MH++kMkhqCpPkp4r7nTxpTt9H+Blwf+fBKcstBL5onnaFJxs65JKTydooTT+fSvFNPsegrzT5V
8cHfsKkIVEJ5FcOiaYjzaW2tuGo9fhBczG6Aj70LHfW1Wh7AKTeeaSPwOAHNvGtg4o1XUs1JikN/
5VjbAW15s7Yy+dCE09mSX3OdcBnuUnUPywTqL3zv03SvUEgAOwRjtAQ7PPsSZG499gb8/eOCd32L
CN4iC8nCR0rozFY5hvkO8LbKjqqAtm59jDwlxlDeGHsqHspuFeEd1EcDpaYXPLXd4xS/zZnL/ciZ
D2gzVzndKd6wA4TEkZeDqbhfvxgRVXofN5Yr2P7xjiABpP10fp4DzU5PvbCFZ2jd4+8phxO+sIH5
1WpY/eFOFSUEZd/NggOsnZHbLnkz0Fq7eJYv2dv8kuCR3IwveNum6KElxQq7jAJF8sz4GpQlHcsE
md2INJ6toMVWnczbEbYlmIg1LD46kkSCzzTl+AtwusgcUzxa5XOFtC1EyiHzWiEN3CBV4/TG1QQi
u8ab2GC/rfEEpcFp1Qkmh0z9Vhs7s2gOQzY8pMoznI7jGD8l+n5s3MdVttCfENUEGSGr7Bp17UfJ
4apdohNzp/IyfSegqfoUsPajahfP05V8tCuVQ7U8ysPeZOQlmM4sRV7c3lE/uzomA1Qv8XUJjolx
48heWvTMDgY6uGRNxFyRmDTPYp96aJhcnhq+G0wJHJcX3MH3+AnVZl/SJK+oVN/aFy2+kgdCYh+N
hwYNoD2BrOmx/CX7rvvIsKPXyItJQ/PNnJKUd1CgoiR2Pn1WsVy7mGgFXkkM+jF1OMbdLXmlFfR2
DEhYf1wM8YpHSoIk9/Y/eLsENUQUgSWC48Z+o/wfZ1VR58T3y3b519v/vl1K/yKaQFZ0kNq/74p/
nFUZQ9OoX7mAKPJWPsofGyZUF06wEJZUg8ghunh/bJgSN+Lky95umpxx/06rTl8BUn86q/7y1C2e
+s8bZmSVg1IYIrvlgjQO1eapDJYAZG7F9TRkjqwkqF/qjUwsT2WkqLNo2XwPOjfEVjl7lHBz7+u9
L41OkTtdd+SqLgfYSSrOYr/vXL3fD6ZDTFeweIlK9jFhA4qfK1z/LhY7Jg4KWE6PqfSANQQo3kZr
CHtbnsyt9pkc2gfsiibKmHgbopYHVcts9QTydi8G+0Q8IRWime0MhxBZSM0FfRfvez9i5bSmg9Ye
+HbLcGZoIg+ih11VQ2TXuSqTPeILtPSYgfjALHzgfJ1tutZjg3UWX+e5nlREtynTXYIVNwx62REK
r0DGxJ/O29qby/b1DWLKAeRBIT+WZIMmd5+J85vZPxpBS8nUFMfqJXfJymbbWkBf0JyLN912/G5w
Ptv25WfdvYnytdhFYY6XYDvxDY9S71hNvTGM74P21jD3qr0Fzg0HzE2Kc3FoGDlrR2O7sgRKe9rO
UBhkp2m3+ujkC/jTDSf3NR8m9MngNpOdhX2ehlnjxOnd8MabQ8qgl6d8yTeTgyh8Rcw4X8rH8Nqe
WibL86m9crxy4SLb8b7211+ZtwJ8VtM+CBIwJrPLJMphHrxquljZX+nebkY/cQCyA0iJd7jEw3ZX
Ca4m+RJj231X+IYvfkPjbDLmF09BRXRotg1Ht2GazNAafgiTS6zB7RlxFnLs+DDdx0ftymgJxZt6
6Dj1HwfzNQ1vQHMNnthVu0ZP1mOS3BhycdPuMDzXJwlgSMU+QeDOovqxdMhDV455vRQW/c7WydIM
nzjkJ8Hr9MEEzV620Vl9SZ4Rp5P98IW7LPnKqW44gbZ4kxmSilGNLFU8gDimtms5hZSXAkVhKyaA
q0coQuOWKe80fwimF0GSyJFWxKkDFng7aK4U+R0pmqZbSHx4XJStpY89S5eAdmNo8drURW1Q4gV3
MVQhpcN+nT4Cch69+RIAVhg3EiarcIN7CluxeB49dfJywdcfoL1ExCnyB7Kughl/4hblXmoLD8KD
AnQzYjfpTmRIAGAOqBna+WCk6El5tCLyv2ATfWttWgB5aO7lmDCcVfSHDTx4srRTyIWiQjbWlotW
QYIFLRCZXi2gmqRujl2SLZhdwnUWzZM0kFbb8Q4hoQeroks3WrRekmD8Z3RI2CIih9RTlI4UDf2o
DfE7yGrmnYwmY0nwIsoC6pIKiw5MDPjIIC6lfItQX4Ury2g2vK+X7M2Sy0+VzUxrSBPta2xoMRSI
4ikt8w+a/fd9VD5kDVXs8l7GorCpHhvz2EfMUVOgHjVmcPMyYmGEydYo3al4t1CyZvslDe1IzB2B
4r7c11fayOjwxMYzhB+/W8uT80UCALW0MJ8sxMpHRg9gk8RVa5EYT0ZIrwdeFZ8wer9CRYrjs6Ed
Za54LT+W4ytK3PRLbirWBWGh48WJOlomze1M5tn0+cLWBx1zpnMe1K4U7oglJAuxqnAfHBmlX5FC
YNdFDsMqCnOATGx6SvSg8nfaP33lTJNNxKJKfgpGcFR+De57Bws3pOh380CE4pUpJwPQ3txkr8zL
ufA+u0dCVgEfmJ4CeXoBlQOBwsHv2WlOXbsiTmQ59nit9FPOG2OQulRiqifYo8BXfWPVgwNXO/JJ
8JC4SDcqDvImgyNRct1wkMTPOod/BdiKb0r0ckvVXM+7NdzcVF4pvxcAMKJvVIcJiGt8ESKyTZ0Z
eouyA/HsA253xRO9A6n1p8DHuuWbryFIjacaPWKyjyAXbciTJLLmHujfUfVwPork8Sybx+IVisPg
8fjQMG6MTS6NnkFTIbzHsxkMqm0ANKDfOL0IyLWWmFOjx7sQT5//8FoI/KOlqTTFOZL/dFb7n8aW
BhXDX2qhX2//Ry209gzIlfrNTPir0ZCSBuYwp3eiobAz/FILWQoqQPzPnPd/2KJ/qoU4K+IxxNOw
uqKlv1MLaT+AdL/YntYy7o+HTi/il1ooEyM5L2c52QLzThiHByek4MlR2kUnKByN6QoFeX7bdsYE
tRGflKP+SZr9N0RhmHytVd3e4CRC0b5KAlmR2CFgl+sbKSDCh6y98CDrntaBFXNnZb9a8qieNJSv
EAsQjynHBj6UTEQg8Aa/631ZI8jYJoYam0K9KdfqS6IMWyjHWnCpvlUjlGuaZq8lxamglplw8NTB
uRISGSlcbUefSOBdubvUnDpoo14Ejnt5RIGSRwJXsm7THoSoBQVKyz29H1u/bUF1pRmEmI0HoQcl
EidV+Zw8082GKAlfg+NkZTmCGrpDewGSBgdzwwCWXQPMHk7qZx3VsUxQk/yR9F4QA9LzA04f0SXW
j7XgT/clm1a/6TYXaCprMJO4I+8g17fzBzM8RqLhhzjfOM6Ywr75jlDE7bRnVIkgYJb7MrnMxjFw
6hHUEpSC70Z/CXigWAJcoaQz7bBlpWBUXkhCWFvnWKouCYqYJRvcvlW9gswk/Rop26hfwe1EdEM8
s5BWZ15dP7QVAkDlmnOQIhtZuwf0QkVQcGy2BHTCX0OD7D4l9mCRSVbmDUaiM7PNCVOF5MPCouFI
VviN4+5cWvDNkGkpaCu7wIvNlcK8yws7GDYmh16OeLRp7YpUBsEOIF61Aw0BNG+kFeg6IihOuRbC
8IvC5ivUOAa0k2A9QZTBvGZLbNMZ27VZu2jAv6Vs4qN4XNDJs7FTlhx68UFo/Wq4Td3JYp+gDGgS
BknUseW+QeVCBjjYKtK/r903/tAeMsEnSFT1RWCFsG4O9IBFOH8TdHl7utAxiXfJI22yqKK9bdeV
O4CsYk91RSDMpFFIXkgPwEdCOoxuLr2hz2nHi6ZTdrumB5SMQRElUeFDbDGZkXwQyIiPHqllDxZ5
Falwpr9ve8iu+S7BVC4elrXmSjL9NtcVF2Rhy6/cA9JbBJzyid00flZewvO8hcdD0FQcvNI3KfVH
TeegbDdY7HmhtuC3I+kwqz5H93JtHvjitjr1z+2Bc/lITPVwq75136xb9CA0u2AGTXLrzddYOEbH
Kj7S4YrvrJt+Wm6AMmL9iuGnOXNTbYcL2ZNpgKA4HdzSSCDonKYAVeYzQ6j0O8C+3m+OVURwti9B
FxN3OP7mveYYjgCmbfBNSubhNe95oCD2bclmUXB+0Nn4L3mDLcpJPTD//Ir26He4GOgSXqdTd2r4
JVyKR+slxNcofBnJwUj8DJWoF94SddO/Reldh3zPpDZyTWNr0gf9EZuNcoHkbE78c8O1viVnQgeZ
BLNkJabo2wDBHfHRCQcNVLb5ZZbvs9obwFPWb0X3fWLoh6Cxf5wJbh4Zp2OB9lMoYcH3QP2Q0m3x
PXxpt1gKAHqxrMFiganlWk80RbAcso/T8chcFMbOx5LcFeM1lx8T50E69I/NLd+XVIuPq8xPpgzJ
SYTO0WTh8kDUhYJRKe3SOGnIrFl5vkWLR1pnc9GOP4YLz51x4EIZ0TelEOJLR1Bs7ElPMIOmyGUN
V9uDRmC4J/MZiPZmfzdwZhR2/cH45yr+kfwoCtliCpxa+M2WTIvgf3E4I2dic/5px/+fbv/Tji9L
omTQV8GwjPro50k9mzZoAVP/TcT0R/dDNv+FZVAGkfJvs8Avk3pRxeqMT1GjkmCQ/3d2fBo8v3Y/
/vzQ/7zjK4YMeIeZlr826gmDqfAys0Z+715YkrbDfX9Zw70zdwAkGHrlgO/IdOtnSP9Y/Decx2n3
J9lLFz6a9b3V3whQ3a6nytDpYPiR8tewOXLRs9m1zoX6N6U7iBHQeTO2OTA2/GWH5AxCEMPsjLdm
z1Zm+upe+wZSKO2PeIM8zbP4pR3h11JNWOqmjUVyxOTN3R0ngFem0FA85htK2YilaBickutlO7PO
YgNYfbun4iQexIO8XTW0pseGdazu6p3xxdn8LucMC3IfceCmvcwP48fcuJzNIDNy+aZHobxT6GLG
R3b+pdhWCPuGE6Qss3c4WlPejMF2YOy7gecJqnQ6s5vfGBPYISCyvuVssKHQL3SPRnlHwPw3+ub4
vGYIKjekxA6aImfcrqsVCt1DcG9ctF27jXzTnV4ItlQ+BA+BkU8wz4pbsJEDBQY5sZwgXOa9LFfr
QqHXkdOXJ8S0sf/js/0P1RuqpPbRLRQpYRn5/V8zP5OL4afLmDHhX27/x2VMkqAqYdFZq+wfSsU/
mpiKyJJB3xQWyG/zwD+8xojq1HUgp2DtkVaBz78Ld1DxOnwQmphobf621xjb8q+X8Z8fuvUn846U
FFZRpKLgg+bTEq+sPVQILh8ROuHZrjiST3qSr3pE8/tTwJu/0S1XztyFCQsxgkm1VQ7Y6e2sIIJ9
dAusMBHOsEQLzmN0mwjsG1cGHc22fNOcxeKtzd6lvHCb8aIidEYpPOCY6FKKqvSjqpaz1t3Uyuu1
GwHtemmg2NMcplVZ9zzIbgRYUXXyE3BkftP2aVcPhR7u2vRdngJbHANnclLzoFK7uDUML8F+awRy
Ow1szMieJRtAA7KZVwGNf3WbW+U9xw/Qp+ScY+A0kw9rZkJUYB3oWvUpkTb9SUEjT54b0Lnmph3w
lg5ska/mRTTdMN4q6WqaKCe3Ni5AS8TS1tGrpD5kZ/S/9VU7KMfx+/CwDuTfOoHoEXC5WEo3hDTP
JB0BE8OgnZH7IGOL2XF3LIKIKLnTiPbV4otABBGLY9V+FE/GWw5q+XV9r2ha4H6g7DDXf0/UMRBU
75MocSp4hTUwWosya5v0h9nAc7QwmlMDE84z2a55sn8TLA85vA4XseddMPGQmCMhZa8qlkyztOtr
Yi6wTuhmgVgmDJxp1VERHvr62N0ShQ4Lix8pAG5USei0nIamt/WaM/RSUyQ4OyO4yglDMR4pUQDm
vlKIr7gZ2pYxXEBbdN8AIWyChnHeuw62KSJRTVs+a+O50x4Rhk7h69A/97DLp1Mjv/MXhjwyG8Wh
ku+15YkdoxgOs3nhd9HsCRnX472i+5O2RckYhU5KYphByNsu54BUeyBmBSa0D9Q3zQtnNAuDBs8i
8KCOE72XjT7Dn8zaTzysGign8v/YI7V9WjBgO1JqNzdGiY3OJWCcQki7/UR4G9Ir8HbSu1KcFPO1
h5E6XDD4ZChp4+3AO1NsWlqOBO2uZk2bhD2jdjkRjTLmrDWl/SvJAanSpJJMzPKu2DvjJYKGiIth
wdzdS08Tmw6Tuzl4lZrjcrdOGivMQALJXOmBHuWb0W34dC5vERqYSfNr/QKTB1lm+9pfQWpBTCa1
77BsrWdj9EpbsGHhirZwbzIygGIrONOhLb0J7zsa9jsV9tT3/KQLTwSh6R8E1YkAG0Ecz47QexUK
X9nLMRaUPk6JgLkll0/9aGjnitMdCpSMMrS/Tw/FmVasdFC2+mfHgIB3zebHN+fymtbf13617NbE
RPt4niJGnmz4O+uWPSjb5NapO42vUdTTYkrcctiCUNWdmSQ/cobptufJUfOLdKu3Lr1x3XqsdGzK
G5HGZ43sWKWdJZ3G8FWo7pkzeKKD1lhV7Jf97UuT6MEKV5w1mpTSQUfeJIf3JWaEnFj6mhAvQmfq
8psKtpEAXoveoMmbTMEc2a5pPapKcyyZesTCYybv6mKwO+aGlbe0XHMvWrYfwJlZnPpkzY2WFVPg
ElnjzA+VQCr0pNnak5UeJvDrsj59Tbp5HuKvKaXDPtzFsWti9BNraxOMoN53RnzSWyRdviGfCBLm
CBYWRPqMb3aSH/am8ILLaLUqCEa1bU6GMtgad5xds9LrZWWTQuY00svUj45mHi3MWxMWX3BIPJCt
On1pOchaJstn1t2jDo1Zbw6T8C510Ca22kMYoqZiBUwGDQ3EORsfQtnN9Vch5YNb+50KWBentlJm
24XZEi8hRO9mAWoGmzuH54kXzRQ+kRQPCm0droQcATsKdKwyXly2nkLLf8x00E7LYVycZBU/d4ce
XRuAzYSxkfgtxDdWM4zBJjGnZ1te7jhxHaNacmMuSWUgbg+D1VxyWEKXt6u+uAZoLaBAI1Sp3alg
X14kd7gX9spV38wXEcPoEdnytwGLEnpwoBEiH1EULB6dglb84Wt6rW/9mS6xCo95NZMW++q+TKmc
yuYGCh0VAs1/9Zak/pegbCz6+mBnN5G4RWBtvXJmJIoweA9JikT2SbIz5h/06ccJqAzXbo9hUvsI
PjFLzuyzsi0bi80h84Pwk3XsIzAjK1z2k910154xUHHktz8shz3ADTkOslnY7TZwKz9/t/b1y8Rl
iu8Q/keCY2kro0pE9O2xBtvCuUDK/SxVw7ZvbzkPItnwvKeerE+/Sw9hvcdlgypUstyysxWEgRDB
TSfpvC6AJR7bhfoi5Lywo9M7xGs/EOe1N7eM91GqSovdqQ+W2G9yOs8nbbyfhXoHsMtO9kJ6gCUw
0dJon3V9nzE0w684vpS4dVLprVhjozwVl595STJHgYtHndGm2IzcvDjV1bZD00npHyX+jK6cGU6D
H7SSvUE+4E6bWhAYERJWPkGGFu9EwjnXfvtb89iqW2IOL4KXpY6QEEF/K9ujSbhgc4I8kLkZLIIB
sjhqW8mN6NakzOla7v6hj70CUD6axuCpZDHQE2fkExuDdDBifWdpz8F8hPJtYX/rp6cS+5MItJe7
o80D708hMbybT4OFYTBBsbytso8a73wBS+hQWe6IyiW/WKO71KunTzZeu6x06+Vd0u6q4YjvQWex
4dpC20EbHjoCPkWenj2xkBZ2qexCOkEkKqsnM7+jffGZPPL5jFJ/so5hcU29fH7C/dAjewKTYL/V
m1d+wz3dvDLmoIffAsrAy7ShgZi/SOP4Tz64yyIRMJKoKJq6ltr/x8EdDd4vFT8B4X+5/e8VP7I8
EYMReYTgxlZJ/B8Hd74EFNBCAsjPXE8D/2nVyzq3os6nkc85ZDUS/VHx6/9azUyoA2n/K+ABrL9z
cEfp8GvF/6eHjp7/11a9keDRGcuwJ0923iRYe6o3sk2Seldowzsn03pP6QRKz21JKxjvVZDUfr11
SD+rGczBI1bRX49++owywOqvUsW0kQElKZnpRnswbe2B/l73QlCgq7pC62A/PtBuJKOTjnvt6N+R
zlkP8j1FX38vUa9D+MMG03lT6v1/7s5rt3F0a9M3NGwwB2AwB6JI5WhZtnVCODKLOV79PKz911To
jRr0aQNut0uRokh+a73rDdlbOBywndlDr5l67+W9JyAY6haunJjJHO5Ia++48MBDk3ej4uAODAkH
SYn3yVtkS+mCY9/QO/ojciFaZUj1zX3NXf4z2aEHbiSOlQ2igxEgfjFt40UqrIi4HBCUYXPpxEyZ
J3YnjfmoAaaBklZ64BXEG034RIMU98Z2+g9f9o+C8xiHfaIUvE/pwmpYQx7gQ4oZw0xsCmbB1tsA
O7csSEznG7JMeXFh3LAlwka89Y2Dwp33Qc8v4aICRaBfRaTK8qXI1SubKd6GtfIe7lGrAmE+ZK7O
pWx6JOM5/JRIFcBfbSlML/jtuo9q/4yLAIPneMOvCBSdqScbktjWZiA4Fvmi+TrcuCN6nlKbiWCg
WN7EG/MzgYB10WmTXI6ANsR0TYF6j+jCxYJfZ9IPQk/HtfEKyHbFWtwdvGtzwkJq+uDMyW/qhATx
ThDzp2oZ6CXYli/YGUzMD/P1LXmHct8tuKFimgxQPWtO2E/xjFiDkIhlHQ4muc2DEE/wQbwr26vb
5iul+7A3Wl6Yal7bJu9dOyeNfuL0Rc8q/Dg+bbHmAXkxx8h5LybwWJoTD+ajjys2blwhsSdvCJof
f9OEXnTc3nkQU4opSBr2oEX2kPnKi3D5jjdQ0tCCzbifrGrYiqx05FKzO6rxhamP0h/j+3XYa1t2
H8nXc88lrjNdMs+3Xsd9gPk4ohJhBpkc+gFxEyOVICkNd1u9hOQVqpvqBQFzK6412lvm9ahYOMbD
+6PmxMJC8N3hg4EDCxu68P7MQ/uzhw338U4HNUs2sAcoiIXP6TndmkmIvhWp9c1qIZaIrcCnD9VL
d+yOKbJooqyhN5j1pcGPk5O1P9d3+iUHz3z5wkaWhmu9UjfJF0hzwjVeaUjIGEN1hw6Hq4dsznx3
3DWHAE8vBlQo8Q7mhnLU42vhG5vXp7szJo5mOUhNdJbiebnuld2xQXTCTP+Vz5ZyEkGDWsJJUc41
zc80vTK1bWiz+cLVql12UFfwaZ/17bhiK9knbBcp3TyPaE8COy6kWBv3uWFTIs562DvFDswufddZ
k20K5OFBlEmpqajUQPJA9dg4thIR4RzJ0AkiqvHJne0pX/cYgjyOO7laSLu+cCe64dz6TDGmWvCh
cGEu196mcLsDZMr+Ju3aU/zeLwBHUAVzn45ycWd8tidzyeeGiMgLwUg0Pv+DJ+Ly6LBJNBDtyaCq
mvHWvBCqwmSPrw87OnDS1CXwbWlAeqZtwiU9kvFFglKEE9NRsGxpny8Tkrgz+MZbf3Fn+UYVvwGK
WEocs/T2GK8vPO89FiZ2C4Rou/lIgFydaZSHTSSK+UlEP6eA2N/Ffy+jf1rwIBFihWNBT9QA1P8M
0qvGr+jef3v+T2s98WoyQN200E865e/gnviXjsUg2J+u6kQ+Tjrj7+Ce/hfpwhKSYTiz357zHdrT
iaWjBMCqXJFR8Jn/CKH/2zIPlKkhVoY0ADGAMufXZT4rcOywsKgFMYM3HAROAxd2NOmPMEyAAOOP
3uynHfVfuOYTfeFnQuTfdtS0ST95n3ryPWuase8WLZzsucK7zyJFEKEHppmy72TJlTPtTQ+MJWqa
fdF0MmhKzESgEsdYmVVS6wm22qmU5EYcd1fBgsToaw8hlj9KCi1IrwHarCaEY9hJF9EMbr2kd6Q7
KLgG6fxXaqBvqYA7Ng5IeM8IYoO2/74Q4Sflhn93paLGMcjT8MfxIr+4ZjVLKLiYiaFHQrFAXoQa
CHiw4RRm+Ld733g0okUDDkCuZef0Akm1H6IfDwxNlVjLN0aLR2jIwYHXS4lI0PfuT/0wqrhUKAR3
hF26QbXo9mK7i02mJE1aPWVqBRwYoacbOpzB06jjyurVxMmkkZHZUmMRiVXBvpcb45p6Rjo3pwyU
USBxaFAD7d/tCqoqIOAc2kRkmxPb5Q8TN84/DsJfoXpOhl+f//1kxhVURNs/eY5yCv5iDcBdjAWg
9fy/vMjvJzPWn7BrFNLARUp7AiN/1O0WVgNTsY8wlunCP6TYYFb+69kFUv/zllvSb3W7bwlm1Pql
Cb1lAhLUm7DEMs5YSUA02IMWxJ1BSOGeZj1J8ezoHcxZfaRwQzmKLQW/c0JRk40AJIxEx0KnOt3I
D3/wFNwr8Lmw4ulvbuQPHw4Izk+KtjQ/uasqXP0TkDrRV5G+Mhj9LYISivK65qeh3Nx0ykbxt3jw
avFBjhemvwqMnbK84GLU4Z9y1ah+Gw8x33AZNMNt8znDkU+VaitYQ6uJoKlYJ7yBuN8DO71LZzjE
bsaqKcE7e7kPV5WbkfsDekpwCtcm7N8O1ucOJ6TEDSOG8PnWw85HX/CSvXWa9LyxtcWAQwEZIFBQ
fktvUGZzqM/4+XerLl7cDybRKODecuwo2eqeL/kbj0VA4JrG3nJHQLZmXEJUktct+VsxSeGz9LVz
VFQtR3Cr7lq9SjKADgqFM56McItR2hy+KZ+QzZO7t0dHLL7KdjI5CJ+wKuc3LLq6XhIOBFjn7yzR
RmIUPuov5sp76Tcwel3/lAZr+K49mVvA+WCiwVxw0kW58eBb2ETFQdsVcRP46qmPdAcqkUcp18l7
Ug0QLWX+UoS+AQO3dVqIUKQ9Zvd5iZuAXan7TDhDvi7JdzTtcoWBEmhUs6ccVihUl+GwhK5JiDq1
6bFjX0h7eDdoQJGteC8F4NlNODexq1MEG5PXGKQWMifX7dLCgFJft5tIW/i4KEFGuM8lqOrSvKuu
opPfbyVsRJymZ/mRuRDjYBwlgnZ0ijq/UbjKwNKhC7Bcw97Zmy/xo3Rf8Td1EmMfIhRgpmvlQ9gt
LX2Nb1ZAHhfRPrg5wSdRUbdOPyQocL1Oc7I3jl3s4MPdGmsrdNGLNFhNYpiFaNj2W/x19UH1bKHH
YhZckvAa8CIOHTc5VDvlafBXjFgMeNqERtrRNQCLJxoLJGUr3Kyd+TBYM5D04T3LZsx7E2kB+ojf
dPDKLx82G002Ab+aK5qP0evwLL/3w0z2XysDUsish6SC9wxmUmz9BA3NyP3FgCfGMSemYkcdtoUS
VDAv6lyhWwW4c3kXuFcYR1LjuaHAMHmNv47Jl8JUrJ+hhm6016pDkMYBgr5OmyNIqHxIdZNPpMgV
oY4XvnAZijVv54Fug30+AXbiBckbYu/I5pj9F/dgSoPXT4pt7yOvjBckN7fDRa054rUVjNkRtknq
Ftg4wZ0tu0NeuJV1k8aFEKPlfdTAmQnKLIm0sPEQW+cd6q5nKDtit+8emubB7Fxu12NAQXgukUMs
XDucFO2BrWYhbB58Iqful5Yam7Zc/LLu78Ekvkv3LRSbtJAXbbmVzZ0IWyxgnFUFkMdsEyPU1QgI
32nSQ6WlR+UxjN1Sh49kIsEowo0pzrEBcUOPbFfqeQ9CduGmWv8slsNXhucGZj8mKOvQrsMQwllA
D7agoWgma6oIFgzN97lbNatgk5+lKws5PDHJgQwgpzY8w/RFeTWuk5nVeINVQxOClyprP20T76Uv
rANZQyDAOn12hRlKiUEoLx8HMNXJIpI/dekEGWqI10u8qmd+/SBJzxXX5IDZm4uH+0PgTICw6WKi
hRz7MXX5LpP18NQJdhgRFNi61sM9RWE3a+FCNd0sw1hYeOAfwrO5UEIRQgAjSvhofM0bPKXbRe66
0sY7RsI8vvVvir42ZL7BLZ4e3odfzDIyNQn/ZeaJSeojN5idzWlRVk+MuHS4RWsZ4Z3bpsG2L9Vd
7ONQCxisvjYdflC+bbY3xiuKS1NWUbgtFDJkH4cHLVzy5SBeCxMs6paZq2QhB8UDrASaz1F5ru54
5zGYy07wzUgyBkaCWCcQDvwUFm+woAFncHxRZpvliUOc6SBpUElOqyqfM3SqxXR1Jf+mzs2F9iqL
NqAVEFbhYVTdvd/vWz93WPedDmiCIXWuoT7/unf/KY7/nXQIRMBUQfiPG7COZYVK5E811rfm5pca
6+/P/15jaX9BmALEhMCgGbRMvPT3jolQbjzcVQnXJ0xNNesHqwmls6Ybmm4ZsJp0ksB/FFncRW+D
AxN3G998S/4JOPqN7fALjfnXLVcn0tNPHUztF2pf6z6527q/DGnRoNvhz7AYYDB7TS3szEIR1kKt
fWWNgh04c+ZBKXFGr896hBeAlqe231ysHrhoSECjmk1BxTUm47HRmZT45TGS4D7WjG3JbxrHlulY
6yOtBSNDL3o3SMfM8oARYBtS7810JbwkFd2BpRuPBh6oSfOBC8A2VLStGj5KhPkJcb/tBmGpCckq
xf7BF8CH4gFXywAKp+XZUQArUtN2kkxiHvt9A8/V1gOEqR2GemWzzmvJmEnB+BxXAHURdiO1uIwy
Bjtc1eUi3/U4lriBghJgbNepmr+JKYRsMVrJMsSRiBW5Ng3mUNAmihhIN8N+NQgdP8Xd/V5xUVSY
l0tOGSKFUOoD4TKho4nDa1eOZy3OPSzr04OcEwzVsOp4JFG8fTsk/41n38RBojlVmUSrzAo46P94
9k0coF86nP/2/O9n33QeKRD14f3L3zSVP84+8AoOIZoUfhuGov44+xhNmFgJwyk0pSn1fjpnfyAW
MN2VqckBrUBK8I/Mz/AU+rXF+dumM3T5+fQL+j5vUysciCkjM9nHjYeMWt+IcD1xBP+cbMNrTw2+
aI8ilu9Ypetvd3k7Kh/YvYeh9NyOLuMI3SmWlla86SogeMY9gVutG3k4x1A64hQL0WidRs+A/tZG
qy8ByCSBfw0k96rAX2BFMvKygm9AgcB8zkEhDSOIiZ5HlNBNra/jqq1e+BFSDLtcZT7cpEudzUAL
rWo7YD9gUWAzVwCFqCM4UkkNDs6pDw5LMHW6KWHyRsCCSSBu+g9fEx/weXNy2N7VPT0QLMlrZpYM
zu0jLXolK1OvXQtO/yfCKba5Ci6Wm92lFbC3WmxqhQ7Eh9rCxAUc3lhwZpNRsOF/jEmm/ETb+xxL
fNa8rRyTDaPi2cILZiXDe9V8DslHBIN+blTGj5nySIZvDNEbAbvulPgugxihtc5cSm9Eod4xuEjZ
zEjcCtlCNYdsU7He1mnvFipXuELBujNYxVzlQPJhkkcUwF2Oma/VnXTrSoTu/B4wc3g3a9QZ93Zh
JMqybPOljlxfWWYIBBrPQ5DAADmZTdm8sXcb89A2jS0aro5M6ALlljCc/e6SBfd3Il/mUnO0snmi
Lt+Jrtjjp3PWx2VUjjDqGahDuVxkuC+2/aLapitktmQD475vUqHYIb7pC1gI1PBp5ua5I0Qnf/FN
uoFSdnCNBWa20rIggJsI2Bk2xcO8CQxo6ZhcwiyRrtXLfTOKk+oPpFqGY1ZJwYuBkytECqgc48a3
zjRmJS4ZL4gQFexMP3XiYpt5Rip2P/MfGY8fC2NjZl/6WitPjbS76SNyin0FU26lQQgVsL1a1Zqj
SOWMNQa9MZUd/xYFh9i44AMNYfaukq49zK10s6DNwLF0WC6UnfB4h2WQ3AaeiWegTrdyrZ6tk/pc
vtZ7gnRftdduVWB2QA0Zr1DsW+uOYz3p52Jj08NMu+C+v59ZTajCCjvaIzHYS4UtVEhUZuVe+2or
V+AFJUfo55SxDL3nyOGuTbvAlJ/n9ZBa1S1AnUrkUbeVvrTc5uy1oYnIW2GkjYBUsbTW8HjKq/ws
P5Mg323vZ3R43vOAgL/Gy6hRKdDYOdUy5ocd0FoYOs1g1M8S8s6hj1VvQ3YIztG5d0ZxVw5EaQd4
HyGeU2UUjsg+vW0/m/Ukh2MXwYiqNmaD6rT4vb5J1v6ODVi/JmaElnRVO/K7tsCTlUPAPPgXYDpt
kW0HCMLMFRQb5/94hTqQz4FueJVts22xjV7h86BWOgV77HTW2Ra5LuZR1ondOKGhaXbwsxcpv/r+
IjftpsHQAk8+gsoImyY5cKadxjW5DbyrjjIAqaibPnCzh2P4nTgImAEuI8yFuIVU0FIc2Gq59Lea
MwXGxytpXGrEiACpnlDXLHJ9U6K6wRASNtpMW0NS5kHDO6qqr2ic3toI7Jp8kFXpZKjTzZVmEgFD
SY4Le5XYZko7zfdnmGgmMVTBaywxZx3tfGqHx3R00RsFyFNJOECQ2dpGtqmqlSIQjObEtM46chd5
5ksPsnluHoYHphHlPj5iX/RarbqVusXbbdEfxBtBIMR3S7a147BzvKdGRpK9MuiFmZ1APXukf8LX
Aa0rnZj3rNcXKbSbo/Zomud6fAwh4TCOosmol227xfqKWdWDD8uhpYl8qHsnAAmZ07nFzwmTu4lZ
eRg/9Tf4G+LGZ+7K6Eh9DOGgBBPpoj/hC+vD6jbfxsfxMwv+za2AyRBDNlT6AQPsU///wa2S/Esx
Amj5t+d/L0YkKnfGEsQQwHJmEvJTK4DzA4RplZqfkESo0T8NT6y/NCyXuBFTCCweJDboezFi/aXI
qqqKIsZN39Kb/kkroExNxc/TjL9t+lSs/NQLxKUUR10T+8vB7+9PgwwKH4+sWcR+rcYkgXPc5E5t
AH309YA7kfQQalm96UNsRsL4o2qV1RDVEGVhXHn7e/Gq+Q08o3GrBepTBKsh99Es+aMtJcpVSDCw
S8KDmAgAavV+0E9m0R8V9dYHCxzindGDOttrV0EBFzL8axvh3d5pm1I/9MKqUtAdQXAmZu6UxwE0
BOYpUQKaReO0rmvjzRCNj1JOBHAPz+0IMJGto8kphl/ZumylldWbcC78xomGAoylfJQFZSupzaYd
lFfU4ed2iM8idYppdWuTugC3KNCFKaClOWcpV01N2wo0E1kNBQFjiS64n3Qd8lZVHAnfnYtpvA28
fMaR9hKr3fuoQqstESpICWppqS4HJ221baYXT7KgzoHjb6VPT5FuBlY4wcBgTdL8bN5zsTQlotQZ
EyfJJhazB6BxGy/Ty3AvTlilzlUVRhecreQsD/kmtxKsJA3BtzBBw4Hc6AkOKmbKZBTXUR+kAeVY
EjmFENnxmK6MUpNJbc3dNjqYjbLu8oZ0Z42YA19bxZ35Uejwh5sEdqpq9svOUA9xL94KvRLIFCdP
Ajcq1+qSfkGR02JjqOZNPyvTQIeY2Qdc0vx9Vxvts+/VmNkkKz0tdmoQIM4YETniYTcKoTBDFkTd
JC/KHAoy86qNaLxwOqE/z281dWoultD+4uzFiIKTGDdwrYm09XVDRbYWQzRDBhjk7KuQnjAY6jVy
HWdsvVklMK+OOs8xcGikSd9bAjQFcGk1fLfC6iwYMWrP8pqpkOT8QHESo3S0+o4jhkpc7r0FacTq
616J6npkfY+SoltFwlMvtbeORE013Wtl8igN6SYa5WsCEj3oGHPH4cLqdGi66UtTK4wBzmAQuzzD
+ouJO+hPVG4smAuBSMFI2ISHq4nhmfNERgjT7e/EcZghyA4e433+csdSMkENJIySWwyYFgihQxYv
S9EU0Q4LAQhY7f1F5b2JoJpBp89U2LpqAN6JyYqK4aLyrYQ65W2F1xDZEMgjDVKPfEZ9zN/aAmcK
o3Vyc2CeDvcDr7xW9Ocj1pmKyCqcBCszubUFmVEahG2y0bFQW3QKqj2SSKpyWPs56zj8/dinTQiL
8a2M8icrJ5C+7t/0UndNJa7ob2S7IxByoXnpfa12YeU0lpmvEtBs3Bk/xnw0zh5eXJIGobnDbVAA
C9m0WYJX/EiK6hh5c7lCrVhUxzAIrl2VLzoTaTUEkSJSkfpfkjBfS/KwC5RoEQU60KPlhOqjXOhu
KDJXTS0mjNcCPjFpycfK0x6FSp2HCXT+sFSe0zG6YMSU/JsXQtYpi7m8LGKfi28tq8GfMDHZoG3/
BRP7+/N/LIQaQbI6tn/fInx+ZhFIf9FTQwqYYnwgE/y0EE7A12RmZJp05PgEI+f7vhByF/ABprww
BhVQMZ71f/73f8zT/2eKX/32758d5Egw/X0h/HXTf8/3GbjCebEmRMtKaTFGg5n3jKXbXJkpF7X6
9Kv9hhn6+FCtOzD58WAt8QacNdBwPzIodVNonpzu0ZF0s/LuQikLJg4U/dEUJ8Uo0JrBhGKcArGN
oZsLQ5BJN2yziUAVM9ysl+R2OnV5sFTbo7impLwa2/xZPGEfshxFV1zL0klcN8DHMKK8mTxMw58K
nyQpnw/MfaAAPWF/1C9DggO8pbnwTpBfSxdexIo+zMGxDskdZp3IVHjvp3ajHgHRcDCBdXOXa0dU
Z8WXv2+cFrri4NSrfjv599T9AmKu7kDdUx5SnAg0kiDevP5riF7AsO1gWxG48Tjwme6bdpbsZR1t
4fAmHJnnjOo0eyENwnwjEwxFAWvKIUMNzsXaTkAnrKX+mBDJtd7oj5nT2GBn4o23wiZEXLPH4TYy
Ca5wmj1ZS3kXbDOYjI2t7hhwQQ3k4aAOY+lYy2ZNjvOkIMwcsru+YDgOJ6D4JXvALudwGPN3Xneq
xGERygFXcsYhvCSEQjYA875HJIiDuBZvMBaLZUlYUzCr1pG+hNeYOfAbxQWkRzaFlx4f5IkpiWsi
r5lhtqs4kCj9Lx4wspOmRB9SZAiU+WJbv30EAP3kWbyV7vhgIPZnsgpx8xGMX751J15EhbX9bHZc
05kYfNNCTniGU1rwNkFU2Fph439hosJI4IuX5PGgHsPZfOxO3P/tV9Q+4WzIPb54irBeZOCDbKla
8Hp49soQu+IJ6RBvajLN1/UTwnbeAOdDPgH6yBQPSGTz8o1tBMu576GH6o9wPe8uMqLhNmD7VD+w
z3UOlVODDVTzaIECDR/ougSmwjcUVNWOhYn1AL0WkqDqJj/Kj+2h/xj26mt/wfMi/9DNuQ/cpNP3
V4t6Vezuh8q3a/0QqA/+ISrcoGdMXLvF7M2aEf45i/fGfWV017y1SzJ+RvI7lwYpikeRVpz0LZyt
Loq/0Wh9x3qp+Hs1tEceCKwC8RJmYjiH+IgoDMrnvZgXHOHVQsin0B0sHU2WesL+ZgOlZYg5j+tb
jkSICGiNv7ojJ4oZCBsQ0Tr7GA/YLVpR+96Jz3JvOUNNM8zwhokW81sMohLVn4eIYX1d3HV68SYI
5bYY7kxeOQz52qrnLna99qF6J+svqLZJRVRmccnGJ304CkRk1k6cHwx/F9N1r4QOdqt3NArmV6xo
DA64ajDBYZL7pfuvGrRY802K1lH9Nc14LeFJbhfdwN7fU4Sk4mOnNHbcXM1oV7r+VVyM4RbEn/Gy
NjMAmCQou9loGxa+4EW/afgGfSAvkGq7TK7RiCTCbF58w//KQwsfrs+UEa6Ar3PSMQlOUmxJ+mpw
Gjn9966aALrAzZL+LRdDIonuz6umgjHfL6vmf3v+91VT/tYIMi3CARDezkQE+j5J4i5Y/WjmYfxJ
rJK863e6jvEXqvkprMNSNBFjnJ+EtdwFl49U4G80wYn+89sq+adVEw/eiY/z0yzpb9v+G5idqfcm
14YRtOYk4Ta2LCvDTQqUaFhrRxNN3JPmnIAe+sByG5eL8DAePaAIsT+LIk1hOhuPMhfYGpuMdZUz
XDp64+vkvKvg86U/Au628p5LjnnTF+E+S9ZpCCeAsN7kxRWJbAtoIOAW+wCwEJn7dAt8ne3IrpK0
LdQTMOMYrZJmN29GOK0m+iNXPi6CLOR3+Dy4kcFhkffJs+B2rG6mDsn8AFqe31985WIdYsHxJxaH
ykIHH2GePE/X7k1/UG+8bdSs7uGiIZuqf4MiDld7onIP+/4BQkmCOZxhJ5PcQAkdKgNI1IgvLSpi
F6E/fGuegiyTm/uPsVybr/CwuS5CCMcD4KLiJSgsYJZ/A+bLF9WB/g3EjMkJrO1h3x6hcEMs967S
ZVR2Uf4gmqNtSpCP+ALiY7WKcPLkYnYmeitrTlH1JTGlgpQDzbw5Q/2GMnSPvRW0a944IkPdmjMC
AHAv1rxpe4B8jjkNzmzwEkhBNb/6+xq8F6dtGx61b1z1rXDFvNVH/g9pJ7AF2Ix28DQcJzb4wgda
lk7wwCdruilTasRIGH+Pa4CdOhLgjboMnGppBhcWW2UmUAqY3VZc6Iv03CBbXOXHdEq7u3r4LaE/
Yz0mW01FdSB9EMrGWv7WnQaGGQdxne7p86AqLXg6KDRUygtf9n1byS/dujvJeyR2bwbGrdXavwLW
7bKNcURvtqE75dgkLiFP12YAyd6OLxVKaFgI9iDPqg9LdwPtFKl4xx4xWhPA1D+jU/emvSATcRih
k8uU2yoraD77aJbRqUImC94tzVrw+FkG4SwgGmHAAuoLuA2CkLyI62VPLsHdjTaq28wnwiMVysxj
57w2Wzo3PDPN4hTAdSjnyT5tAMxx1cxfg3PjKnuC2WbZysR20KlRTCIXYclcFhfvXX0vHawQh9n4
1cxRl22EM3rAj3ird0jUll1ip9vRrlb78hTPYZ0s0XB4Dof9JgdbBuV1mezwBjpSiOVTdI2P3iZ8
8LGCZc9DoXnWPsUNzobWHOMF7zH8atDJCdJi8s8MHGEn4hO0KNO5iHFFtGrKFRh4c7dbkBjkD+XK
NF4hx4bRm9a9+/XBTA9B/hARFNmRZrtPtxW15AEHRyBvLhyhtQjI7Z6jckNU+sEXykUkf46YRmhT
tMIxM3DfvlF0wWnAzEJfljZUUiwvIaoMBoqR3vEEFyyFgNquWleYQpXiSU4PHumBc59IwtmxdvbD
vMcqI36OmVmRIdjeonW1sVakeTnluZZ3IXOxdB6JB91/CwWEDMT+djTOME+EQ+Yt8OsNqqNqHHq8
JiAM5oRYOkT6NCh6z2G2Zs52L1FYu2O/8cRljws0/DScqF5xbrwoT0QXTuL/VSIp8+aK04KrNuQO
hHY9uuLw2EnL3O0W6E9gplD2VIIjhI8M4uty1RDXxrBDnplf95f0HO+rL/yLV9j69q56EhfV2lgN
b+2pWQ3P4VGe8wmTr8iYv4x2s+1fdaqhjIOSc0dzwsrb+LQ4F4jTAYg6OIPsepPxKPMc4g+YGLxZ
zBBBWm4NtfHBI/Fu2NBzuPU2ecmCFfqTq/WOnZH1LhySrTbXDlzqnlGVbzwcjPELLRYo2SlmlreR
aQHuJrg/PzW7hBxoR1vUjrDPD4zcZsqM8pjIaP3ozcsDFzogE+iJ15Gg6GqvrslypwGo3ftKdYy3
Yg3VsyC+ZA6HAOMfMA/rUM/zOQcpXyASd9vAY+h0tz/wrbbB6+IPyKIquv0ttTP+UgxRUVNQNS1j
dzi37v3YONOrm4wuFmV0jl6yPTkpc/AccoaRq4p7NsDRtuQgwph6xDLrgtfpDnbizN8TahraMFHl
eX7p9sgr7d62TngqWTvQ1HX3on+0m8wmCgL/7uIEoj+r3yL3/tA+jCvMsu3ITuzkUztWy24gWG4m
fCjHxlZcg+PA2o8LtOr5W/YZvfsOGvc5KVOE2RPZusIGRUEMhA3s1KnRZODjTjAloKejoeElgHaW
dCt2hhcRf6g/JTci4QjO62z4VtTtIbp3V+gJuAsfkp3gnaerS74Pj8jQtYWOfYt3GTqKa+KRtHIO
JGkLj+lKx4Mq2BlHDngCTxxrganXGj34ubiIMvU2C+UZcflAuiHWSuW1/QoIh5bW+ZqARZLXH9JL
axItc+AIgH4y58pzSY/9orwJL8rxvsjm+bWZkzFi57bH11UxsGZSwiW12yZO85QvsAqDg8i3KJ+r
p/tkfoVcp1hZj6WF1HdGqLe2pvWZV0fjE3Vv0zj609jZ6ZsOK6TGBFI/ead8nu/ydZNSXVcfAnM5
GJafyF5Dc2atMlZ/KpUQqy9kfMewBvFbl9TSFYab09QmIqpxESy5fHuugU54pjn5UtgHuMQ/dcds
e3+FhzfPDmjp54B40ULP5inoAemJmINVtgyhRJgNG5LzpozBjjPL2/UKoy1u5GzUN+rT8DZ54IwM
vxcdHmWYkyKmsfHqY8uTNQ9ChVzlNICz/pg8ozQiAjslTlJ29f9U6L9AKD9DJhpDjz+VfpNdzM+j
g9pTrcQLJYuY2mqNjyDlWXQ0XObMIA2MgC3WYU7vehlgJAz9jgja+IidQwYLGhbgAjm/U80ZBK6G
VX5qirVKWujJP7D0LuV9xx7PP0U8ifI1S5VrOkAxq0FZ9tH8G2r1b6XNYN2DIACITpcx4fwjQAdt
5ldhAOX6ZP3zy/O/txriX5MYB4YZdH5jsiL/0WoAtWmoiHWMtX6nzRh/iWRmSWB6dEFwenjW90kV
jBoC+sDn8A37pvT5J62G+Rs+9/uWa78JA0ajjFOjIIS3VCKX6MBZ7iW22ksHTQlWYltszYjVkQHD
LIWEHnHdLob2IVGriyY0y6bEJrbLOpKv4L/eNUV1gwbaihYq45MqKXtLD1Y4iUKe58DFMdonkAmo
3leDbNZPwQuGMmKeMCovKvYU87EhKK9mlqQOs6JoGbRD8Qawto24QOkaHwPL/ArAIkIBn97IMneK
0Mibos/cQRasuaWKNzMmVJRxcq0lX0ZcGaeKOD1h9L2DKJT0Bqm/H0Ipehh8GbOJ2oROPplLBKWq
nL1U5HJX6Z9+ZqxTOAIdFiciuCLARAXo3xCwWjGD9pnrpt3Jq77IDhPb+CWNKaTjMH1qg2Tzv37o
pwKEUoIQko6xFpFPpcloZ8ipfKV2/rVnGyAxGpmJconpq65K1p8be1p0HvAbHP7787+fbTJnG/i6
qXD20Nb/DIeT0Inv/+RiJ5KNJ0uc4//T2IN5S/BKOa0sdRorT+zR/znbuEuUILOi8pe0/6ju/0lj
L/92cf/bR+edfr64i16oWHVeJEsBMMno0KdGYH4Ga1otLCtKQR1tggATnk84E6d1fYTuYOZ2IEtY
iIRzj9ZXYMYo5ermDm+ia97CMcEH/imtG7cXe5lzBk90iakv7VoShFcpx5p8tA5Zr+Ii5xFLfowA
SHWMMYxqkU3G3FW3N0XWU4KxlQBqDoo0yTVgX82DgcJwshvRNCeZkr8ael0s4EeVxM3oTSeDRh1e
GmMaE8aLpFJoYamCZLZcMG2JEhXba6ndq1azEsAb2hbemnBLQXY9HPMFD0BUU1YRUuugWxT+e6bK
AMj5DnrrSaheRE3eKm229cdoKzbMEKLhqY6q8+DfD6UBVCB61qHR6vcuAP2OeiC6Mo0ekyijb4R9
ku7Ve6HiOROYK3nwcQkcg6MUdxic5CB7tdg1jhfpDiFq5B3ECWQaAwhuuOvjrBHFTWr5D/K93zV+
dgkoU1ry3TRf3wlmtilNDKEK9pl0zz+sNH4S1fip0apVJRXHVG/cIhA6ME7V+vee7BOSZchIUs3J
W5LD5s+MVBVl3i8n+397/o+THfa4CRtc5uzkNP1paZX/4lRjwvVNVTddBX5geLKOqI44LMPgqeZP
C6uBVQZjOmK2uDhMCsF/srAygPu/3J3XlttW1nWfCD2Qwy0BAmAmi8VKNxiVhByJ/PT/hP25W3L3
b4++7SFZLpWKJBhwcPbea8317/u4n5+4TI/x51N97hQpJaaPxOmKtG0cJu6klcxbM6JOD4HhNBQn
++TcPWGrIHRxIFOutlMa7BAtak5Yu3jkD0ouEBec1fzU4r/45J+TAK/qmpQ7fptgKjOX+7q/89Pc
sNLWASGWd/eeX5v7hkBXNUCU5fAQ8QNAVgKdYIAdOIZJWH5Swfxq2tylFC1Wrt+Pgb/GQPzq5WA4
AnCuYj2Rq0HZQ4zhCz+azrGr0jIsC1xvqwziMez96dUEEJUMR61yjHprguBKv2IgZ+5cHDpvYr86
V3ACt9Mtv9/ilaFtarImfPl7hprFOCtNviuJYhy7iJBfmuHctleBCdfM0F0nJ5gFQ1Ltokz3yFcA
0p6j4Qw1b/kLzFLbkOibC8RheuxL5MotXB0tCknn8OXMbVi7sObSHnzQJlB2+riJsdPEW5yOICKg
Pix9utirBubwXp3jRMP/5neIdTLm6bs+yU5K7+UAm5vXQClA23pFv61n1un3vGH+T6BlA/kA+kLx
nDWnJjrGO1qOPfp6IUyPCA40sqcYngUrw3ww3/X5XYwveniqo8eCYBZ8cMjPmLNNDv3VJZMo2kE/
6FHizysqHXoFEubmVSw5LJuBr72dZeSJq08SRDf0Cl8Q0oBykN7ur7K+VokMXs/HwIcI/qg6ny0y
EiAN+r6gGRh/AB0I7W2wOhar1/PqGfYow8PmIVm9o31YkVn8Thvlq/CZr/rimV5m+Sk8KQf+SqAV
kzoCSFTIFbDXnMLpbjiBJF95XpouqT+eZjqJ9+0yJRTf9BvkMN0uj+Y7XVJeb4d7g3ax3Ccz3yOg
BvnRsieYE+mwHR86EjI2fFN4R5uo7fkrw17haaTfSqDMh/yIXXEIPklF44XqBq+lIOQ5oW5BIKSv
xY2Wef1vfIhePhF7AeM1XAgadxBrXuCOD3wdtg4L/8LI4Pqlo1L5LSWjwPW3pasKx5wUDWAv7HyJ
k2sP+p42q77niIuFvjHhstp42nq8KMFLhlv9Q4Z6EbDP1PcMoAX5zRpXn0p84dGt+WbCcQFrEYme
DTqsQXPKax3sSIcSIHyRJXXQfQgPAiGdfIu+IA033eE0GOHMSoeSJlGoPAx0oblxQMhDsWrF7ci0
zTN9ZM2j1xo29K0sc6ppw61uMM2uhFaZvvXND2vzBYW1Ccf2oAZQOpfwKx6Dr5stx9VT0aPgFi7c
Ag4FYhrtBtMisPzhxA9rN9qTXEaNE4iO+Y2GrfHebDlyxrqop5Bg0SbV4GHcKwDTfIODhFJFdtj8
Npw4vIUm8VhQqiYe2ixUMcOzj6hqei6+K6CX6E8AqWE/JEHsWnOCuqnbpx7SS5oSDTRuCLqp0y5g
L4ZkHcZiPMfGOShexu+FGnpZNi4H6ly8bDRd9I/yhFAYoVuPD9dEjn6Y4+9Ru6aoty0P17yDCqb+
4q3lF90c/uSHk0tl33idbdWd9nRXqO3pIritV3kpJ8Zl5jWV1hoNZelJiJaQjeCdeUv8OfPHi20o
Lq+DHN7sdHT7i3RoRDt9QX/KSz2RQsfOQe0WhTXN/GDD+TChWwqM0A4lPmsRhmLCwCyMyQzBmSYz
XBang8W5XuCY3lb38VRMr0NHl1s/5jqt5bjZh2AQpe+4Y7SygD21eEBUQIuUxu58aUqcofrg1wPL
X0SKugtN7n+45ACyyxRXxpuyYK+Xi/VfKXBIq/5lF/Ib6fZPt/9jFyL9gypcVkXuWzG43z8GiUhU
ZcBbuiaD5QAJwD3+sQmxyPLUwWgzL4QXTH/gn/UGhF5iVpdwMv4F0of13w0S/4MO9ZfnrSz1yE86
VClR8zYpgxBHVon2rMtzVPIV5NQJM2VWTsTthfNTWiFsIxsmun/NmexGS7AzYbHdPlA5pzW6vFAS
jbj3xgjrZpLWJPE0vgmJ0omUHnnNQa5iyhGadJLgpTB4Azy5qjgC1Zjnlz5ArI04urknt1wryJ1F
2tblTpPkttX3TxOw0kmUUMrQOx5ew4hhUNMK62GQdjPQqCqLGanjA59HtLIzFXW2THz61ikTLq8Z
p4mYP5l3hCFS0eAvUeM3ndlQPIBxpWVfmNK6HYX0Pa7onvbpKarrfJVps4zcJyNzpA9IeOYijeS1
Cwjejc3mGzkq1VPjajJqn5HCTD7WImhjTEWDGmFeYPJlqZ5WGEdlysjoyuofpkTLQi17vDIxSdWR
GohOs3Tgaq4DhPVO1E0tresJmOEUfSLAxH86fcBauWhx4g8JyENJ83o5X2PXQ21KGFhvHsA/w13K
uabPpoxhNiAZQQk7cj4UwjYiBA2CFe7+l09uRNtYyUxOwaUv9jcnN+61P5/c/3b7f53cJOeQ5/sv
yva/Tm+0AGTa0zD87R9/aSdwOFQfrAm/n/r/PL2XTgNVh8rpveA+ONL/opugaksr+CeVAKvSLwf+
Z3FdiW1tqEFf+ksgfNQ333peog19aDCHsd/Rnb72UR/9rveyiNjS82Om0VozQw+dlAZLj+tCmn3K
B/gCVrdomajR2cpDhfeMXXGemA2ipHXR+5yCbfSaR5dW3cftZ1cfGaydrTu+D1+LmZOl+TaeUQrY
81nYl4EtvU7kWH/kzwqJYV+zsgLIXRtLASEQcNZjyAn0Hb4WmQf/MVMdwIHdkvTnok8G5ZYXTwZx
MuYjCVZEunBfM6Pq9qVMNzUy5fD5PtGWCIbBE5yuP8dH48pTXbj25GlsQXZBQb1K32qCy51rdJo9
tgSt9GzhSAkqNrM7M10rHvUfwzvhHMDdFowbe1n37hHEDTiEhAD+y04UObW6Kqs9fncs6ffveSeR
LGqz4xc+2pP+rYGp49d5WjPlR5+o7MdF1YVsImULgqZwQiE2XwxxD7gO1xvPDzUCWYJYbRdtRxZ7
w4Nu92dkHq+6BgPO+CG3X9NMNule21ugTUZQcXqM1JhxUH8dr+gKAMgh5aK8ONXtjXhAjXcsNhaj
YbqjVNoQvYsPMjmEo7DrCEgnU53RH8numAORcWD8K/vPjPnl/Tu/nxvlXKHWiM6lfOphlPgtVdAD
AjU1dsQNO+cCKTX8NW0Bx7Ezpj5hF96DVQUhorDtZNgOvcgnyl4AMBdbD0v9wNCbGkR456eXrbPF
9nrF90So2T6bdQvSADDp0MVgb1m2AlxP3lDwzEe+BILHxrzL3tnKs5tG7FloK37Dyc12gSt8J80q
DtdUBRodZWQRrLW42ODRksSQLpnJCCfYjLOHh0OtHGZxy7i8SLZNZc+EIcnKeiHdncRNlPhg84bV
dIKQDeSmx/Rsk49HXq5xU50q2SIzrREF1j53X45HvubZsrfn+/wWnhBqmMaJLzHOEY3Hn9yd+sqR
c2QK+8LH8YF8WWu+tD84mNF85hkRyovxbvpaKpvYJpueCoYigkhErn5Q4a/8H6knz+CKaD+052/6
2vM34VGiSUj1CjzshCP6+35tLtKt9WBhxITN3U+oIybZps/AjhQRBgXAyB6WrNplM2pFhFhJX9p8
E2IykGyCcntxTbnBTA5Un5atSHSf9oF4NOEpODnoFooLtLlGph61FAVlVT9L63CjzL1v1pA3Zo2g
RBB+93d699vycQSDZVY4x3Uu+VWbe9MgPgbzj/yz4b2HeCfvYjc8Df0znX5X15dgXVwn1TyhIWQO
aq7+Z69kCwRNQ0PGvpHLA83qv3ZMwYaiffVTZ/w/3f6PK9mi68YTDvsKg/YvG9VFDK4o7EjxRqkI
wn9SvEGPBXqHhwrZOs2ynxVvOlQrYLNcBGHPclv5v7qU6f/WLfv1mf95DpUMUt4Vd9y0dyE9VKf+
TN2DqKJGRobgcjv76BV20XOtugJcV7eBFapQTKGC4iw2KduUO5NqQC4CFDg8xeTJVOTLZqBcbNCW
1auyaLBYVmxiVwhG4+yLwHd7qLIIrV3+YL9HEzoUMR4rzsub+6YRYQCd03xCbNYhurGH42JA8Sl5
hS24UcVxuTUaCm0PzxQVBuvu6aNEqIdmfHBlGem6U1QnxKUmWDeTzIlVeUvKjfJZm3b1ikg3zTbG
HeznUew+RuxLLpHehuFqDwEJbWPr9AFrQgPE0lwbxmsMI0WT/ag9CrSA4n6tMlnqA/vOuDfnqoH8
QbXClSxsFjKEsZrTQ9lfwvjJLN4BUsuvfYL8aljpGF9Q9606zTbnlq7SoudCkrLsK6sOXw86rBz7
cW1LAgqkALxP9iFEp0D4JIE06+l1O6Bq7r2dx1yqPxU72unhTtiCspllZOXBBnQ9axDGylXVOwGC
kRRAD0Sg1mNVu0rpuhq5gPolDFCf4LICA+UqPmUkcV5NY2W8Yqesg2WafxdXFyBNLInDZVSu4YSM
ywXYjsKBHzYZGqx7c53X6+SNFgNRpVzvIXSvhcnrCWW9SGicIJIdtvoOSOdCCDoot2LdX8p+l3/m
ny3SJgxW2wwv59LfIYan8IVgr5Jp3+KAVhYbttrvsmChf5+NfCciLmqgd9wCVDpsEW7juKouhrqK
lbUO/UuB046R66751EAI81nCMy93xRdTXl/7gzKsByxLEO3pAdGaIgqFbLa3/IRl/S25lOE+rbcy
PFv0P5i8a9q3gMTW0QWiQDSuJtJQHHHaT8/w2Omi+KH4IMwvkYnGi88qrx1NDOQ02a2b8bSvho/h
AyUDvxXoOIONLIMrAF90H/XHrNLj9WC7izSMSpqKrq56WehbXxpOi0Mybr8AG8zF3tERBnElXFeD
nX7I0Un5Uu9HZdhGElm3NtwE+QGy7bPxhagmg1ePcFllp+XByJcEskNs4zW7GQhWUeB8Dx+hW3jF
jYQke9pBDIpW8TU+Rds7VLaPFl+hM/XnFi7b4rEl/wyJ3i15Iw7+mx9NUgcjxK26XYCudx9cSVa+
dcaUx2cGYDxbCYe9pXbmKczDiuMZ2QE8C3uLK9Pqy3isffEYfmQvlr+YJNTD4jExF+Rzme+KT9ou
+o0mVLyBNld8AnrucTvbRQsXCaaWZZNW4nKjd5nQPLcvXDjKb8X5RJzHgmCyF9vDXfQAJ7T/u9cx
Zi84i7hiyMxMRWgkfzPhVRZ9w0/Xsf90+z+uYwqsEaKPLGvJZ0eJTe/kj5JM/YcIsRSDL17jJfbs
l5JssTktoEXTkDSTAvCnAS+jHss0VBnL8CIF/y9KMg7714LMQDvC1MnkAitxHDzOz+0Wq6dVVBbq
3a/CtdWWbiAtG/3U6YrNTw2p8+813i8qof/4QKqEQkTWCE/90wPloVjq90q7+3nE3EXMIYnHXjNU
v7f4/r9ipMUR/R+e0L8eZ7ls/9Q/MkwrEvVKv/uMRN9jv30+I93U7OiS/c0jGeq/FbN/+swsr+1P
DzWo1SjGpH77LSrVXpaOJd6e+1yvqyw8ar2wT1oCU0Q64C0qugHGClk4kZC8tDJc8kn9GJX2KqvK
PkzFa1XFT7XwHBej02tfudA5mUbcN7rthtxLslRWpSCepzJ1zJ7Aill9jIyvqa89qY/o1c+sXji/
mp6aJ2XnwFUG0LKP/dfpZvSRJGLGkvgDV3AxUAMQyJwKjMXUYB1TqCa4voLmyVAqT+m3VSz6mTy6
Gqt9IC7y/UWB3DP96ihqMt5iQm0tYjbDoXiyFBD2qvaiw9CcGZWn43AMcJHh3BIYxNU6jDpx2bjQ
iE/kd70sroFEWQOhr00IbBzzY1cwhpBg0CHat+LC0WGH0BJd30HclpZGN2xeGdKRPR8lCBeg+PHO
0G5S6nUBmkKJCJZPv630kAT31djwmPloBxL+nfC1lcuTiTm8aqxVohHBFQRLSVmFzaployAP2LVK
a6MK1lqoA3vuknUUfLQjdiDho6h7WB7cGOQMC3sfQM5WGHrC8Uhj2DDA+zWFQCEZmy4i3LJXVkY1
ekbBxqnnciL69/6QqE9qqb8pJuMm3D9mLjMcLCFhym4Zy9tQY6aEik+3JL+HONoqRxqa5B/l4HmS
TVS0btXiG8hSYy3hpg8TIBIxQtd8QqorTNs0nNcGQuNIUbhTQggmYn0MuHg5ScjEVg8H0+Io0GMP
tFdGkbpHavwofSQ4Ef2GzIH3xesY4Rayrn3fDoTCjwK1eyZzUQ83+j286TWJxZGa+QVo4lnrtia7
mUzGDJjxjyUbDU0goROyRp74IssWdZ4Fcke3YyV4DZryoTYaepljs+p12PGFdFLq7LVScC9HFZqm
QMfqOJnY46NqiAj+pG0qw6Xr08wF7PyakD4T56+FqXhDzJjRCozVUN4KpPljzFLSTEhTKnbFXpdD
Pb4T6qq2L0UlQzYicy1UVwohY1rzOEXzupJISlOLxzkXwczXoFwCxc+GJdZ7Wlcy7E0dAakZ7WOi
yhTyrYRS2KSN8Rw0MZAPUzqPUv0ot0QthRLV59gRAJEnH6ohbzqU02mFJ18WzlXK45lz5XXx/amt
mus9KLF7A8LsdbcbrENqlV6RBNcxZ5dcEIccs8uZrfgojaHAkByP4fLZMhMRCzNQoX0l3oUnmUG5
3hOVGGBD5URj1g1vRZwINZrvT0pRxucCsb3WAMC5M7IhdQqm41q2FOBjwQaLdEybprb7joCJYHyt
2OtY+fRQpcpaQJGSUqz0/cyc6Y6UzVDCmzgWx6ghiX48yxmaYuHO03i8a8Wn0RtPaTqtlSLsUMcR
w8KHFu6JJvmtbuJYM+aPIpmvPKmNkPI+mtXeSvPnwGDdsDaRgh2gNY99/cOK428xCzZ3Q/4yzfsp
pbst1QhztGBwAEMDTxBpWaBwnp8QxW2FoXqS25nFMPYEqTmWCptSGbah1ofnPLxDy9fCfd4Nvk78
XY9AOUy8iE5Jn+CABRBjdrMbyKTadMMmw/ua1a0zT+h1hdY1SVIYY/2gyNYpZkZqWcwhowaONyuS
Is4HtE+rlhZ5MZZ2Rapam0+QAJSzrn9oE5UMZYB5l906o90RKOsmKZqzUhmqF1ih8GYM5SVsRS8L
LPancQGMIcP50UCmijM22WHAGCCNotEW77O5qQTdN4IWbEwnBDgBmARreoK5P2MSO5FRdpfxLHIl
coUybPyxt1gIWPa76YcuRqehblm27vhR5fpdErLqKY3leS/FFaF9RdriYtIZXwypygpGcF3qMjid
FJEGP1FDJAW2I23W2NeVGO8K56r42JHfM7bfpgmiKEGgn23hV6y69tYX+fUegQYbmPEa8lruc7xX
0krJ37LQEY13UX0WaUOKgL9CnpASOGH8CizCzmnbzfmIriFysgDRFJ6Qudpq5U2YGzDPiDjSxJkT
PlN3w0nA7ypETJvpOhhYWJWjcH+peYiMz2E+oMMOLbfAKmNU+n45h9IR6kVPU5U7UrG0lnic8+GH
upCCusfJkPYDM/ZY8dMEO+2A3bvUNrNKCgE6KfF94Bo54NYYs695RlRdbMPos8y3cvxZyxsJP4oc
G3Zv+WOsrUMWJ+xp0/CJqQLUA/nUEy5kcp2FCTgCFmTx1HWCUxnbbjS4dNC6nh41zv1IP5sc3IAR
cyG7l8nFmr9kZGE1lhS8Gu0dKBGLRYdGXGwe+CxRjZ2r/iFXMdVY1JP9dm69EeeJ8qabpFfGzxU5
zyYJCaP4oalPcXTKQwhVXHlHrCa1sl22YKIBaRGagyVEHAqmt0+p4WM4kaMR7AqAsEH9IQFKMiGY
IjMgsC8psTRj7G3EkjlXDx8KM0z3KcjHELsJ3esRI9HEduW1tr6k4aNjlVZ6cNuoRjTrK5HPtQrb
OHnIW2QVVe1VMDNa69uov9VZOY4Jqvc75ZAMerdu1yFDvHzK1xJboYEXIOqJxlDiH3U1Q/N+LPEd
N6cE4Onw0ZviWs0xyWsaLeGOTa0JVWVYm1rjlS0wSnZEpXKeCMpRStMfRdPRjXQPutJU51WmG969
C58x9jLoo++KrU7k/CtKzNMcHlYctbg7wdKktxqnxbYYLmG87Vclg+mmXhT61muWDVJ5ksPmVmsQ
86wOb9kmU69N+DBoxrqr4MmNhn1vaHYimWwMWkA9qfNcv6MOaxbe/6yTwKVcW8FcT/elvMudQYUr
iWktpCLOhJ2+TEMkCnvwL1Me0lgwiUYUHKFBdMQFwmx3smF4oEJutUH31xCgWSmb3EjwSypOMsm+
1oleSfHNgEEtKF3z2S9VRL8zxpMYKp5eetr9hOcZZi+Hi/tOsQ55KHt599TRTWE0szYKhvrwyAf2
kp1euYZCP4mZyVhfRPk9MXoc5aGTsySWLI1klq5hAANBZiOWgu9UIsdqQrfqCjJCnmcsF0lOQr35
ZliB9z/cVyVqm4xtHemvRaDF3+n7Ydf+Uo8uIsQ/3/6PelRiooeO2QBzJf0+0vtnPYoygH+TFyX/
byiqf9WjMn5hkXu1FMNElfBLRq/xD2NxCogIFKkhyf/4bwpS+CK/VnA8iLEEARsAr0DdMqz8taxi
U9XlViso3kgNwRr2lpSYfg1pFbyF78FbLHn1j2IfvBmf8lbcgo0mjyhcv4TWMcowDx+S9kXT6Tk6
wJItrj2kzqgPIvD9RZ0y966Uv1SNp0hkmto0QTtGGTDtiPcTz23kdHyiIaXnne4L0g0izOwX4kOR
PQqqz5kTinbIigUbQ73N1qOoXGNI1M2zruJi6jK3Mkg8nB7k6dEYmX7VO41tnBhuFtLGLiSkT/y0
tJOFU4cMP4wscGy4enZONDut+JwPILF2Obk26naK6P1qGwRoyvAi9C68qxG/gfVYHhjQmFW2tuYl
asgsjC0zRUZTrEpr1HR8jyHU9DW0B8P+LCEOPA3nJXHoQfyS8mO1VX3CeNwk2TJuYZoCagtZj/Hd
AqMb2NKwDNmLZyqGBXn3AgISOPY3Cda+imbL4Qtift7TF3CHu/FA+OZ1wluAzg/DER46omRTLtC2
RfvtosF8v/WH8gStnT5qyfD0ufKaw7QTn6MLzc9TcZs+hmf6ftZr95EQ8kdgifZqnBml9qVLs69T
/KmCd+pGwkOV7HSUaR/3D2vDLxqHtOWGj+qb+9v54of83H63t/qqP4838g/IBoLfAuCgdcGjIBPL
iIvs/Aq3mb4rtuwH6hPYrmd+nD4r7yPfEOwEWznbYBbTzhElO5XXzeTlxjar9nJyKtInWd2U2kme
9rnqy8IuGw4J1Pkc3sYliSitVjyj2B2eBZJ3nWmnDZdBXFnQ91FcqkfAoF21Dao1MZkWzPTSQS1X
P7N37hdGMW1jW36QH5bUtZ6B7PR72+J/1OQEP9Rg/WNJohFm/HVTjkWDpeKnphwryb/d/o9FEGgC
LQT1/7JPflZByf9gBSPNEBYYpgHu8Q8NlInDyTIVE8U1aidtGfj8X0uOxZEoQ03G9YT0AuSC8d+s
gMZiqfhJJPHnw6bB90tfKZmEoBl7MfDYK7najp2Hy2iEQDrYQMR+GIsn1sv2sie5pifb8Q5Or3yN
zxGb1OvkGwS7dQ8WqagBlu5gLa6eCdGwjTUkzAOKuxWlgH3jE3o97qlTsG4ysbLhEjifjOJpVe+/
M785fGV2sJZ96DdO5M3Xv+4GKrx1f/kc/9QOzJomEOqE59i7zX7JhS0cE1n0AYSfYzqKdy5Wn/vO
EQ7Eoq727ziw8RaWHxUhiQnPiLrJDp2/Pib93y88v3xcFhPPz/28MJqMuck4JirBl/DB9Lp1seld
sAGsM7I/rIDs2/oPYzcc2vO8X5AE8qUjBCVcq1/NLvci5/sZIBMmemlNyHZs92vAPf7oWzbpLry2
47e0NrbadnkXYo/3w36H6bbBs/k3z+W3z8hffYaWz9hPvUlZaapo7nguFNxXjK3nic33Y+ShQEFV
duzdsVs1L5aLsfoLbcW2QYgdrkMMY3a7mXDBhruPbG9cxTXlMuGDkq9ixMSmGfDac0nZV576AszR
q3GzBidjG5/v+25PG+3jfshccwOewB7XrWdt2Py5xTp6MDwkwg4hHgeajdjw3fJMt8hX/qbRLDEl
/psP12Ih/OnJD7GmtFoxBR7DIguB3LXsKU+Da6paDEHROtBPAR08JiiDFTvMtpbk1FSV4bvqIZCT
v6fkuXc0gNaNIxtY9g/hvGoek9cM5zlRMRUIVqKvmNnEK6FxYjTnyjYEnVOctZI0CpwTxWN27vfi
mt1EvOqOEk7/9+EBHcwF8b6xI+fHQbi8nkHcBq8VMlo0NTIkiFWJpoT7nuliXsPRaZDiGOxV4pic
Ir8Xk7cquSmIPioN24CCOOPKZzV3pHCtCG90JKFylTQfF4lhF9kFuGGs33p7P2pIVHoXwHcYAfhf
6ZR6Jrnd7oS1Nq7omo7vFeEmsf2mkYSdO4fRWbDXT21zMV5I4H0BrvRVXgBk9B+RW3u1Z3xo+3aj
GyfDWjfq/TVwUUeENy1reMni3aQxfpI/qas/xc0kfZl3D1kNGhtlcDT4VkPPGDVjHgy0gyingISf
EfmR9KbSrC1ouA4L/EH90Ng4oEWJKDvHDow5qF7aKtFzIvvCk9rhPMlCux6PjEPFnHkuRE50LKha
UPIsj5MuOQD3d5wK42XKXiVK1nDAbSCjA0VCGi4qdOObjGKU4PyJot3cmT7qdGThnbS6MxDdJShS
rO/ahf+4C20lRlX9HqysLVNIdFiUk1AQ6IxhHKGQ9rVowy6p7ndK8VlSSYImXeVc5ZGjL6mM83va
wQOeNuOBwEOnvL9O0Ztxrne1bzxmB6biD8rryCTwuWb7yaagdUxiv1mWdG/ct48qihydweqRq8Pq
hZ0cGUOQF+n4rE39KXUCKHTBTWgwjZPk7r6l/j3z7veAqwlys+12eERPg74mqDa5C9fblo/dNtsr
MNMapzScjOhzvCSbljpsttUfMiFb4FY4I1AbHKFVrIYjaU+vAUjWFUYWKkfw4xGdUDtPv6xmAVRY
XHDoGWtraS/fFIz4J8UnW05no6k/TSOIZZtdL2K98mF2hJ1A1gKk82WAPAmPRAAh1MVWA2skfbqz
QTbtkI4nEiUC4b+jDGqY038TNV5CbH2b3+bcV7G8MuZYp8bDOK+HL6NebUnxkQY/vSY2ygTlq7iV
1/uZZVl3LfmgVxvtXfsxMqR9h6p/SC7x4FrhRta98OWY7Fr9t4yeyTePwwcbVyK8x2+2wgzf6V5+
E18P+gL5fiytpmv1EOE+2uNRv+DDX3c7YYNwoPTqeN0f2OgRdrGm0TbsmptoubGMijZkHuCF2SPd
8Ua3CeK2jLXKNCAAhtmW72x1pWQ9RK6yYYwb/jCI04htAWwemTX0kBCQNWsp9kxeQ4AQj/pFeanf
p6dc2bKO6O/pFno1bZPUu0PyKWztrU/8bjpWZP7OtNeWdK2g3BvPmj94oIQGsnqRZOS3FpkZY6rP
MXbF7+hLr867XX9sD8pXdKsO233rgwRbo2hznkm18VBkiLzKEDmkfbK/6vAKP0MmzogyHNgUDiOZ
VfMsPtXHHrQPThVoM1+D/XYivO23X4nrfW9OKVnAIfrCgf+Ds3mofPNc3yQ/3PGx28i7zo/2+tpy
Mi+zhxVrg/Mu4oTovWwdOxdUhID2xw3Jbt0CPXSUXc1WidG7yQJt17d+k3po+FagS9vnpnIUbnyb
jvpWxvJzfyYrTKUKKG7RTX4edvd1f25OktM7zNEhVVlnoVo9vZz6a+XOG0wR7AMo7jzkJo7kWrv6
YJ6tB3QtwnuCGVve9+zazNOsv/XGocV+RFRJ5kvtVr5/hD5tYV+vz80XGsqn+8gAypM+Q51+my3e
um3xXT+ZD3THuKa+yh9EZunJKe+PY3a0Slv+bN/MVf5IP50tW7/6xPUBkl2+zusJkJHoFYfoLbp1
T4NtorswnMHunbeP3k9OIrMb//xN1vVb6GM0Iyk9fmj3wVbbGx/xMXZUOC/b4iGDCETGwNnaQ5J4
mw+hW+5wOTmVCz4YkaZfe259aE4tW08f3MoxX12y7ZfpPV3FJZe+7R3SYs/ak/Jk0PBe3V1j3frm
abzEG80Ojvfd8JhtEYMor8lmdLutM/nJqtsnT/G+2qFl2aLOp0gDN2lTp90U+7jldGKpeeKCFPU2
AXM1b+p8oTbuH0l4C/3hh7mFsyQizDtWVG7X9ELXC6YrdiVXXRdnGvfFY97AyGquygdXhGF4tI7h
Ot/WW6tdpSzoRFvdOKvseNP4WnqIbxCSe3XDooU4tb7EF/Os4xXASOuSUacSsvamA/vEXnD3YDux
KVAYmAQ/kq83IiMEBoLv7eMEO4QTYCXUdv6VPQxOrNo9G0Pp1DHz5Qz41E0shq6mHUmz+mAilT4n
e160VW3rm/a5/gZDmKJrjh4DT1xnG3yXvu4jY0If6c1ny2/xtQ3ePfWgQbstZxevHVYiOvoxQRzb
jPJ7Xj/rm/QQsvju5l27UtmPNd79CrAExWO0JpHGCfb6aVkEp9/IId0z7cgSSXb8VG1EXgFi1pxy
L25YlvnwRzLGP/L/LLdfmVeGMvSkD4xEnJk1rHQQM22CY/AgqEfDCd65eNA5rJzkIO76G4JtryIv
mFYggCnkp2xWbuVJ343H7jprZAnz+qQbLM1sNVcIY4QzbVVqZy4Dz8VFJtNubaxGZ2ZewUn4Xq8j
L3al0iOW+bI03NtVdVN30iEGvAbjbD9uu88FGZN582mCgdJf6Hho7+ATQ9II7JG4UeIHZa9YHUH9
g6hhpdfeJVwlxDZ8FLATiAJnIIzjknmAsJTpSuJIV/W+kg9q7NZ8eLC4PQxEahwpUk6ApNHVkPKI
a6rP3cjyDCwY7AzuDttG3J8G3YF5Czl6eG+oshj7DG6mOSOpBhC/ayfPlhmazURAQ82rriSZnElb
0VFtWYlHrwIVKwfHvghxVZ/sxtAX+kMbbtC9qXc7AD9DBwuwWmDXXJtf51ejYBTshBDKjFWA/+uD
4ASUBka8+NXazkktV2VzyGu5RQPG3c+xndyh2IT4alEjuSgCGCOuRB/q1CY41XdfaFwJdEt6QC97
M99blt5bdorcMzNdn0hEagXdaZ7Ns7Qbryk4Wq2xw8PG3BBSWLF/xBu4q3iH+fghZtxiudvjFnYI
rzzb0/MI8wk1HG8nUJwDujZQQj1uNiTsr9Mu2zZ0sahoWKBFCi7LAFr9tqp+mMYtntxZNNawvRjx
lHvidchPvPfr8f9x9x5LbmNZ1/a9/ONGB7wZ/BMSBOhdGmbmBJFO8N7j6r8HqtZbSlWHOmpaVQpV
SZk0SRLnnL33Ws9SNoBolOvVuBYnhOubU/mKUHPVvWlE4NHG8rfVzQJ6ht31MD7pmGl28+wPUGiy
ONcMv+63CPZqER3cukQNkQZOJGzKwAnBGAD5jZa88fD6CI5joyF82G71TxTQInttsQoefHEGxM5T
2zuQQVqDsdcx7s0V5TXno5Vs97SgpqWnC8upPGYIizHAxovl/ygNpe/Rqb+pDa1f+gt6UDQcr6kN
4XRRg1hHxI3QCxfdc7T0HaCxvK6cElhMKvC/zJhW/YojPfoy/gKtJ0/rpNjlY3plqgmUy198KiuZ
NZSZAwQqci7tuapP1/mlPFBULj6faXza1BwE3GR34oYMD/7gTK8EbvV3xYU9gV2X0eFd40oXgjrW
zak8kKLyQULq0lsUixvVKWGgpO9QZOsbbN6LjfN+wxl5p6+lz4SSlByjHfGM9ozQq67i2jv+z8py
trn9rmvxPVDtp8IyCSdDm3JeuYzSjuP9Ue2XHLPYjSzizyib4DM8wRmG08RBY8OWcY9hrVlYlzmK
BdfGlUqgnNFkg+NtZWprYyVApGLSFO8lV9ycWZEXn7cHa0sKCZcLJvUFI9yj/71ZYNqMmx08C7Ry
VFbslDso7WXrNOuKHb1ZDJc+QgKsf/N36dY4dreCnZ8DmLmRLsZnraw696MinJ6T03wiZUj8vUOU
PFQHk5VxOiNGDA4mYsBoy7F3m7/2y/w2wq6dU+Cf6qfim3UIAIHhV1l4pNmTY/JAj8YZ3J7NItsz
91pJdk59/TqcPGsJiy95YAJZvln3/9hhDuJAywKZKqFHJ1ZZmmV+v/dyfh3m/Lfb/9nH5ErFsgnJ
ac5G+4Uogd+L+QrUGmmOHPm/ViamLg38E1o4GUbM/N//a2XOfq/v8ybuDweqQc/1b6gLATx9vWJ+
ferzk/i5FeN5YRBJJfXZJJiTG0zahM8qg5AwDclWidPnJDVfBbXdplWEzzN9SK0hsPM+iojSEABT
tsUt1+N1IeeEtU6QJbIhwiRsGRuP7Isom5y+yy/BQKu/kTdFSXizR4ZBNrDcBnpD5sjc7ChejV5H
HBaBW2frS/yq3Qup0blhwrmtJzGW7kIqb7rCIGNEvI7RgMLcvxpNzPg8eypxLtVMkGtruEB2Wk0j
SbFWVLgTyaZBEpxEBSdWOO6lONy1cbXqmmavKvAVCh1FsWaEyVqpkskZc3TkYxDldlOpMNXT4a0K
6nIBeYM+ARn3SMvuQp09s0MsLE7mNk+Sm5X6/UJWOIaW2K11y3ucZOnc5YTDdppEE6IQCYQuiWWT
NcTpqoE4fRwrJ5eaG4EeH0pgflhW92whXij7aGuNgCANxON129p6/Bl73XLi1V+SjIO0BhlP+i2p
PkbqwhhiTBR99tFtrGgZ1cDmOmnrkV0tlN26RYWsoCDwEgQaGeKY8T7IrqZJyRnGdpEJWKcsIJ7J
2WQpGJEX6eVriDfLqHRYnHeJ8i0ML8hTgEfg2oNk6mVA3wId20CxSjPl0FCVmPC6xm4OOQaoHr1n
kbgWLcPJq96ujVsq+HB8/W2uZ0iG8kVLT68oIV6y1urVu4ayCxdhG6X4KwY3Et5KjBOREUC/x1s/
JAsF4beZD5cmLpBuEoTkfXqj6arB48AML2MgHvWsg/q+HUXaIHcSBX2dQqot2HWw9DMIb/hgWsyO
EhiXUQlOndQzubbzLt+EHHWHuntrxH5Z5cgHZbgqerCOxeRQRAzQOkyD1lPpQ3FHvYiqWweEUdCw
GMOtjB5tIUr1Qa2ydcHczy96dguwLHiWt62mnis9O4dZvTMQ8sW9lnNQn4qEose3aOeZTWdeArWR
XLOPM9Wua0Hkdaw/hdwjzbhoGnEVZwZh1DCmtAcjCxj7134jLP7Bq/UMxkYMzuAJDxH//R+rtfV1
6oSc+i+3/7FaS/9WwP4QOinjT5rNtD9N3rndjyX3D7fTn6wvoD+qacLmMQB7zWOJH3MnbPkycG/A
QX/c59+Sgv/SNZ+fN2Ai9gnMXCahH7/ImZGzmj3T+AASNhK2fq8kt59emfMfJ8zfSsB/eYBf2vK1
NshTpvAAMtjjLCJAXj0X5bffP4g87yg/nW7/8mPMO9JPZzQ1HntQWjwKJPHt+E3+ZjRbUGIk1NN1
BLwiEnO0eBafwhbPLfQS21v9/hmwX/71Kfz8CZr3+5+fQpgFGNFqZsFlA7QTO36KLd+nkVyK7Wc3
+/X9KCfAQFtPirpUlKlaVpPIxC6mBlbyK5L8OzXLV2qUnfwE0oHCmTLQT77UOG3dkBiF9k3Gn4UE
EK3plGzEEMShNBzDsblpXdDtQiOy+6y4j9XkHBaYMMcrJjMfQRylj3jLwG8Oc8hRwIiiIn8gAXet
GqtMYxISjZBWol2OvKwAldQHxqJqpZM0Desaz4iRYY6RH4LoVuLdJa9016glh+CcLpcgwnhmuEPm
8ZIFZZno6nLwjKWKpJxEJlw2GsJr6y1s+JrBKKSDJO7X6lLz8pUY6RvJ0E8RpuVAjnaxXjuVp15G
Lbu21nDXeDt5HN5DA52gGBe4fxI0g3i/Msw+gqB/Wp2gL3VGBWLEmi0EaAi9hCNzG7lKZL3lvRzY
gurTT0COh6ccadiUTVCIxWCwdmJnIukIx1eFiAY2BO9QmO1FKKuHSqFfAuagr3J4vtFaiISLHoxv
MTiEDCxCKQR0+tT7RGzQc+7JvdrUZKonCenA0sxVUAPN2xsza0GDwAjCIXGayDqGGdnoCMw78AwW
pQS8O/f7Z/GfOe0n3k6ZPTgqjs4ZOfDTZWe/Nq//Ge0fX9PP////U/geZsZfpv1/vf2PdXfGJWoQ
EWVERbr4xYLDl0jzZaL/HykAy8WPgb/2b6KAyAZn2cK4ihrgz4WXLzHq1zDhzCvyfLb+G6dk6VfT
Ci7YLz+6/sspGSn3oKcGTLK38Rj6C5jf/ke6HLkeUzwLK3K3UbCsavommBdOgv8yWqs0sAGorxBq
lpjNacu1l3LbXmlBQvxcvHFQdhSBYxNzFEfqnUpeNqdm1qwsuM/56Ffa3q1/Ii2783Y94EVviZXQ
9BzCYBtU5XSl6PgeVFu5oCTFsnE1P4odbcpn8azfk2RN8actY8rba+dOLxFN+WhFY2vt3427wsXv
MLaACMyXuXPHAhRzVsY2yOzYbt/SepfOACU71kyHOGKmXBmVcj29BQdaVp0/1wvrnz4g/2X7wRr8
dV3+z8vMWyoC1pxVHl/XZbVRyfgSUlystAiwGTC8wQGwF56Y42r6azPdysEeCEAaHtJeIaLFCS/5
w/T2qdvw8BMQlixYr6TButNRDBd06USndYq3F/9h5QtrhgjPEz35gUG5Z3s2CUwraWeZCxIV2qV4
aGa7rkdnnkCKmbIgMpxjrse/8sHHCvkw88eMBUE52FNoH65oXPeumHxAAePoV2C+aN1FYp3Fg7f3
aAjSDAN3ZTH0TNcQHAoHK/5CWEW0zIrFPCraynRj5JW1i56mDfJZyOuB3SFIKF1aKfPHBHbDYnAQ
DK/KxYvZEfS2e0PPaU9A0WClTa/yIyfCYnBy+84WXw7Rk3MVHmnEARNwPN+ZbGh8S4QqOIhLUoOd
4TTsJfNgzT0+/SGrG9ej90xX4z6SKDUWIQLsizcuzWqBSjb7mEeJ/p7UiaW+JsXgWN4b2zkV17jM
qRE9uQmxgzUanauerFLSnfFPbIwloycOwxKyK3hAhPtcOtccFjwZuDPv9y7r/2LFop3YFjj5cFVa
Z510LiTPnNWXAkRxAPtMfL9Np3w9Pde76MDs9iGEXh47lativSUBgM5isIcV4Ri74lS68N295/jB
uGa34JaXm5FX/QN7NYw8Wd1SIfpclf4y3IrPIWTeMzPt50xaFI5P06zGmO3dCVs9XcLGGOh7AVd/
wMv72bzQBkMCzZXMPLVDnqM+Kfi9V9Af9DugeSt5A1Nx2zpnyHHv5yuV51L/mIg5sM+MxhlS29OG
mgaLNSN3QA1QJphsc4HDfeCP0ot4J3yW/lnDvrIeXkva/9JhWIVPyQroCJNj4go64xi/W59Ruuvq
1/Sd2TeGrXBFmnB/gaDGUCcaN4W4NXfeTl+DZjsV257TyTw9p7HUn8Kn8c6YCCuhVYS1KLa2ZbuQ
LFBrKdg3Wspd6ehr1HvE/Kr73KkJZ9EeAuMOZXFZroXpnkPDQqeprScujVIemV9DtxNfZvQqrX8a
BC7+9O00LKZD92KuTcd0/KWwxYC05NO+lMCqf8+2muPErI6Ppf1k2weHQZ5Iyyp0fr+gsEb/ZUGR
Z50qmwNMT4Chv5w1fV8s24L63a2Lc//WvKPPb+6NHfV8+ikbK+tqYkUrSJBUbgZWoYi5egoprTUD
pylWR9VcfyK4XbR1v0rk195c+/k+Yg7YxJciuq+HbRztwuzqIZ0YwlMXaAvJfKaXrUgPcRHfU5WO
kW2NHBgfAm6PY54ZX76NOxahaZUwX5KUS705Zzf9PBTM8O2BzI/i2KtLgXHVct2u9e7Di5mxsXYD
uDLxMn6ER8z7Gz9GQ2FbhF2+RJ/as39Cq4nIXzkNpEJ4y5CfRXov6R/OIdcT3fzmZOjDTvGuZFQG
PG/tQElDsk8N+NONCIzGFtBODU6cx4BYO20ylxXxOn539FQoOG3wx3r/Tzz7ULSQfGgi5AGQAVpd
/v3ZRyZn6svZ57/d/sfZB023YqFWVOgRmiCsuesf9mOAb9QpfII5f4B8n53JP84+FrfSVBwd2F5n
Thxf+rPo/N7LnDuaioo882+JHZF0f72Gfn3q87Hv52LJ8iWrGlTPcvPStGPJeBRTadMkk+qG04OX
uIZMzrdXRnYTsaVNrfweTN0VZ9w2wOTA432G8n3qQazRW1sThjfJUyy7hb5ETePXmV0yBjOs93Jg
QCO9gzOKW52hUQT3scAST0bsKJA8ETWO5RXrCMbTkMh3EknGOPdfm36lp8lBFdrXsEZCXfXrtuZK
MpgzdgZRQWYS2kVZRHZnIp324XuA/XrVC6qfoS/fKhEibdJU6zAw4VBnwkYvdoZVrusgtOvM/Ex6
7ylrvMkJVZy5vT536mBfWMR7txqDT3+Klz1OT/hJ5K9Ck5QIqPWDyW1rhr9ms4YojFttgtoxLM04
d/WB16kh7CrNh4PYVfemEr5MUnNV8oxGW1f5q6Qf3yUrvtcnznElLaZRZM0K/W6dD9ncAIvuJ2Fi
f6S3aMnGcWS+Jc4mFUP6gIX34jOpCsQa1Elb9jteGhRk1ufcILVAJYnNuKxaouZYytvEbS3xaqrd
SgxpZTE+w0bwJFnFo5ib+AiBaSqfSHXXcl7tIlGAf8Ccz8d/KKi9LcW1EydoIZJyWwzStofWJ7Bw
lMq07bR+F/fDN799jPZmUUEaz+569Pd9kOBuRvbWZuW7qVMFAru0gAoPZVn+cxtb33XFlgT5EXIN
S818/P3NGIIpAA2aLwUWcupfbv9jkQFVr+P/YBsU/wKxh5Ctz5jq79zIWav5Y40x/y0ZsLb/I6f+
Tj/4scagtWZQogBNoFgDLfS3LCX/ZZ/+8syJzPi6xug1UQktcQsc4cqDPiDPUDum8vGzL5qOTNZ2
ax4MQXU6eUagfWoKqLPyrpRobA+z9p9ziRmuQjl3LbRp0A1XAd1duvqLQGJSCmtOGVAyIIzUEaa0
11I7DfFaCnclsVymtu9rp638jX3fwuTpEJjx4SQDdyNGaLIYJfPR3psl47OmJCiCSCuvJYSCubHv
rWKSrsralpHTyU0KRpGiKyW32yqPZlyuizG2+x7BHKYdniVkfSrZNRpLqJKj+Ags6UkoqawibKah
Ool2LOQbWJDXskPY7D9ZHbAbJUJYkwe25MUHuUKf0VRHr0U36j8W7MtSk9+ngExE+dkYqmOVB89d
llk40RqVQ0J0D19Sn8hK97NvQP1e4kxol12CfwezcXKsvF5ypC6fIciyZCcBoUlk3uVKzznQqNZN
Ppy0+AavRxXtENVhgkyrHKy70rRcOUuw2pWv3z/L/9izAVu4CmaVq4sN+7eXLdasr32R7xvsL7f/
cdlyAJivQFWTuBLpZfx8NIBKIupkWWradyT9n5ctRwP8XtAWTOU7ZZJV4sdla3HZQtf66dTwd9oi
M6zrl1aurvz8zH9pGCeKlNDPmRA+SeprnSJXojt6GAQmNcmmly3U2HHBfpesay7ptIkf6D3auhmv
S0ZwoXXzcAb7Y/gp0HLtJu1mquHOR1MhsA2lU0zIX2grTXpWMgbYATxXi5pdrfd5XbmlzkTPHLZd
pu/CcB+E2aFsuanumwTDSI7YtRg1vX0mTy8mSS90tQO3UeK9WZVPWuy7NWjooRvhFYrLuqCOioZX
zmhbrQt3VYFCMyJEUjZXtT4Hi6k4cZHkCco+05Ak+Z1yCivBDePypcixHEDv6fQtIfadXeInLsbm
TfCmfaWcwCl7QegYueDk2jcaqHZuUWIKOHQl9AEcTyqv2AWAoEg9WEZaet902WmU25dRCdZVpSBl
8WA3+ungBrPKmpHimlz2x0mVPZvZkK2J9JLEDEeD9ein0jm1zOWIVHXoE0cA6RTE+rk1pQejiXZe
Q6Gd6Nm+iCMKdHZjBYOpiqZEHZx4rKH5TmjTU04X3SgtKlzVSUezKB+oSIIxg35mCBnlR2c1z/H0
fVg7VbdaNoDfoztpRcS1US9vqyrbDRYwM0nnybdmt1Z9sOt5z8A4IktM5bgR0WUE5AjALMNUkqP/
GwpMY0jU4haVDUtqGOhU6Jq1l7Cu+4XIDJZoR7LWktT6YKDqFhKBiLG2LeUgw4lrxYuC2Ns/NDn/
zOWIuZimGPNsDO4zG+vvlyPECV9OEbMi4Nfb/1iOMGUxFND+AB7Rb6Xc/lGqyGRIKaoBLkmVSJia
h1N/zsc0AIQIGjiccOu5CP/PeoSYARurgWsLszt8Qv1viRkUlYX063r09al/9538NFry00QeO2/I
15Xn6SA6hfxUAK6d4j6m0C45/quAZ2cpge/FJB1o1dboFCLbJLKdNTNBp11yEcTGvSEIa0Mbz71X
zPrCfqJhg8sq6V+MxnqrYsEJFcgOLTT8VNrFqngqosnNZPnAFnEmoX7ttQOTeoiYgXFUW/lm8PGM
a29fqRk4nGSdgJVWE2zf0eiGmfoaYMzPsFmCpna9erpVMW2UPqvcoNcI/1SIFhBezLG6y6HSK3wt
HUhKR3wYtRejlm5pcRVKoskDJlpmu6m0b2IDFrbiGSSFrXv1blYjtE0PLLRjCvIxQJIyIplRF9yE
8K4j91EPCSIk83vkMF/NURsiiFQiFvEDtLFgJ+M5RKk+kWI1xOQbWLsOTXVTmEjrNA/8oCDempQE
YPCDfe1dxZGlSyzjlVEB949qtaBa0jdeVRIXQU88GNwCHgzWGvU6pvlzJLhDU5Op2gnw23LFsFkg
6bTSKEtZchbeKK7KKt/J1pwnntG0FDR3CrSdBbsaPVZWVGfIA7RdxTbT7E5KNllgIRE0hbU65mt1
ap7GAL9GKi8Vqz0QeSBhbQ+QZXigVlt12uqZtAl0iLqjf6jUER+MhSnmSWhfijB/GOp41euvSU46
pD58BGGp2Yk5YXutOGAyw1crN2LF84z01uQ6JAZeIngmnmg+KkF+0K18M41Q87zs0CsxL+jG7G9d
750sD+UhmeepCllAJJi8ywllQdSX4asrnxNd3hvhsJlXx4mnamUzOgienhLuhDBEhlMSRxmWFNAa
S347PMZtvEkyn9ahOhDNLj/mBialqijpXZWnCP6fRwB0HyE2pXVGaqv2wnfchxbpBelgexro4qgv
6GZT2Ifpi9cfI3BIYUS3Wg1PhYoZQU7NdwHVhCZPUFYgAWbqRW39S1rIe1WF+RBLrhS056kPAU70
Y8cmci8XHa+B58QYxs38IDS1kwmFTxvBS9bpcBTNgyBtBjrsCC5coy+3Wa+7ZpsdTOUqBU+G5t/I
dCu91qniaFMNAclX31TicSdVWZZmQAZnbQIyMMZkNSR+ilW89Om5vzaF5Nbe5Jpm/xp26UOFSlyJ
9YsVlBdPgXucpf4q7GT4usVBRWwjUFfkinKKCuW+MsWzx4wkM0AfTTuhhoUkWYB8zehJACgUDt43
A6GNRTak0kovA46twGdcoHsPouI/JgYw4QqCNO9g2nykhCAbXHFBWG9DgDCTZLjxzBfkSNGXN19B
iB97d2OnukLlkZfaHiOT1oKqHaRQdwtIpGrO+b+ut56YweG4xYBMzWy4pRpciMi0g+bZZ0ddJvkD
DJqlJ8L00t56Cbx2EqEnFnYNOeBVOwaPsogTf4jRz4Tet9CUL1GSrE3w1iMdYiOKd145Ynmh1U+U
3zpStMgOSC8JYq7Qf/Kxn14dk0kLTgO//a99VprRuz9V6xz7/3L7H/us+G8gHIpEXvwfQpSf9lnx
35Ym8otIKTZituP/22dlE5MzIVOWjl6QbXZOlPxx7jeZlFJ1A56X9Vls+Df32flc/1XC8eWpz4Pe
n1uCaqJWdVw3uluSaeAMlRXeJmptGbjJ0Gyi4r4qiHQleUouXpBZoUILN8F0EKAD1Y15icG2Cpiz
DP5uxPUvsaIZnitlBI0zmc8xTSXMG+FyQ3dblhBoQiOAc46px9P29F6xXxa4AHj8kdyJ+qan56hh
FAPfE4SX1Z7LAitFtcul9nOa1IckOcOiYrtlCNoB7sMN2EXFBjnfuo9B9UjDzqT72NTQkHq8NxoN
rcpb+4gpxnqGr8I/SgNXB4dllQw0EHGR1IBHTl0MEllZbIrgEymJy6U1+VBElZUqXfLwWciiY8kj
5zJlO24f/9zJHNVDiyYZ+c5w0FJyG0d8rpVRLU2yMAWNtdQbcAwyUDQJUQaIVBuETDbv0pCe5U65
w4S5CozPcEBfYjDLITnSUmO8AkDIKcwVWnOZiIZS7xA6m7YxqoTbWvAVOgKWrLuWvB8TrgVnHhhC
E9zYUsDMqEwT9HgKJcauxM2RNdF/yqwjCtYZA1B+HGgfHsNosKS2qElYNgXrpkAHHP2QDR61oPRS
UjRMGYl3khav5KZ+rEKsm8MwbDyx3stVspEiDd/hh968C7MBlh94yomVmSI74dkghOODgMnd3+qc
Sgre6TgxHKXcQrxTTTSK6zSVnCRjSApVuSksVzFHaJUw6+IWgeWc2PQyqxql7ipwiFCCytXJ6Z2Y
nOjj0g85n03MPYnYZFcUvW/meB8SnCXC+sOsJsX4fD5Hc1/KZDxPrRNU5IfoINHurc5cqk2ytobh
qLf6vWrhcqG52Yh7pfcWk3jI/WIr4xVJo+e2eg9gn9UZ9o3w1Qy2U7hJh3ajx4xhqdzOqQrGgnc1
xsTY89aUaexG0yU0Hxs+O5F2FKpNxscegIq5ngs7CYsoCAyChfuWNI+NIZHCNpmXyJwBkTLSzTR5
MTDTNmzW15L0H3O8VWm2DXGlxGblGtrFCxg7Zumm45w75R+q0i3NuopOknQ1zCOypliMT8WkSjAK
SXamjc1GXWxMmFxL1ZeHfSUgixVqSXOUEesM++hlKnJrqcJdcIMse+9M9SkuUzAdndGgqoKVlvjW
dhInOuoQjL2Bz82QVJ+50NzUsVkFhBqZSXSYS79FLzWflTS5siaQRlKXh3hqP/3Yx/XoIXAIKIPD
+zDkgF7d6yKQactgZqUMtj+Exx7fsyyHiwYaH9979BMIeoJAk8G8l9FFoYPNOqBnjFvTPHMTbFRi
zPzeMAe7I+c1F1K3UKVoOxXoPPVkOoV9dx91GEvzeLQ2USpA58ePE7avOkRkAeTdv1Kx9LRJHww3
ksiaiDXCw8blv8zUioy2Hg03CJWdIOf4vNCW8gn7F+cYKfZkvoTAcWEyFO4QMePVquPXfzVeW9eI
wQx3MHqXVWDdxdt/7AY7q0FADMnmXMQSbjSL4H/XDgfC+2WD/W+3/3ODhQUiUepSmFImz6r3H4Us
VHsFnIkKLeQ7n/6nDVaDPALtHsAIMijVmlVAPzZYvgSbgpAnhKN/7L1/o7Gmi3+dW//8ozPB/rrB
tnkbaNOUYabxV+JLj5zCcEcCwtKj94nYPbHV+WyrLOXg1gINlWbjkjgbl/h++UUgYQE25VyVAQKn
4Xx4tNaEEe38b2Z6tkS7iB1m+Ogx1FnXohHS9j5e+gv30G4jfc0EvBTv0e8hkwnX7XYcD+IL47h4
nvkbYBxfxBfC+KorQSrQ3ueAF5LdLtOpvzTWFk+47u0JfKLuTVZkwQLrWzymiydglYvpozNee65o
9a1MP4JgDvLjCEule6mTb+Gr6nJh18oxyM60nNKTiNkNV/nZuHJ9c7THMF3gghUX5aFe1czJ8DJJ
osPVXQxHUtQA/EJVDcqFsSEVo42W7YoDdyNPrjgt3pIYgsC4Hj/YJjsLx1hWLYXxYSCJjZdsiaZk
HbwI5+DT2tcrgprgQ7GpLOpVT1EB4Hz51Cb8EIRDIb9xuqv2SITbUurtqVrczab45tZFn37J/H8H
r1y8oo7InoonpLSYLzfVPcDdTKWfsJj2A4eh9spe8RidB0QlMD9hTi30RzmzxWPopA6kUtzRGxJj
7wa33Zd72emOECDeEhdXndtLLomacU0YzFJpLiAxESZQVlQdeKl1B5RP2rCNR4iSiNwZFtFdfmhw
SpJiNeH6TBwrXj+rlV0Un8eYQ0iB7pbR3CrvFmm3sF6Sb9LRWoXbQl71R8kh6DN694dVLTJEdUL4
F9gdN/U36qc7zLv+erZeJ2fhvX0UNae+xuse+7b/6MVr8oQW1ntjuR5cMGFdPIXHZo/sdSce0pX2
Lj1V9/Xxjc7Ma4D9EksGy/hdFjq4FBDXGryQ+V5YlfkexEmlHRIoW8Hivn7wP7V8Gz3roivuECa9
gRDlVAIt3owvwO5zdGq8xmQUaerC550C/vdM5Ii0cLwLu4nIqPMWrHhzTBf38vjGdhWKR6aXUDT5
HYehimNihmQsKt5rTl1XJksW3mTkvcEKtmA7N0jxSCaxjfEU94F3HN8AXkYvDGCLF3JWxGX/kX5Y
JWcPW9VWgrjmdxyboAJ1jg2Z3X9wGm1gC1aPk879gysG7u0KyqNgomCyAzROG1zAyXsEbqO/mo3g
qgm7t2Mkp8o81MoVxVlfAnhYEkEBdKPCnJru6CSJF+WlxI7/HpRL9ayAQxltmiYuGWl4l+PlJ0Qc
hyBLZHDKbaQdhWtho7jtk/Wivezlu3cyQQ3gEItPD01MD5KZ1vXgjCOkkWJZGq9G9o7Vcg7fxI2K
ordazNE5ODscFMULjKaoufODif7NQAx3I+6GVg4KRjUAiLQkSqc/R+Em7G5oxcQ77hMOSX5p9QcF
qIoFVXLFDyJ8jh/QW3tsesKneJfs2MIFzhoGqT495wJ1R8+O7+7FRzRv/AI1UtNBWfJFcnP68/ih
7/GpZI+hzqUv3g3X4SIdpyPcBeEVrKnwKAwAQZceBfKc1qCt+EuVEneJWitbAzMJvr1PRx5vNa1K
ddnQUjtqxNaDW5Oopuk2bTPd4ThjbZVpaSFCbKGK2YITL5InIuRA/xMCAKhtRo8Mi045hMPRKq9T
eKcTk90fKa0VxUmZm1DIjJuHpFgqD9Te/+i9X2GGpc4uj3kwzQb5u70fZPVf9v5fb//n3i9yz8zr
oCEquDy+FNciw2461dTVhvzdrPdjFq7DI5Pn6pooZ4k+9k97v/5vDrhMx3FKMRCH2fh3tMYqBr4v
xfV8bPn5qWu/DNWmIkrrKiS+LK/GtaLDfIIps4k+Qt+pg6dB5Q+KSWw6uYtteEjho1ZYa+VDZFyl
Gi1b8Dya9izVsdgKF+G6hwzRrNViPIVa5PrSqZASPoTSVr/PbtJLoR764LEQHJ8hL1dqe0TYm0vr
LFwJzarUj2F0KFgNB/SMAWOjSjAWBIjBKufMEZn3ZOCM1BaxI57Lh9CdA2QK8DcP4kVGDxptZxWr
L96T+RYa5rMkHaWxXBAuWONeh/8z4yEES181G2nPfD7yhyV/U8reXvHQrpJ3XBfctHsv4sZhUP+Q
hls01gBY56GS9wQbo7bN6pgpZ0lfEZUT5jeydSpkz/Wzykuw7879MUFwlK/0Bs1dSMlIOb+arqRQ
vwJmTLGG2+T6EtHLUkdmF147l/9jVgWUEUJtV7EuZYTb0UR0hU8WhUR0B3HFOtTS0RYWJIatERuJ
S50e4rpYk4ocFcTUQ/52hgEI/prIMJZLbl4Zd6ygtf7AXbAW1s+Ta71CTPIcbUVZHz9NL6wQ5LCs
hlmFCfFxR8SW9lA+a6/gHc1uy9Z+7T8GDPfSoT33HwovBgsSaSqvbEgRSzHJWo+yDWwuggsD/5vH
Ji/vNVtFOwSH6r67VNUSRr4YosC1Hknimo8+EJdAKIVIxiHdC6R+iQ5fASoerh4Caw768rotxeh9
/CT6j9Rt1VaGg3833lmP40Y6wLom/2sJW/oEJb8i8bc/6d2SrVNczjfeWY+zrnVrffYf00t3kSnh
Vx25tgDvgXdt+cEfxHsCgyW8hkhQQUESAUyq0IePFQQEjrYwpx0eHTZkEo3b00ii33tA4xLgglOJ
2xkfOe9K7uTtTX6Cc2LcmeuKZxCDdsIOqNZuzh0Djhp4LBmUuOKMdyQN4/y2eCkQxXKfWw//nbWy
Pr+nIRNSqnyPIkaCf6K9Nd6RrmOQrzy8WJ+iN2cSk4s8jxNW/JDyormg1uUPWzaw/sTbmZ41UvaW
yMDj92rLd3Yq4woCUdcoeFHWbqWD9sB0ZIBMFRJU/M6NhxdUv0E0JyLnBu/JXbGtSFgCQv8gwddJ
bPKVecn5HMI+QNGMZ3aPnFc68OqAyzLnu+54E4xlxRtLWhvNIi5JtL0VXAYetD/x+XJ5a2YJsPbA
bfrTvDENq+/q4ADwcHrkdVJItxb3PBkynYVgw8PA0Z8D1/hCUQBDZ5uCfP00uOm79jC/zXM0HK/o
sr8zXnW4EaL/wPMs7NHNYicwlv/YHW1WeagGOTEmAZvqXCb+dkdjD/irSuTX2/+5o5lgOPGSizON
k2y1n6tZalzGsVglJeN7Fs2PsSy5wKJI5QktWPtD+fVnNUsnWYFszD/8rmCI/zs7mmGwF//SLv7y
o//Ks8ii/8fdmW25aXZb+4rIoG9OBQhQr1L1J4zqDKIH0V/9fvD3eceO/z975DRJxbHLJQmBgPWu
Neczp1KscpG2hkUpOwaooTJHhpXUOSNVM+umai2tDGMB/QyaA4AF4xe/UTuY+K6FDwVFvbEJJr4F
mA+vDE2Z/pifb7Ck6k09vmAgME4xpyetJx0cyLWSneqyLF5thr3zBV+DRaYadvALlSNDDZSOrynm
AXW//NdtWNcp00nwWbVdH9PpaBFDCMJ4/EizFYIDqD88aflZQuGQGm3VXB8MxPPCOnwdiLiYDnQT
u2IrNKxHby5hHFTJ8LJqOzaDlrjg2GG1Nk/rW7urxq1xpW/M+us4rzuGN9btuWaMGx61G6ypL+5O
Y7sRTE4bbC+S4WsfzRUopHlGXPZxIxveAmjsiBtFchRhTX863IfckNQ7tbyTzzLjKa6EXGJYgEDa
1UjUnE95uknuR0DwOtGL5YlYksccc7aL1rQwvcR6y6w3TX+PLYSxH7fureveatrI84nvmM172LzL
zfs1IbOOBBRyCB4wwg8T1TIX1r1CJ1FQPgf6imIJX86H/hy67CrWLkm7IX6rASlDr4vrG+yhUTmd
eQ84Q9C0ZhfpCd/G7YtfwFeRNMOv3Vf9etUcFiXbJMEDeOzXstcALVFWROvASFyMOHRBhO1YnlPu
pOZLeVZ8a0VkxJdyGb7hZLGvD6FPgCWcFMkZYXb0sDySo7Ij0B0steUjbUeNQkxf60sHHdhUt5ff
Grgmwl0JdOrq3/blV/oVvuT7casTqLAygJI9ws4o7lOfmNnWH16U156yCC9NdyhRzdns0Q9jpdr5
RidD7pXRtItBa19+KIfGlVmB0+gVZiAt5R0s65FRLT9cHdutRVQqIw2HoBxCMyGSgAb64lu0Pbph
FX7OT7dz7rO6vxeO5kbx2VEUZLCtRzjZ36mz79N+cs0zeaJ2BtMLytJRyPfGotxZpRsyQebA2ipb
9rO1NQEagD9awdAycPxA8rY1Ug6+5iDdKOv6HF9m6P8v2p0mudfyTrtCtz4Pe2UnvqkmEUp21tsE
AUnMNL86FrMUAoyK1b1CZ+cwvvPgSTsYs9Opvf0+vQmrksY2RicIMat8R6gD1SNpsJjy++fCfBA3
6uuE+6neZxfeGFmsht01Pq4D4y49lxvtmZwPPm2b5cLR+mlgvMbfrg/dw3CYvhFCrn0YcI5o5yp3
49Oy07blgQSicGOt5ReBhseX8W4901aQduTai6cid5V9+HJLHcKguv5YmSssrYJkq0AcYQOtCQTc
lpecI0LngOc7dt8Wy4UQROsBy1gIdAyqGWyXeVO8KQew4sfiWEEW1b3OFuh4qR5aMZsspJ1lx867
xDv2kpP6II+r98Q5vTSgSVlPCqyYD9LmtqaJ53debJeHesbdlaN8Y/NJInS01evov3Oo9+a9erwG
3YuMQn1V88PjggFNAo6gy6eKo85H08Xh+lhs5RftScRShHhglR0ZaQXpHb0heunLeUay3X250bmg
dNqCMm1ld6LNQR/jPUZUj+H1on4Rjk4yHeda70yvkDEKwhlpfTywEs/BVyQ4fvBuEVd8nwrei7l6
WShANhCPjX6RvPyejJgdziedNkfEgEKEHugsEzJD9JLpKN822VS7xjJGQ/UGfCvst9PwXF93w7ju
k0vIrsw9XY58YwwEFVFdCo1xXVf3gNxD10yARuKGUYkiYbzdfJN4o+erEeKgtvu49SPDj6srIgbQ
7x+AqH3ByBZysX1FKz+EG5KL0g6womckQQ+X6F4nq7JrgYAhBFFA5HyVJg542n5JFrSE1+T40SPT
VUqI5wzPCB5ch0Dy9PhApuYWvQRiPbUMcNtU1V2+ZgImDH7xqvMhEB04lAPUJQ0Dxd2cev0XGwlu
uH1lwHQVHKVz5MaLkNgA4xCc/GiKNDRX7QNWt3d+Hz5N4zfsmWQ7WiaesFVE44NzGE+AtFIrEIP1
ESyVojnEQyJpbr3Y/Xb5BmtuTWcoJBxZmwm/auxb2XtCUj2JiIIb+Zh35/E1L6TCuXG/IhwVEbEl
Zkj39XWjWs5cAsSLMX/+q7PgYYkjkRdFTZZgQrAe/5tWhMxc/pdWBIXfb4//Ubgh70UzzJRfJECC
ZIefCjfpjyVx0Fy6AWgLfm5FIJpTKOcQ+CqogkkY/HPOv/wVwCAqtx9K/39SuP1etv284Yq4/P1P
ajprTqUwnrPEb4bw1HWhPZTtJSkJ9vkvfeT/Gwr4V7L3f/YRuY5MOnTe21L7/vxS7Wi0mpJIiS+F
go3mC3JljXbMHI2Z/sOQ25qS0aqXSUlT9JaAlhCqoxZ9CWFt+Ix3gNw0G86M3nqjuXIq4k+zaRqn
UaSbb5LgFBhJ/V6UKPBCkbacIkQbq4PgL8EabNpm34QUQSkISJ3VZVQB+hO1+FEcM0IKr8Y6Zwxx
TcPIl6S8XE9dt1P66pxrwlFrkcnVZHX2gYYma7RobjbqIyFAlk8IlKdWgn8Lrw95L92XeeumNYDJ
Q3P9llfFo269Ecgnzp//4lURs80Fu8V6iAkf1v+/P7kUibPvFxHN74//cXKR3Yl7TpdUolaw1f18
cql/yDIxKQZzRTIGzJ88L5xBGm0+FPLM9+jnLZL7P8WqKtoSk5jQ/5yT/2hVJEmcpr+uin7ddPkv
n/ky7fU8r7oOS9f1kqGTDYS4K32TsjpOGevXirCV6go1QOioueDJpEoFs1DOzwmOAdCLgAh6pXtM
S/N4yz40blxqa3osEWl7S5tKvQVdzFgA+eH4kgoM+dI8GFUAmJ1wjMcMtgjs9V6m0jAt3PZk+Z1u
U4sEIrJsw6yx9zVO1/R6UBQCVdNIcqFd6ZVwaTsCC7MRi7vkdhro7ZGRg6CkW0QSDYlNaywNCyhK
uYvqMBC0yI/Hu0gmiQocZq58Kvl5Ut1S+lD6J026j6s3VTgmESc4KYOJjlMg3Rc0ExoGMilWQMgd
Q/ulyNWqiQHlDpZbZhS/RX5z57wkvQ1XOegUWTwbMlMI0aS66Oyp7LxGns5FK2erCNurHIfPQwyv
Uh6NnYVX1oT5ydr5EndoTApzf4UuoJj08wdlN8N/Fs3KEdUHYu7cGrrLDadLZ0JyqMUgxUc+Wq4k
Cv6cFtR6IszvUWFWOdX8qc7Ws5b9m2f3ZAQpskarA8mZwT9/e17jrP2128E97LfH/zivuWma3BMl
jK905L/fGX/M7pebJkQoQo5UEbDewvX50b83+CvOQeBOKmZF7rn/e14TDoJuHR0fPQ/u8ypW2n8y
u5eZBPx8Xv9l05kl/Hovk5NS4/iHCiljm1uzK/oKgDfBktBWR0Z1jqFuhMc53jJVzy2HlgORBgOk
Cdkd40NHWLRKzxwODsvVBV43HZYO+wHUx7bqfJAGJNAXZOR0Pr/iXEE0reW7AidKDKhCAOluw/Ap
UY6kUEXSrbbLxjVulFXXS4638nZuJggb6+r7S7+yhF+hBwlRB+CKeTg45nzbQKsPgzw+6SMoniPN
4OFoUW0Cg6+dCIPn1ebb4/WsqRvlgU6rkI47jdVa03+Ea8tN1pp/tbbp7VTL9BVP/Ea+nrP4JKM+
aMnMI9a+sRyxg8gRbYlHqTwjJKWPuegmlF8N/+YhIvaC3m+2p7LZDSeF0HApz3cCrkCJ2yzZKioR
kOOF3mqCRejmTAnrYETDXfmZKCcKKPJyT2WXork/jeZsD5uOyyVxtNf8UxN36ZI2r99XqMPZrlY5
ld+3sct9tF0d1fWVBCjUjOTTNViRaEz3Tumid0DSQDcKkj64O5HDVrvkG0DNcCWBoYQ/PHR7472L
L3xPJGAJTd3IfBfwRLevQRLHB+FtqgxiMXUIGwczWsMhkng5ckrZ+GYln8tvCPH3aCq2AOTpXoXV
e0vEwS57Rn2RQkh/UJGbi6z8taCaP1XoF40n4EUEK+NpW8XHqbDiz8a7DjTklUVcy0ASUJUnXh5w
9MgXw2ZewaeRJnPMEBV4wTJaJSeiUl6H7M6kDQAH0b0pe3o2xdUblP0cH/gSVqKNRsS9EhYnYIHg
h5BUVT7BxgkE1PJUs0rHUlBdyDZYa5kz0MiZvuiW7KTdzKAXQGxDCdSNK2Xb3jg/PDpbrqjRoPOI
FOz2iBgytzM5nsaJE4dREXhvbOOAjzVWV/RVRtzWI4faNp66/fQ1PPBWJ5Kr7Lsvr8avhWtonwQF
iMFj/cpBqY48ePpiH/CV2gv9pbSl92gDmx2CK7OaWMKkwKJ413K0Sl57mMyVmbGDdGkNlMtl426e
AClEW2pNkkmde9qR/Uc/fXXedZsfsvYJYiaHPL1+k6u7myff3xY3hbrKBJdA2aLdTevksZpW3LLG
Td7ZPE2EWq1CCgh7ZvDi6lIrq/IjUj7y/iLF95p2tril5ModP9NphlNGH6P5JNXEvTTccd3QKNxQ
d4vySdd2311hzd1cPHYENwhpvBGWEA8mJSBAaANyBcFuIktPfX66vYwCb4VGCnYD6GGAcWeEIXeQ
wWRCIqx1eOrfby+MrPjKHk2fVA06+amEGh2rVU5uNckUz02pfUmVsYoSWkji9eZVkEK43ImIgHqQ
Wib7qjkOWu/cTAvsh3Jsm2INLNMzkPh113PMKKHP8Kzv8rYICtWwzxJUikt8Ti/5ERNgRPtHhRzp
lsfyckkvxYN10rAC2ixl4XDrNUAu8jKS8JOswsJw+xftU73TW35IUOQ1SlaII59MKel5Uu7o5qW2
mkA5lt/IZ6AvqdAmXdYYK+kzhPNS2AXGdiRDtQCjsm03XRUj/jxLJ+nEcPFFuI/3qIr2kROtI6dA
msUI0mnkNRQOdXbU0OGcrtHif1+UI3GmExCv1Ceifu2ehTx2Dw9piisFNDg39B5bB6UhsiWJ69q8
5doynkYkHiUXY9EzpR4Ra8XJrNhS368tX49oFze72rjkk188ayFCYkJZiHMjtwXKUA8BQPeIA+Yd
9RLS14Pl97yM+MpsWEcV8jGcM9w1ZgmmGCYMXmWuPVfrdO1hg8bf1/7ty794KWLqEotqOk6GgpF3
WWn83Tpfkn5HfPz18X+WLBJ8j2XyY4n/hXX8VLIg5EdyYEh48L/Pbn6ULBaaQpnlvanDBiFi8s+l
CLMbMCQiaA/YZoun/x+VLPKyyvq5ZFlmUz9vusxb/3n5rauJxMVGC71yiPuNYbRX1b1KeoyZrTpF
o+GKdPh7xi+37nVsSdmKQj+O1VVTVrZUC2cTIfZ4qy4CZQbJlCu5m/CT5w5e6FXdYDGqxZ5q/sYl
R16L5jaJWMfLEVR2dX0TetLbn5WbtheMd1MoSXgGA1jH8Z02pLukm+9y2EfjmO8x6oDhb3ZzMz6F
eimtWl47G2tuv2PtDt0Avu8mbpO8DUSrPJnxvF6k+8SxnzPB8Opu/pxa4hMyOVAEYmZyhNs1IUxi
gf5Q5gxDBz6BhVyRSvRUs6Zpr8t8v10LoWyewtub3IfHGQO4E0c9WQry9VmT368l2FYldbkQNn6n
wEKaJMCZlhKuGiSaUpQgAILzdCWXJFV2uVEGA9RFxWAsIp516QDuc8ViNRiISepDKSjGbCtnChK+
B62cgkgebClhMq9GhvJgaWrvGXH+NicirWZM/J6WWFUQmoye5HJD/dNlA6m6oieP01FP4fUXNewS
/EzVONoprigRT2QKdzHNTWJk61MoGihI9EJwm7GLvFyj2OuVnDl4t3BOKGxC7NkGNSkBJw2xBP1U
P1gCkNshlsmCECARqC3d2nIa2t08FcNObtWHaalUK/i1mXYMTWtF2PXnZKmBxppNt6QgSrD6lXDF
ZvreSB3rLAtuJuHZ1tzj/jLVYj0R/b61rqTZknw+PmfygL/uNjm3a2YEk0KSlCAo0drKacbWzUgS
udHlB3qdsHY1LE6DGvk32CxeD7KA7Y+F9r5BcyVI+7QcY/B3eayfFbjDfJbLR3Ngd6ZlsjYn1Oqj
EdIFLYezEs2HNotQ1OkZ7dVMv68lwOzmCAUhK6EFX5lDDC86DXY1a6nroBkrEjXtSMrBIVKZmXGj
7fT9PFFxXEv0r0PNssm9jtl7WEft6t981ZUVgOvLcFql/2Oymvr7qy5yqV8aQOZvj//zqruYlblQ
0s9RYX5w/fxx1QWHAkUXyAqdp+8isD8XitYfdGSJt4XCIS9+5j/XidYfyqIAYyiufZ+zW/9kncj8
/beL7i9bvqxIf77o1qam1uOUXP1K/RL7qt7dDHHXtTrQgSTdxAWa1ys4SAgIiQpcaG57WyuMGwM8
ZjQq1whRqxx+zEliFJwYNWZd2oxT4RHG/gAYSFtnCZ0WmL5E2BqMsTMmYbLSuYmEF1htuUwvFAD4
KGmL8lNXwyGIa67TCsBWQXkuO9UpC/GryfBURan8oBjMG/ocHQg9PUySkqMWMi7IZnTkFNFkH7uR
/BmV1ptsPrfW7OsjI4+btrsag1MTXFjNyvZmyDtNasCupupKqWtCz1nNaYtuNDe5iSAdKZYkbXMb
q33AWtqJBqZxLCp6JXYrEAtKl25n1ioC5tK0IT/b1FCASs4EpXaEx9bMMjUYIipqPysMRoJqrw1Q
FIWwa/H6JjWptjYMavE0qx8U+UZJO/o6GlYjT54HVQum5rMmoku+9SSfj1t51InCtkKWHjmS0SYO
o5eS3DCtow8UA+PrjPyZNsBKUu476aKIxM6HzL5Bw2RhQ0SJsRazaRfJpIw1OUG5ROkC7mtU6lO8
w1n0kqQkpEQZ4BvRozseiBkREVWxbXVkyZ3QOpOpOECbdpic3F6M9wMrRrNBITBGJgrlRv1oNOxP
JisDdUz2hkwHT0/Kmz+X43CSmQFLRuGPcvR6swr72t5cM+7sRn5XgERUsxhI7A5TK15L8tqMotg0
WoRdC31rm24ihdlVLQcyPIc6qfxQGjc1rbAKVUIuPsAiWZkm0IuKrngr2/I18XrEZ5bxYjavcD4g
4qiwlN8lBYvzuG0s3FnxYqYKPRWy6Jg3XsENR71B2CJ2hJR0SPaSq91ixB0iAy5pHaLRHmZ1K45v
7a1hAQKsCqPgNZjhg5bSxsxmag6SzjLsVJS/bXUs87siPBb9tyqDPTx/dOppFk691DvAiNeZSvyS
SP5wdn1Sb+k2LoUNOkOWW4KjwYanE/sS5YoXicP6GjLVjGRHEsJ9IU+OKVibic+9ggpNLjpHxbhu
LmsBOBVmCtK/fiJy3Y67fpsnyX0Ro+wVY85qFgyFFb4naW5Qg+QiuhH1ujLITbCI9bYTlZA81MLW
0AYWupdoiLwyVBwjwcwnjeMpElLJLSLEJJaZnKWuuoG0L+kz9VtNWmzH1vU01qhVUCLtuLI9SWMY
eiGaenMYHlMhvm1avfbGElJqycCcnT1YeChDZdVgRO+/+VKJAsXKXX3q1gODklbyQSuecyXmjph/
dtxv0yKBfq9BUwpH/V3TuCT8m29eQCso3anTyTZmLPB/3by4xv968/rt8T9uXvh8Ley91OUMMP5C
ouf+JOmmRjfzd/KPApr5JyrXj+EFKwaWINzviGn+Ly/oHzQ5IXT8dvP6ZcvVv8wGSzmfmlmPLM+k
2SKiBYqXtXQ9uWLuhYlPtAV2gfzRugCugnRnXW6Dw//xYPYq9DgXL+YbYTzhHvkSf6zTTUMukK2t
Ord1ih1yKpnLp+E38i4JcPnL35AaxVwFuMIRz3MhA7aefR6cP/bVvVYch4aQONJuZ1+BOmdyMXyI
3ibpnIWAw9YJkbncJmZgMwwG+FEL4x3DhtY6RvJ91qJv3VIzWh3WVd8aLqr2nIT71mmdYQ7C8ZWN
rpKd6hFgr6eXW3mI281gwCIDUQELCNtSGu2J7o3EffSWPo7PynRYsvPCeV9M6+iNTSGPh8VOumEX
yOFpyt0tXQi+m9yQk/Hv4LBNckfyJBvB3NUFKG1cVA8xmer1z9qKt8ELaatipx3Zq3yFvNi4xn6D
oiFjuXTUbzvG+LxCrH2EsNH2+jl642UE/Z2dTURIuGwkkIbz+MEg4/rYPxOne9TPAkoB1C4GBlHF
VpRPSRts3rDDUbuBV/SmYsv7hIoufWQchAnen919u31TSUbUMjvZ6CqYtmfjOBL7nu2F5pljwdHB
+tUle5+7c7lirYQEGFdohugnJ54zFfVHy5pJ2sKWuY419WDc7HpSLoSQyvljA4u5awJpC+RDguio
RNInsCNfGJkM5fpmQInj52dEQF9pD2SJpndcPubGyUwRy7L61KUKzR4XvTZm9eI8tcW3GbGc9lE9
tvCROm7qK6K9tuHd5FeehfdjXe6QxR/HBlg+bElSgwkbHDfSOSH5Y4VHSnXDS2GwjAWKhHwcACOS
34nUrHZycz7/8iNY5HCfTpjiV/0cDOthrR6LrfjBU/GcGgfI9LTJtvbzhgfC5dDVu2E+XcO9dq6t
N5ZCPFUCeXX2n3iA8Bq1G5Xm7e35mq25gypkfievHZ9dMdwkj7xM9kiucJA9simIbzBUeQp2VE94
xcQEtLrju0m07xR7WD/VOH83wiub9aweM9Mu+JBCa14afei2ECORR/nMy7K1c7OWUVZNnEm2eQEL
NzwPJs/KMopty3d8RyAjWfJIb16eVWz8Yc1fVv1DlgTLTmETP/iF7cK+e42dG3BbTdq07rIJ5iUN
hueJz5lKIzlby/IXG8075Q2aF/aldh7W3Y4UG23LM8jYlPhkH5NHnlGdDk+8ZougaFDdk+Kxk1fp
rofAfFtHwezR29sziHc+JqrdeD3fsZbnruVYb8VWgnLX+cIbyXi2543byj+xEPO87El8Ue7kkx5E
e5yLp3bbr+4kJQjpeS5gUtbgdvVOjBFxBFa3NqACZrjhS4fM2zsp3F730detXDN97QmTCx1xWH4j
Xx/l1snbI08Qz0Q3eM179XRHxN2TfIJz4GgH8SQHkVdsSWwlOkzZnyr3utPHtZyuuw/gV9q+R6QF
yXOdrZ6igM6JN9pe6yqetNG8aW14eXDbtY/xXfWW3Gmb7NC+wTKOl3RAY5Oehl1+il7SxYW2gaDW
05dG4WQTICgRk0yo0WQTmYsOla+b4JDw2AIPOMPlQfyWjYTmOcmwr5ikpKALV21pM5IlTwJZEh3O
JA4gFSgoMICyruTmXsMCwJy15y+Pebgp5n2Jfh8ZGsMM/dhnh2LeKDWaMxX0Pe0akqCCgvg1eBAD
dkeiyPQjnJXyKAp2u9f0JWVP9smV9AkUzLHWuUq1Lo8WhVftCoihqKrODIqRV4EMG+uV/BQRms6h
6ZwGAV1KpQ28gIjtRRj1EG41hgX9QfTBJmjRovFTyXrHjwmGaR2fiyggmDEXbPE93pS49FHZp6vk
jLuz2Uv7zG3gk3cr4ANkWsv2oPqYaUzlgZhGJsp0e+xocRE6Ep2S0TZOTMV5MpyB0zso1eyVn4ZY
O5su20bS1K1ywLm0vKP+QKLltaLggnFOQ4qtYgubB7VBmzkEYbg4DHGZk2bJOsjmf4p2GKx1wXaQ
0x3Z+u3fq65fZFIwWChGVaoflRrnbysxOg5/nTf//vg/KzEoigyITf0/fYSfRFrgy8SlnlJAMS8C
rp/mzdofFt+igFMBOMsWXYv/ykhk/oaOBKoUSGksC/8RnZnZ9a+F2F/eOGPvX7sIsSJeQznE2lKl
u2noqKAWV5bfJsS4iaeW8+oINp7Good/BOuH7mOZUfQA1hAZqAKRzVVQinaMllwmmPSgKK4Bd8Xw
GvwaAz8QMIVkVYLvvL9MxeOtwre6E4p7fOAp2tUGnyvzZexZax1+fOH0V68exCAnCQxqx+wuy2AQ
L5fxuJi0cWB6VGbfNGWJCzB0kBir6QzpnzEbA2z1Van9+ciLLGGFfBtqKV6xq7lVAQ9Vq1hxejgh
2aitqlOb7azFk4Vqks71x2k4MfBiJcYUmNpBpc+x62y1+Qx9vKKn8mO8M3f6brgT92DOdIYkRwUC
4TNiTlKTc06pTfYh3Uv3x8LJPoY7Tlw3fOyP6sMcTK/Ta+7HdBUZYL6oD2TSdefspb0M9brjMkbI
j+WayrogG+Ch1okSKHWmnC5f5D6oDyapzvEzShsVTywCY5gr6rYdEYK/Ny8iYQwzbJsVDMqbzS/6
8jKgYTKeZ+aY1YAn8cXiumMrjW2vOxmuWFxj8oVfhMeUJsb1SuZ27ZQfCfG3Rj/aFv+V1WSHDL8Z
2zc9zql6zbMzegwXhS3QbvSdQfGW3gtnWPUIFO5jYWc+X++5RY9u+ZxtDXHTivfjufrGTe8d6FSP
7maJ+Iy1fX2vy47sYC+T4oDIyk19zNd6e8E2QPJxWG+Vdp1tMc9VmVN9V8G3Gw5EuCYVAmsuK3HB
QhIv35cf0PIIsCVyb4WDefYoRyq38D9afk9GgqPjFd4RM7GYf5W9vhMvhY8jz5fuii2H9FO5K97b
rR6I35pU/sw1GtQotiGYTPtqdOktXJ/LasUK3hWdyAarP7tjdBZJithYXnZI72H3yM/hSTiMfnyJ
zuEJFHh4Gre5l+/7LcryPR/UoOElVP6NPBV7MD36e94DGyy9KnuOA55j4THa8W5jdV2RzxmuGXTC
7Vvygu3hJI3cO+RVtWGyLIy+lW2/Cyr88XV8FbJte56vvhjvKuOgjKuD5KKSj3aYjz/k+HBrCJ9y
zOsTzC+c6woHYl1Lm4fu0r4umfZQOJNDlO4Mqk7qlctyKgH3oYiId4g7KmOxxhlf6Ycs7rCQ8eeJ
fcpkt8SSxyvvE4Y6q9KBfnzEL/chy3eqfIdbbdErwie+a89juJO7y/V5fF3yJSLeUWunH5jP2nM1
ELzBHrP4MDKaJ5+egCokmQ94nGtZ2uZ0y2/ysS5KuztmjzeJJFrNM4SVdfp39w5QPiI0lFEV/l90
ExnT8e+9g788/s87FmxqBMuYnHFQ/9z3lhZsNzl2P0SRP92waBCYhorbmo4DpqBlxf/jjsVfMYfk
XqZLzCK5d/2Txre+cMj+Om1EmPnjnX/XL//c+E5S/GBlp5lezdR9XXNBMUjNHS8G/H3KmNSRR7sh
hAiFXbTD1IUCZAju5QnDE/E5TMqfuFcQ9Gy64xOI3hDNU0GeR9ATnD5Xq/EJPNVKJfUsdJrd7TDN
x0L7nORNtrseBFgeZLWQNUestbwZYea38C70VTnbxgc9apF+hApKkNS1tayuU4zC0krwuZ0pDpfp
o2VhKaCNHjqE3lxHn5igubWb8OPWoEtwBJTCuJ3xJpNjoCuhrWE7E++bOrfn20vfnU1S43BvoaIO
0oupeddjlSJp2vbON0pDZm7NAwlNGWf7jSYJ8mN3vJCZRjsbRJfTchlz8ynoP2vu2dZnTHYaTgf+
hhzMgrWSP4cs98CRyT70foduR296nca0CriC9ny9vdOSoBuitlDQBkcZz9alcZgDXouvqTUdq9q3
wqO07bnAMsGiXWMQNkrgvboeqvvZJghnQ9lKNVzYpk19QKyV8SrSUSknN74SUpetssD0Jrc45RTV
3I0JRaV0bh9GW6+JtM6sZSGcasAxL3wtFSxpCjI3RpoNtfaQUuVG1+CWHsUPFujTWpXsUNjKpIE6
dX8QqGWwR1zXRQjLRZJ2AuoLL6Hip6Tmzvq+REDhK0E1erMlf3H2rLh9AmkTbFJc6DUg38ofIUYc
1Xe2ov0ao4CNuA7Y6Ws32bB4yM50320p3TZ7an/K+vxCYQ7RAx6bKdlN6kC6ptyWhQ6Fk1o/ZEHs
Lr0lj2XRbTp2c6AuidNrBbAIFqvIaTiYG4kmh3RHPmjD4DBrdFuCtX5DB8Jn0IRT4obdmyY57a6m
5cUt1l3MHyXADuIJsc5Vgxv32KAex9RThv3cOcn1SwSdbLrL5ibZR/uVBHrvVI62bXDc0MCJOOqd
Q9weDOcDe7XcslbQ5+moLml++7I40H5Bw0OD4x3aduZMfLwSchhy7hbzR/uslwc6AIF1kT4amtVz
FLQP6ZqeEEvAGDAOy56ZAD8MKSI6H1pLSw+Pc/P96kCVtulwbSDwBAq55Kvnz08ahRu26hGxT+0J
d5jb9CAv4WmiUlN8bnjEX80Rn/YmegN5iUblctt3D5jX6rfoyVrMcIinQu2pSnPVNbSjtOUwYyK9
qgZiMiFCeAiDjtZWtk2mLLHvpPTZaozH3Us2OEGixHugZ4QHtl4TPuX7MMh8YR82z4TSpxsptuO3
YS1+yB8K7k2kYtxt37SQNA9nCjc6ZksnbRyspBjpl7DYT9ojtEw6djYtG/1o7QdkXvrFZNz/qh7V
I32MfEeTB01EcnunXzI860d6J7Qaqw+aMRNLY06u/SidGcXY2rl1h+cc9IHL19IjovUxPBN8gC76
cSCwcDWslXPm8tEbXUnlUyOy0KV56AoQhhhoLo0rXsbTI7ebT7yCaVCKr/ku7ZtnejohJzitg6Y8
IO26DM9RvWcjbzKdFv4QOyKtugp4AvJR2ocqnQ13WPOGm2npO5VNMNo45eY9DSktvYg+8XtLm0kj
rdJ0uESgOUharrANojzmE4BMIFMNW32leLyNmNq7Pg/PNImWFlOxnRqfYzHwozSgEusSXjg6fDMr
vrQzb74sl/4am9/n3xQaW8ptV81+p7qMLecNxQaGQp57wtcaZMgqO/Y3O5vdvOKPbDS7gFfiqGln
/s9ehVVx4VlpOXWmx4yjvrnVtwEFBqsAL93l0Y4zm/OYy4L81OzTIxcHA78styIMfaS7j48asgRb
6Eqq/HFYlt4tlmMoflyVOmOTQR5O3Vk/ZdU6GVxQUbjl+KpUUlxW1EBCwijHzgbf1Dfx4KvNJYFX
JaxuXLMGAJk0YoLkwXgJ+fwjRcFtt5YSJxyOVVuR7DK7/9qiidUulnVCDwC4sNJHpPX3y3wU6L8U
Tf+vx/9ZNMnE9FI0MbBc/CLUPz/UAriqVMoYHYD5D/nWD42WTho7LhGArMS7y0sa+/9WTfofxAIT
WomTBMuIZv4juwhhEr9WTX/d9O92kp/cWLNyzUqhCFuvGLYtn7kJE6h+fYqD8Dzd1YCH/fAtxgEt
4il+aurndDWHtH8pQVAPDxKfPwLf6IPllb6agEjYy6Jc0/+Hu/NYjtzMtvWr3Djjiw54MziThEtv
mEy6CYKmCJfwHk9/P0it06rqvqdD0w6VShSTmUwD4P/33mt9a8NX+SfhsSfRR05Aml5x66Cu3EUP
i5V0ZbPTLoLf7xG2v0Mo3+hOR9J6PEL10HMyHXmaV7CT52xPGHkk+EiFJuMYPCWUd+vgiZoZeXfF
Pg+WOILPc2o57ZmvFIdB0D53xiswL2ONrNQTTNSkdn9KdwDSFAfZMV5MAK9Ho7enN8lbdj9wWawd
4YAh2yAHz6WDCh7Yi+XV53HTHQ1UTl/9pn0sz7QLQLz1jyXyAfwb2wRM6Y5i36m2PKJnFThPsTfO
FEyCag9Hsf1Cgj489GdiFxUPiniLwgzO7IleAGMXsCrtI2GCezV3rIjm+mMbfGJ2mZof3I+3Idsb
y7el55jNF+LK+qiHJx6gfoUmAw0mQEkuZnugB6iQHwofsXGTsaPqHJ8tKFtbrkDe3SAOgvYCkKgE
Ol2KYFNh+CFP/pTuME/Tb1Harx8TAulP4G6YZdBtJ1iAEZmqg2tcxkt/Fl8qHpLvArIaztb7+DB9
oTOWdTfJNnxvPirxBXANMr7pazibJPERlai/TqJHCd4ggcVdg9TB/MFB0zK7GR1+eHzg27z7KpSC
54otAmZkaurAfIBEg/P6nm/d3wg43dg45dZaQkzhE77qzlIzp7b5aDqwAT4AkYU3wTZ5310rJ+Du
Enz1Z3V6nc0V+m2IDswMcVljsal8SV0njtJ7wv0yfyyIWNlNtSNV+lt/v9DDYUc22KkMxizyEutR
obVT3N+T5KWhSQuk5sHs6Y04/Tv08dnYCcprmr1Jdq4+tqPTof87T48me3hIO55hmxh65+Pn7BsN
w4v5QTrWJE0g1Pgynhrd1d71yEeDUX01X8r7PL9b9PRb0o4hoUwNHorDMHvW1oQrJB7zOxmL66rx
4eMw3X+P6bXckDXT5WbwFcP6Do4IHbveV/Fp0P0WvduWUmJLN77cBgurBzOibYqE/mlsf1dGvMZq
v1/AK9UGZ9KjvILiW+2O9nEPLWfJA2vw0DNFXNGUAWPOPmzwkZbQo1ADb/kW948o860FCkQHILDW
oMcA3SgJYsdEsI2Aw01pbCMkNtKOgrXMPLHipISENEOg9MLnamc50/q+xflssi0VwRivh1NxSvY4
K1qGEem3WHl08HLjvTV/cGUqYx/mpPGobVSQTYadd8l6jt404wQdLSBMqSY18ZDhVlGKt9Kgma0q
tK+YY5ab/9il7jf7Ia1sAlAQ+GKkYj3634RxJAH+tNT9q/v/sdTp0MBxZlmk4PwaK2QQxIwVitjA
xYrLF/8jjMMZiTUXkyYuKdVAfcDI/+8NAm7CNaUZooimDoHBX5MjK/8kjOP3LiBVnYa7ZLDg/9zS
rsoyUPtRN3A6seefVDuHXlkXldensL/uhi3WUDUM35y/CRRfJSPTuAoiQvEQJPhORNDhAckSiryj
PRyB3RMTpoxxaxv0Xedx2jTiE+FJqzmFblVEa0GgXTYXqr1khv3pUzj/jkT/P3mXnYs4b5v//i9d
+1cv5k8f468vpmiH0ZAH5DZGpa0aC0l1FTLFlWZIDCWmnr67hiluiVrP1mJdTU6h1A3JAz/Ycjx1
ZCJwekLBku7RbskVVATx1relH8fzrrfyR2sAB5IyaxR0+b3F1B8hqU6N3JGl3HJCQycEjTmcMUEM
HdK1hc4usoz3qEicEuemmvVOOs7HQEEFkMu7gspFFQ+iFDtaW2zQYLlxwO70boKnKDVUfSl9jHQ7
KcVehlockHIQ0yMxkENLBRRlriOico3Vl5H5QG0+J/iuWPoSEngbrh+mTd6AX1XLFj1nHhG9JDg7
tSTZWvlzrLB6T+G5jjF2qJ2/yLKNQnYaPhbTQLjVma5QnmqQD2qCZbQAMx0+CyPZLhp5Bczd0JS7
laUcxlraDYX1mlt3aTUYCXEeNxIf3ILMkAwsVmzBJAuNm5bnxyYtz7rerhOxsnUNisn8ItawEsz8
FkJzHDt5P2qCpy0Xwg40WWgBf0gRaL/clR8FCUWpdFPDjyQ+K0pytGL/HleUhg+1jkxskh+mbqaU
ZJyhkgQV1utelmGc926Sv3WZsVbExhM74yaJzFLlfR6dq7u4wTKwxSzAnLbAXcYkl8zvoPkQR/CS
2E4bOCt6RgKHAXudyCMXOPv7UCmPqYnYnCFMVOeXyhQeBfCaqTitdYm+1wKjTZp3swwOXUfecKI/
ZPngRWa5LWpPqettGECeaSzBnRDRjZAqCrJKwPeEQ0DHXGQQwbKoaV7BmDax9MuYhm7wW5LXYMcg
I/SGskshH3p8yUY4rjADhInQY32wo4Zo5opeyhR1ngqsSc5x5NxJNUmYcdBCpmkfPohttJWt52KR
tiNftGJxPUxIS0kAKSsignN2UfOXlEMBamlyVQHyBzaUSkEzpsb4aN6idHivQli0Y7CJzd4PdZHy
bEK2nUwvjKk3gtnfAEC/3+nArKKIAXgr1K0vl4qfITxRO3pZ+T17Sc3e6wOkr9LwkiTD8BCNHWLN
lj2QINPrL2cMzZEoSOCPiTuRZMiIxFe3onW2OjyZddU6sjA8CKL2UY8ck2L5FSkdUOPeA3mOeAK3
0d3cFuGwr/NynZFWrrIaq9O7GMxrkUZkJj3PIhsyHYmRRZ1ryCspRpLEXs/CutBjc7MyW2Ro3xL8
g5XR6CA0dfVWKNgxQp5q7gx56FEheADkgNA19HKFAl6LwewwZYaIE9JvpYahZT9uklzb5tMDxRc9
qdeBAZ2Gp00dwaSMN8zeu7L6TMTHfAbHRJSONlibUoPa2oTFLpcmhFODpxmCH7GhzCrtWMjJUdDK
rS7hCmdDS3apm4768yioXzLSzkjDMhbFnwFKVjPIGSKJ24xMhDIx+MyIMBm+I0U49lO863sNNeVW
YZiRcLibqS9ivpqt9twp0l4Zm6tsghcUnu9G5Pad5pYMODVyFYwS1A5JTU3o9vNFC7lSArZKBGkn
LvozC+pJjCAitPbiXG7VcH6+SxM7x9GeW4Jh1UT5CiZlVdZ3eDV86gOfQdtvhgz1MoiXic+iGxQn
yZ4j5WRMdMLyQrOjmPwEIfmRKZbXiPqKSLm1AC5RLt5mi727ZfDEgIAVbp+07igrXtFAKwqTb60L
LCfTIqefaWqq7XYyv/o+ejam9iIiyiJQUmcoNIb6mQsym7BhN4oFOTnhBkLmejAQSCXPE+G0slTt
Q0thXzmsmQqspylxC5XOyRKGxXqQEmY0mUT8EEzH3M3jSpuMfAZbRdA2vXxVu2MU74XpKjORsoDu
o28Cx0wAxppT4q5+NePRUDYtczXA1GADmmslYlSt/ASfsuCUTcG22peJgyjZ3gqL3mKpd9RN0RL3
YLnGZGyXEBsNHyjHcRJ/6spLqZ0lHJem5mHkIAFoVdVeOa5V4R0lhRie245qRPyWtZnPRFsJ40tT
0dONMIGmtHtB9meaiwMFffFDoByq8anGRF30smPUhKiX4UOYk3slPIgQxmNQBLonqtE1ARhQjkDA
C2qkMMAV2a/KfvZrTgdR2coG/MqaAk8ObyLv48gQLsE8O3XfFT0etc7p6nQ2vihfDF4UimcceTUS
vY6YoFIJCDS5A/VPbKOk+knn4qVg8qAhtw1ajoHaPAnDEd/NSlZpk8d0tWepRAmzwJESwk8/wonu
4r3whJFUiIiOF74ZeCbos4R12ygbAySn2W4mw9qJxjYHsomKOcXW0lBAtkIPuAHFM8zQpHEVeVma
tX3E7CAuccjSorIE+sbQoWQ0c1l1njuigXnPcF6tA1iyOUZcqXbLdgY1ztkoS24akkFmjuCbw4kC
7bO9l+5dhSgVw5zW7aHZJFK/tlqqbdKY5jb0FWQxTXMIA53BTr02yDjQST3Ce2RE+m0OwmOoF84k
DWu90571uLx10eB3Y2zrJeuluBazBcderNvwYgyMGAFIS4Xkmia0M205BoHlc6XXRtkmmYHmXrTq
QAoyfuSzldbE5RWrIiTRuWmddB7e0ZPAxB71m6pUmzRkipQYnPilxg4taHsvHTGPlYyXpGjdVWgK
jLhy/28cGbPcwOBY93phm9TJdwTd4Ct+F0L/f6E4vyg72MDD8ZElTcG6IqEt+UViO4tcouuyMdZS
1jk5B7kBAON/357+619hqgzj4KMQ+/fzTrtLBDUsIn6FkUqr2Tqyfvwna4igOgOSFpf/4Eb6Nywa
Zqs/G0BpAf7T/f+ouOS/MVZVyV/6neW0tCX/aC5yEyYkNss6pqOfA52Mvy0uJFREIkGOhCv+yYuk
Iy+Sjb/bSZnw/gUxNy/t19biz0/819ZiOEVDp8iJ6htY1WsHiBGkZ3jwUStc4L6l0CdEevdLhLo8
nxZ0QhfPDiNGI8WunNAXV9lR8AbYltUeIqgx+S4jaBi9DqbE14FZE9QEfNyjC7tFSTDt2Yh45R/C
xzx4XgarsvEz4hNFhyzYQbtqKrzqfW1dJGM7t7sqVNwBLSLTHuZ3TPOIt9HEBwHlMdmLOtEJBvvh
aXs/ReyjWN2yA1/w5w53IDtoNMRQAaYM7uzlC9ii6qq7xW73A3BAemFWmF7yK7A8SIl8hx9jqKh9
DHCqyVYliZEQx1U12txGMhT3Ty88At/O3qAVchvPa3kM7t7cYFcSBnArQpvv/f43Q8j0wl9DYSsf
PHd5WHN/ppETMzdwcb89IeWD1wZ0x1U+OmgEv/08e4x2pTynF77T3JRnZmFcxZm30Sg7KR/pGy+W
7tP9+hs2kZ5eEsy8ET6vsoum1ai+G2m+CcCCpucioYEp2c2hxfHKt/KTWb7LI5sK9mV2q77zTHiN
ybVCH5k6NN9YGmApcjmHxlHxlLC90l3NLkMPrXT8bhFcMhK9e/jSF9VpLh2kb+W7Y2JFZAHq0gyh
MCzSVfQQfGrbRiDri5ALp3P0+IYcOF4JLIW3jCZf7CZOuCKE64wSYPc5neVHLvog/O8IohpfXRhb
q8bBgImOKNxQECDAETfC0/hw3+VrMg/YcargVWraWMwU992rdtRAjuyG9sBKFydIuuh8OhWhUvje
ZW1dbxNcZIj+V1L4Mpc/pG286bcEfg5+ttf8no+G96E86aFvbTVbBxw9H8Wr9d4PD52EUGuTHGe7
lV6ZtLqDtJTCkztrj/kICvT+GlN1oPfZtj6bhVut+HKwNA6LV4RIZv1aUpMPL535kNKiVtOH4VH3
SBeYKeT8pH9ICh+aEzZXIixg85n8cuFJcxmaKiux6Rw6hE1xCbJb+8CHtgnPs00YiL5u7nilr00J
BhKGu4MP7s7UrnMXjdZ7JtzM8IPXJ6rI6z2t+hE1X5XxFVXfvG2y6MWvxJgLWwF2tUwGrzf5SyWJ
U0NDtjRdpbsbD+C4TQ9WDPxDtrPhsFUfIbTZ/W/wyc7hSHZ4oDOfdPsRd9BMx3WLLANTd+HchV1e
bpkHKn75XQc0IHwSjqzX9IegvekwXMp3dyRigV8HeuOasyO5iCt0cofsKjBOW+bwbCLbG/QpOMI6
rQf+FYdzf2Aafer9ymMAIlNLrvQbbg399QY6XB6xl8OyOHfCZTwG6MoN//02IefKaU2s4meyhA3F
gRFi8yFuK+bdGEzW5lv0GG0mn8QRcA0rwi39iaSaQtnMJ52xN4XKDq5cCFWmDR50OMLMguX+q1BB
qJerIj4pGiMW44zEgD34ZIORyKmK/AoboB/QprKl1+z5nrjaV+JbXwKIdmmXH7qP2tgX7gtFf7Fk
25xJss4QS/UHdX0kLJntpB3YIknTEMPZftiQjU8drIwUgkXljsOBzReYyGatG9uO92WiewDJnshG
OfR7yDH/wS1VdniaKWGRkskblqV/R3hA6PSLXeuf7v/HAi8RDQV9W0U7RQjjT7A5FvgldlHVkFct
40Me9I/pIV5jkJLENcqqBu1R/dMCj+ZKN2j+ArmyNLqRf0lzpSg0g3/RXP301OWlTfmn6eF0N+oc
XprgE2PWcllXS8pWUmXdsExYWbXxG4vngX29hz3QmbrWCWQdXWToJNSqlRD7YdZssQfvAitbtwIJ
oop4amOCwVOL1TcqGVJVeD+dUIGclmn3x1jTkI9Q8+BwIuFcu9X35hxTQ6f3ZwPyFfwCkv10L4GK
WyB4kPWVFKS+LMPFimkaqI+ErjPl63CflhvJQodIzLlYNWelyRwxQb06x3CThuLuz/1o7BqF5GR5
N9Ahu3R1wukhGA+tjiIUHnFvmeVmyg2L5KN52iKp7f3GsIhNrHUva8cPxlfXBjJqmQZ01wp1lCjl
cxQTmRIKz6kFA06rzgSb22m5ZD6dRkruFr1jMX3r6ldLiGvZUlE3mt3kSI+MmDaX4FnA52YDoatC
n68GnzQ+zQFKYOvYGtk1Jeywm3HN1SgYGA9O0I1GDCZ6/ZKDzqtr6T1q8QxrIxO6l1iDbnt/jOph
3RF5GKZwlQGKBeGnsdgBkoueLWE8FpYdJmtWY+e5eLxLF3VBaluNFwvkAE1crRc8gqDdmrnZC82R
Bt4gkRIIhNYqwUYnr/kAanxIIbEjmGWPF2UvGrHHQUY+ALV49VKjnB4orSakqimvuA0aW8O5PqVM
BfGMjHhJaGy5aT862lTeePPf9cUvHVYR4QFD+Nrm5HKpRmJtxqn1ZzbHjFv7nYTpehIn8ks+e6zY
OpZsjTGipvdrI0EkgmXbXLzbESAJr49DugLie4S9u5XB7rXhNpa+pgquw8w2BDN4vBC/BlTKuP8g
jBp+gW18Mk6GwYjbUnEdhu6IuVwAsRMvZnNM52pi7EZM6MtHee9rv9bxGpOXJTPIGsZwF/T6l7jY
11V87DV+duIJdzXawdgigk1S9rpYwPWZiAB/EXLrfbj/CAcAYXjkRbzyRUGapox7Xlts9B1++jrV
qpWQyDewceylu/FHVNROy6yy4UOV5IWDhDn/vtj0SzaZ93ngZGOLUZkZxjTwh/cqfE5QyxFzCIcq
L4otqYO7NFc3CQO/TGGhYCs3GTXbIKZtdC9S/DIR44akfqoKFiEW+ZCp31gjCswmF5fppom6fSsy
RNaikyDsg3KdGEzOB3qt6tcdh08OzUVH1R8CQ78TWG2R3hFCb4bSdgGUSkidZ4UwkQL8ggGrJ3Vs
s2RiJubUPnLKSutCwfHV13P8mjN1stUhvAgmPx4Mteq0SREfFVzYaoJGKx1RWreZp8rxQ6gZr1Ol
7EMuoesQ06WWIwRtTMaLGoQoyfQxX5DeguEnrUFbipjlj3Mp5et4lCFvpyv0U3Y+kfoBvU4OcTnq
Ewuyrt25zmkO7R03QmhWkIscQe8ZYZDV96vWadMmKvh054KB9jTmXidk6PYY4P4nr6pYn3UVhCP4
XjzL/2ZVZaz466r6T/f/x6q6FOLIjmVkZCZstX+UzaAeNZKhVFWUTE2DGvw/qyrTSIRuGqU23RPg
rvAc/zSolEE7ge+QDRMaFjuAv1A4S1BE/mlZ/em56780UMIMqWol1glTigOmGhKPZihpjJs27J+B
cIUwDMg/vQbpD/32W4g22do2fEY2qgKZw6vEWpFXOFz0G3eowyXKEdcL5xT8P74mzpEerGm5YBQK
V1gXLhDClh6czc/Kb0RCZikyAfMwVmtQPMsoXciXPzCXFGvL36KvXNVki3/grlJEs+0nJtBt4bIf
JmFPmuONnCDIrKfwKftOv9uXgZyd8STHmwrHq7FR4n1bHuixm4YdBmezy1Yh660Jo/ZVW/c5Vwcn
Itb5DeQB/wcJsD7xV2iKS9nWvJkD4qGbJlByULofosBTBAB+YP14DDqBzVtZWqtRP826n4IWYauA
mWY88D74DfWf8RbWtDU30dOMT9ptXvJvSvlrhHPYI9B2VV4bUhYAzfkGfp0OeCQZWdfpqN5UlwyI
HRKh/biJd4s4SNqjsZSfyi/otH3vT+9L+fDUHPNz+SW+i+8jsyAUQIVr/mCSI3HBPBTbzJX4r/hj
uinQTEzAhffEk0238fFVRLyOPj2FeFbeBDbbb7AGWwS+V+aNcAz93Bt84YOGe3XxTN6OC+qGDV7J
pHKC0Sb+cD0dMRJ96jbap/ELB1EQesjhEXvX6Fc+2SbdyeNcwznaTT4HAQdU+akylFlCdXb3F1nd
8WWRPxUuB42wK5Jt6Yynzmb8yg33FzOm0XqihR8R8BTtaxhTHIGiugueMBnNm/ELy1ZxCJ9JMsL/
IW7Ht2UafkXDEceLO6vZchzX2WmO4fJOi5iDlvQi2Bgu4hvSstZLk60K2g5SIb+ZDE5B/lwIdeT0
sl5D2XSG9oZ5jEdcAlkoYnnjltcgvuWomfJP8zZcOuqY4ULegLP8xhqdCa+UXzf5hvqBwUy/TViR
uuUAx8gErW6+jmD7lOUka7acejSQrzxmle0y62wQyp1nJ36em2mHGEdOoQzcsTWeefU8K4QqkFeb
9/tvSagdPQGeFc9weVvbL+QqvI62uEDchMUnH/JPzkfSMS8BHSKfJ8GvCr9zWCo7DjXX2vXneSM9
Kk75GjwhGwPCOn4hm0H9Nn6N1xQzGUIwWsUVGqN3OsnTEYUYn3xuo52b8GUhB1oUccZ6eODHUL2F
ol8dUN6u+TNeFyVfwgLlRjBEtnBShwcOkPqVrnMQbdL6oVDRQSuL4QzhGg8VG9xKIw+PRdmREYVa
x0GWNVg8sJtb6+RVkFFJb4oGm68tvHREicaH+zkt/HCdzvgj/Ptv/TtaeAz9adcZa87It9RV6M15
CsliH3fRiZECfpBkShNueCNDouJAOGPmqB8yixhvV8VOWHkmpursVRG3eY2ewbB7ZoajRyCQ0jvy
lf/i8Jp9zGo42KJvBLCnykm+qxdOeY467PusxWh862/BvE7KV+3Gxpp2DUGzXHDs5kW/+jjgv+M9
t+yRQRHmmERsx1bC0zIvPZPRArkH1f1Z7whwgFUB9qC2O3HX5fb0akrXFDk3yeeUC5e6IeCb/tlT
LHnLtyMvS2BM2/pjJazUL8xbuO183YFCT5a5q3/Jgk+9pCJOLFf8HfZuvQ6V5x/Bo/iaw+9G9Pus
xiTBhIkf0T/caRGf9zp/ZrjE/xkgZYJ1TbI28TE8KK0uMXvoULFgBJ+J89L33Kg8FP2lRi2HwjL3
dCodxmvlTjwrpe8zoDTIoxPdjGFFejD3OTJK5rvRSTpSJEzn+27KPXMfRdQAiy6wbs40zarYn4/C
UyFdkQUi2/wyg42KI5RLBk9Wcj4D5qfoSHUHWxsaD2f2g7WpuIBDF6ynF+6JEgNAcaPXqAOEYaeJ
/qLaoNv04r3yJlpbkTVw/1x+wJ2tPuWr9Ga2Nj89neZLyTTu968bL5X43BndhNxLO6Ar42cYNd50
vKdkelqrdss8jWXz+87A9nrnKrAN93y/+mzhHFOwkngTcqhsixftEH03XvWpHPhd8rV0eeo3jIwz
wqGTWru8In6y+uRBlLcGrR+/gRfPlWw7XxT8gjfujc3UGQgR3RcvJPTdeCNo+fFKgWy+WAeZi85v
vw637SFi9+jpV5Ve0j6vYSEtz196Sxfh9iomT1Xz0w2wA/bHwBI+08eextXjTEpKdAwk2qGkAmza
7f1J4ni+cxg6Id4kSByGw4R/alxpa3Cd5g0x2Jq7VAaMQPEn8CdekA/GBR1T+MhfOAY7evP7Jad0
cgiI5/xE3YurQ3HGMsY3gevwa+TQIoROj/Z08GgQpqk3G0cRfYswP8J1TrMTykGoABqqKyQsrAZv
3Um7aZaNphJCNH/EektdQWjf3WVEm+yqV9ObNgEm4+bJFG6luiWugWzCHDkToAoPm2CnbygWi+IQ
vxBmiGGE1ly0/JrcxUMroUrUbkgbBX1FlVw4yz+mB1tq6Z2y8fdESpVFDInwsL8o0QapIyZEOqw2
zwBb/rYhXZZG3am1dcDNPsmvpzld0SrVGZkvfUzi9QjX403gi8K5IXvE4IgaiBS9QHBI9eP9CHbj
23zAM80TPiEYqLcllyhOA2zO5jlz1HXrt/7dJW5l15GCeVV133yOqodrfxhYgEksG+2hXEt0xj9M
bEWyXV0Nhg4jE8XVtTNXvXbtNZht1/wtHs7oBejcAVyo6BOixBgOVNKy7KofWeIlW3AGdFj4I+8S
Ljeb/qalvlZ6PHIA9DlaG5iC4rWugfB2x3EVEVI7blj7NYdtog4of3L+kysTmnGSqFOhabJBZ+63
l/r7ANZ5b9//3tw7vmc//vu/FBmU6q+VyT/d/x+VyQJzNZjQLnpH4+fKZOkBMkn8vaf3p8pENv+2
lDI08/BYmsAJ6dL94bE0/8agF4YBrUCF4lT8S24BnZrrl3bfT8/cWMwEf2r3FXlopn006ugEJ/rU
XRA609SuBTiAtjISJCohlcLvdw7MUMXVFSGp0fywCVGEIdpKZCJewkZhQxrAYAnFxknu8q1pYbfF
ovTV36P9xKFttOUj8MB1IUIerFUy6D7yRa+JGjPsLFdQ6CpZcIx1Mk8NNUlfZBF3Jz6cNv4OB7b4
xdtQ5H7JQCmF01Il1a64R1dRbTEy3eG6hdZbYLTHubIOVrz4bYbWNVD4jGns9poEs85CpyPaJmqi
MloSw8tny4zfS409rdkEwzXIYAUYndSgT1G3Y2E8N0X2+B97Tiw+Ffl3DBi+Y0QF//s5oRCE/NM5
8a/u/8c5sUA1LUbSIrQ53dKUP1Xr3IR4GIKGRTzRErr8P9U66QsWbhuQZmQzGL8nVP5xTnATdhzY
yAqOZXIo5b9SrWuokH86KX5+6jKt+J9PCiUQYxrnNIdqj5JjOpiMuFj0UmRK/cRhBSwXNSFqo2WM
JL7pN/lQZLu+WkPeN3zqkfF0J/xA3Ju3Dhekda7xs33PVyvaz/ljgarIO71ZK2OF8oZ/FBgZFA0K
TalLYqIaNL5xtIwaXLTmTHBDtsYijEmkymE+id6IIh7vrmbg+Spf8M7MQo2I6akuLvp8Y7PfQsPR
6DUCj31QKSmnI95jbW++I+v1MNjElnOSHscr/hXazGfzHbUz1hudfD6ZqMthG6Kn7TsXd46hP2l7
zMLBE3pTceah0qHZUoIqMDwakiXp/5btgwmXCv9CQeszh3GIl3kH4LCadLuTvu/BOUWOKd+fqVco
bvDQ4A0p8Mhi+As/QyRs5LCA85wFG4FZc+luSJ5ImpuLg5wcdpyVTLgwLUowKkhY25Cj7KjbGZy6
3TUfI9sDnxLIjfR1xhPPVi/W6oTvOQIV6YIMJbDTs15GJ8cFc5af+k2DKxn9pqgtPqNR3iRkJyA9
VmNcgmB7e/2RCwWcfX1PdrPm6nuGqcv8mJ9Rmh/8Dw4ZM2avyP64kY/8TWiN9RA0Dr6Z+27m7aTZ
XjAJCeBqwvU4TF8MTnmwuyyuErrT81HD3j3Pr8TZo94CeCVt68pe8v3iYYuH6QUD4xIYaYK2upqT
4OXLMLpc57ggGgxSekgHhTYq7dil5v6iaqClylw92Ifit2axy2G3xpbGXDPAlA5DsUT+shNj/zRd
Rx8MDICJEh3ajU1UwKFCKrMWr/vLTHYkqNQ1JBAJY9FToq2YT+MaadpD+lJuGSZuGaqsQLh6pFG7
ZFRhRaQignFHZQJ+9EGKAXPQxF3lfKgXYz/5CqX3kh2JKwl3GZ/kSn8rvsfP6htonYyoXXuSwx0k
CMwgNkK6W/45EPKDubL8hDFTuGQ6B7T8GVfzmlqbJzn6+lpHJpbtljErzmei7Yglbr6Q5j2Jb4n9
Bb0CypPXMeVNEbLTP4sdLKOrQnxSycpbFddE2s4a5wuHuumWghPQmR/cQTxbxsuwbzbsidnWQS7H
i7qZwVn0l/GweGlqO/MSN3GXkFKuA3Z9ACa+XSdvsUfbhDUJH3bpl4fyID8nb9GWMsUt/fbGfbbw
/T1y826tr66v6rq5tn7m3DKn5wUFu2X/jOz7HaUoP7YmEnE8mt7tvs5dwhz87tyd+wvG5OeMcHDD
H6revcUeBu2539S9W+2GcFWQ+BKjTW5P5oOgHBvz0SpXZQyVCh08rfuwcpX4qVJqCjHvnj8MJegR
f2qP0S0MHOELlakddmdyDlQGdCCAKbDoSYQkIR742RnMquskvsz1i3SPR+ksH439f+xCuTDxVaie
qmERCSAb/4YoBU6alfRXtucv9/9joYTtSbCfhCX0X8E9NVD8WFxVoFIsmf9YKJeJMFtE4J6/23b+
0dZe4J4gpbhJ1QlSE3XlryyU9O1/Xih/fenmL13tqZxIvmN99WfjIf+iXQSp1763m2zGsYiQl6ap
+U20/V6uoDW7IaaA+0r+RoxfzVAmPNPXk01R2cpn+k7IMeGtTH/A1gYoohDj5unbDGc2c3JjZLz4
rKhu1b/PHTourmPSTA5OhvoBoCERe55FGmoRcy1Z0QDUk5V5acdnq3yEXjFUnzywEb5Hod9iETfW
84vui9zwXT2R+ccYdaVus/eyX4nfEiwN2r3k7DwlmVfEtmnaQu1IOj0kc93je9MfFOGgf5fBLfpS
hPe6dZfZLactQb2OCVdbBzpxA/Q4OvqWW8tl5en3b8OTvu2ejJd2r71oL+BFUn014zDnqjZ5Gb2B
GlKWq9GbeBe/42Pz1BD/9B4+KC+GAnSkd4JLcDFW07QSrmxCLvrFPIhb3Acv6qWYVv2nedDfhHXl
ihft+tR+zpAV6AC/ieOJLbHoT776tstfxLcnfCvhN6lx1+AmrJXVC6psnABg8tbslcVlH4zef6f6
Hd6CA0zfDeAEOlkL0IisZFdAhnX3ijeCtW1W0xMfxmpe1Qnx2qEb3trKBTAQ7oZ3/Sl7SzyuZUex
XjXf5hY4uBNvs5vGJBkZFlK426wfUNWsOHRcej82lowJie6zZW8yaBxk+hDypNjqlUbO5r768WOP
NytzLL9z6OzZAglYidN+fC72fvXUMm8QHea6ZIMT+t04DPWQ7TU83e4mhhtlCZt+1y6aj7k5OEQg
Mc0fExZV8nNAKWN5TbigOsIZ6PZE6+EgJQeNljkkjEXdt2NJTwFkwMkAqyEUNsCDnJ6pugOUtAAX
O2hbnwaUDdV0pWKTAt6APzgcJmKLpqe4P1UkE3uIAbFVpbb2Qa4Rudo24ZTath1A2byjEmtM+Ir2
iH2pBIYL/6OiI1kAzZQeRDoFpNAu4E9NeqwlfxRcGpRZvRHzE4LDykc2BXLcV6pb/yOIkIA1NgN+
EowtyUalOGDWZh9xxROFJrA5yOluebrZJUoAW/w/7s5suW0si7L/0u+oxjxEdPcDARCcRVEUJfkF
oRHzPOPre8FZWWk7qzO7XivCmbYsUwSne889Z++1AaLE8E1Gaz0F2+4z1bbamwAHwn9oEmrMFSzC
SrCTNQE22EPxp25gIOjiAkRBcKW+kWqjmaRzQTOFQzj786GAvmIBYbkzcFHU/QmgarYVBEDUCKV0
erJfbXJXggsh4KcG6gIIFsJLAemFi7CaB35xFRMjpsC3I0nwWqd7bI7g06rtBEpxPtSnCSkZvTOk
ZBUm8sYVoUT0xreasImVRboyAFgEi9VuyaSC4otJy2wOxkTGk2LTH9p1G/q7wi0MjlFn0AP76BSE
atq9Ot5nrB4zDBzFg4cBdtWsn2FyyEoLNM4DWoFU3ma/JehMIO+blpER4J+lJwX3rdos/agPvbeN
13Tayo5OnU0yCkpyapjhYXJedN6ZS9LDatw0j7m5aDRJoaevA37Fi+8szUsfIIk5A+WYVbhDdy82
Lw1vVz2/+uJBw7RfMXnAqzJfa0pB2l7JEk/0PjFgt1bhiJ3G8RWoxZQgMsxQQF6OTAHlCSgD8WSN
a/gWHGqkCQnGiho0f1U7G2kmVFBL8Omn7yzDkb4GbAz03w5kNrc7o/zQwW4elF3j4wim4sU896TM
JWlIqw0iBqaSnP9LZ3iqTTckXMoRSWifMA3Y0rR7gFIZu2QYD8FhgWMKjgTvNXFAYuJkGx6KNSg7
61NxkQ/KjdN8RJwbTrwD2FJkL9VeRGcQHvHO0Jgl9KCkdEdMonndftB3ZnsCdFQSb/Jkxm7KXlFZ
J5+J0iX+VqLTfUlorA80vVfiqWepGE/0HhWLGg8W2eihY8qptA/+ComxI3gQ6SsITvJjLlxq9ZTa
9A/6ApGo16VsQz3V/cOMHC/Y6BOf3lUvn/J31tlmRU+NhJek+Wp2lMK4O4iOsq7VPkXTFzgYcsxs
tUEiASw1JYXrTFbUethbL8ZWewkfDdSf4OgPkvKbkv9//uQWaL4Pq9+h9tVRELa/fPl/rjQuiux/
Lbf517/5Pz9/yU3++SOX/tdPX7h5G7WgFj+ZOnw2Xdr+Phlf/uX/7zf/WQFdp5KOWlk07SufzI/P
XysjWVtsDaqiAcxQVfoEf+Vslow/VVZ/uv3vlZX0D8zL9DUM8pHxI//YgpAAqlPG0YL4riSQKWr+
kOHRt6ApAh1d1CVtaQz83oIwl1sR3aQi1PtNS/D70/JP9+9vL0LwWfwbNzCBGH+qrH6+9F9aELI/
FyQwYJFTJxkgcaqRgmduKj/eib32Gvs19q7ZQN8LEwyMehIqp6y86XN2DnWYO9WuFysW6GRHMiQt
OTY9LXtCCucJtWzHVvDcJazwaVG5lpS/ARk5RvFIyc/xNNjUbEC5Ve9lWT0bYOPcjO2vH49jLu4w
gTwYDTDo8Vud0ZfvmkfERTs1E56NSrhXsxs6MGc0iQro2Hv7bhGYaU9tnNF8RnczzeVBHm50L6BS
+UwiabvHt6YXV+Z0P0AViAqmrzMiYExUhUQ0UvItSShuLGjNhY86ID7UZB9ptcJYa77P5NmOudnQ
xqcqeTME8yo3/toMTCdV5306prc50p6aIbuTYzTlFANikxJoFqy1VPQS5o4tsayW6G+kMHtRC9i+
I+7dGhyKOXiqVACL6lcyb2Q6V9iUGCOAtQ6jyGsYFUZiaQ8mYydE3Vg7naGxUq82JZ/+Qn2NGp+4
W9lW2Q5mS/wYqzY74/Neh13LhgnbZApdE+j1NEKBcGTLd3Pp4pfKvmwQI2EAHZJmXRbaTmIIG7Ci
L92DEgO4Me+05tFA/B1pNwtH64xczwqNpYKwQkS/wb4rboYkuPmIhPpNo/OgI2eSTNK5JWVjsAbO
frkdpvGqCvUubaCPioBcvVF8yQoDowbLsIYPomWM1OZOMBK/GEMM89OTVT/2Xeo1bKR581FaAMNu
0qgTI4NhK5dPVvmUAj7K1X7jD/I6nN4iCWILIo4yLHki0Hho1l2YiE9NpIPTK0G/qqXKoAyDXy4g
nqBxYKjYna21kmXbjq1PFMttZLz6EcNm2urITrtkQ1QTUmqVWkPdjqRpdPkaid1FFdO1gE16zmOv
I1ZGINRPtUCAWsp8yAaaCTmt+te8yw8GSjchwI1mGvC/Mskxkpb359fkL3t3C8Tf4OBAWLeMEd8V
ot4N0wxVt3VsORbMafMYVrSfiups8gr58rTtFOuhNTSvymXgFdmDlDR8OtjXcsudWgkT8SeaRaMT
76WI5MiQWUwFopzLtTijxF1zSJka9kRfCejiA54wsEJ2n4DhRcinN97AwNA3n7BIeypbYsZWlsw+
+CjqT8ZTfhu6LSisthq3MIm3AwqEIfmKaO0V9GlU426QiZz0NcoSKb0UVWm95bXmymynO0XcKBaW
Fks89zneAosjEiQdWQo+ZmQrSj3SZYCBi6zQaBnhiuC/U3NdM2JWyvRqSvqh6W9qep1pFhKc5bVJ
xb8EtNYgWZhApMQzs/wOaUcKDwf2V5/tfCZho0TnaMSC10rfjFTGpZOrX2E3u34q+l5vZYdkzPYw
3ZwCVlciJQ9pQEgkVs+JRMlO0jdm1Z0nlU93la1EQ/LEbnbkYn4cpKVuWJ7eLFy39DiHjGNa/d6Z
hFRPr8mUeVEjbJvpUygMmI93jN4K6d7k4YVRuDKTkIIJPateO1EXnkLOtlYxr5r2Ouqpp/cig8La
M4heouLrHv+L+yC/pQxqKD5p3aOb/+vdmiSUX3b7P9/+j91aQd9O5KL6r47G7664RU9PqxapnkmY
8/dZwj93a+R9Goo/RPPf6dnf9/h/7taL8g9R37+GDOzx/8Fu/acZ2s8Xbi3f/2GGBlugyccuT4jK
pds+8ylNy/Jp0pV7RkqHyA/kv3Fjyr9OKGi8ABJnPEOPR6e/srSUfrzLojTkoGrMeCO1GOzCxA82
fsFcvzTXiQK0LokTmpxUDqnOiD5KKrsvfC+j53ecpf7e7IxDrAjBbg4s2s5NbbjqBGB+ngw3MJJ7
scMxqy2QFGHC7Cp0NEE1n9SFyWpWfqxjT65p7qp0oosIuhYftWYINqKfovinZoRkF79KHUuAT/xq
3jzWDb7cWSLivT2Z4rTrhQ433a0pu6uu+8+NhE1G6/dVK+9lq2LyJ/puPPacQYaJfGiBZZOBYBqW
biu0d1WakBwSz7jTaqIp6iFc+T17YCLO8BLjfJuClxCswdOoLuQJ+DQ1jF4WZ2nwN1WeKZgZ2OhS
aQAIQuRtPHK+FAxm6GWyaNK1cFeXc+j57aytmRCuRLTBiLRDONMFlr488KRQfyZKK3YyaVHCy/Rk
pmz0BH52Vei3lGQ/tfFPoc/2UZXSo6XIN6mPX0ojPIZ6tyVmnnhacdhNFinBfj0fFuSFOSlUfGnk
iHnjxrGw7ubq1DZiAjSqeBYJMch945oXn2KtkcMCHqwDSVVlJicUJKFCf6dP5EyP5dWsa7vXVeAH
DTRygb568A3t7Ko2+ltlTtdy8WUFqkPpUD+pbVA6pkUTXOuUfc6GUfjlrpWbdWyMxEvqIY2pyd9Y
Pi6kIQrXCjjwSpYTr83U1o78ZJsqoUTYV7PuOgz3amw5Xd29qPDXslBGX4R8T3o1SmqJeVxP+NHD
6NaYo1Nlj4JaHEbEE1qDsLPOX+WihCtnDtti8jOoi1j7RgZwJiCcPsFbWE2kZVjBw6xm7FeiU5go
IPygcAJEglCknTGj2aV1u0SP7NAc9moYO1NWb6ypvlS5v+FN6DZheeyZOku9sivK7Fng39Vd41VV
YcdVdSDgmPU+VemgNUK/0QcEoZOhZttaEv6Lj2Q0o02Mz6zd/Kbpxt9MhZcG8U+L/L+7/e+LPGsy
vEb64wbQht+E2r8v8mCjNIXXkgAtlNwMj/84khms5OgnKN0slsnF/vSvI5nxD+IUuERAVKr8fWD8
HyzyBDn8fCT75dLNhbP105rb5lkqWcbkoTZNn6f72IIq5LTvwJbCLR2F8Jxg7aGXt5fMbeYzKaXn
Yu44h02jTVg5ct/OW5S+CKHH5c8CCN2dpHsxyDVpVdyX6CT22r7zkEIjb85oIKD1pVWI/oE495Lw
RKcst8ieqWZQUZuFnbc2HIIeo7TsCm8U2BDTcUlzO2wNyiZuvDv+kh9Q3/GdYYSvtJ7GFX+oABcC
UCP8ZrT9xEEPjcqaHgzHDjqDMBatZwyt+8FL9upjRes3phcDyrCvqfoQ3IKqp7UIAtYj252pbv2S
bZgqL+zr7CNYOIuhrYPCXsTVSJU17MpQGHtxzcI/kxG1ZUQNGVK6MoM1W0Kd8E/YzKNRuQJxRNZa
4z9Fkx3hWlozjIamA04RsHXnEjTPj+NH+PI3CIp8UyaAj2kUF+WzxPk0PTzzNVO6Dy65o+lVHxJ4
WViVFrUrw/R28IBNG2t+OqPxBYHv5IHT9Y7OaZRMqUe/QlWYPSN6fB1yTi3fIABXlxx5Fy3skBBN
m0cHepC+rPkKBi+eOdEai128qIWV9hRzSkzu5Ee8XUP1SmuzMs4tbeg4Whflmt6nHHuFiBeLqpFE
v7aNVkRSUHi7i4eJwJ55hf4yEbwx5Bm3ZwuPPS+A7gqfpD4+oOQbGCJjS2JSPShn2DLL9Jlsp5l1
FG0Mz+l4Bv+YVNvWeOiUs6Tde+k+smE5YgjjTphh8//pI0fDe4pkAofCDdUX6Tqil32UaIDTzdS6
Kp3AjZS7BWcSrF8Bo1bdDQiXDNaWvuYkOmkHMdyPHszBufkcQleEhvzdhjAtDWcOwAjn6FEqBpRz
e4QfDmvH96EcVV+QoFa1Cth6qkkewM3b7rLooqAR1S7FNmufm8AbtTW/dAtnkC6ysa/b3NNTwVX0
/ZBHu36+8xsXw664ja60L+ugW+dwtLQPH16oaaNMDo/R9GR4nPjpqu9KZhfKlab0TGpX4PFdNq3J
3M7yfR6BMF6U0FgYNn0D1pCOJ1s9jmnL85k9+XcdQs2r+R4n+0LZ8KJ1rrClE8/vukcQ6mtyCs9M
nOjv+7a1DRLbnzhwIJ0PvoaN75KsscI1EYSvAkLHtGvXwXibsLLToC62wouPeHywulVaXALmFlug
7Ot822vAoTGxxysCEejp2jVtbZqtI7JGi75isKovSnk2ic2WkQgO2EJC8WzEC2pd9dhqhxrtaeXR
5li08s0pfR7JWeCjQrdSxre16PbXHCNBMDbTVleOYexK8qnttjJENnTAtBdUwTEZrIfRBXpjlvZ7
NPPYU5r8Fppf+bsezRRULwrR4Ahm/PJNgneFon+JiwftnF+H+9C66DHm4+Jbbajuf/E5CXWTTPdR
x3wkGsS9//U5SVI4T/wyL/719r9voRJQRijDtCYNtmhQID/aoFSy21V2sUVw9XNTE/Mbxyf2SUNX
8Wf9sYNa/1BRWsF/ZMpsyqr8H+mqJP2XHXSpBn688u/f/+GgJCk4VzMDyJE0SdLDLHbnpMOLlCvd
ukMOuBLa4KE08lMSB5DPItuoKpJFm5VmTRhTw/SS6mDzoh49UPupy0N0ICFBP/Wl8Eb30tpEwG88
qTapxTs42oIxDaSnq9FHyFZM1PrBGkg4Q6kTcmrAUwOrQh6IAmd8UMzSLuTTlYVoxZVK3qEBvU0h
ES1x/BbCF5N9+b6tHgRVPanKUxWnO57rTUYI15zeJz4oqazbliiJCjbaxgK81PT7CPhXL5tw4NE2
iiAKxBHxC2i6BTtpneAOeaZhgKW/mYvSIzW8idnJMDxbEQNSCyulLK1Vv3WCzoyQRGMKEMOB4oIB
UnayxosAVlArMaoU8V7HvjGG4dZEgiKbydZvsCv13Z3RNqdJq91JkVdRAMKsiutjbKoefjnD1tpX
WZzurSBjkudbsPCdXn9qk3g7kzg996ArxnafS5jBq7nqVhauDOh0kEUmt4OK3pVjTMIvieqNVoiE
yMZIyJe89ToieT1aMtgTecBuTSq7ueSzj0tSu2CQ2a5+j29vCXJfsJeSRHUyMRUUYnuQ+xWeV1y9
hRsuQMeEAZEcnDJT3fQDmqKMYB60YHwIHpV0HA7lkievLcny5sBRrFhK/4wxmZY0G7Ev9rPeWnat
ZO9Sgpxvsp5KMwMr748VSdCh7tVxywg49Z+gNLGF/jcvTrKlqShONAmWFL2cv1ycmMv8XN/zEf/T
7X9fnJB2MucAjK7S6AdX9JPqE8mnsqxdv9XwFPG/j1zMf9DpkCTSb9Blwz6i6v5j5CLTEVpwVAwh
DJLT/oPy3mQt+0n0+euVf//+D4uTrwXxLFgjE5J9+9yTh2F6A/HWOIDV/YzBq9+HJoGkxEy5OCD5
k0KQbWYLwprq8tTDp1yZ1afSEM5JcPZanN3mVTUcOWacHjqtfwdkHcVJW13B+bjaekBoJ2+H6L4l
eQHhJnUq3i6BChS22D7r37VZXidCQVLtuE0uNDWIVXmOr8kluESn+hkNqtBtU+pdr5+Fo1GCS9Ef
s7G9RHinpEa5gx7yauIDnUaqhICYkNazPo36hImjKyJ3vqudfc6HpEOwGHf30XAIqy2l9KJBpaj3
b/Rw9dfx2l6Li7lDzmJxbvHkDCaRAXybngMmSQbKwyFBk4D3XEYjUqAUMLYGDSOx+SwIjtTCfReX
awyqeOTwqLb0joflL8wv9diiXAGJg/AF3R3x4BRcK4ZQ6aR5Le3dTbMZkM7Vi+EC6c1xR3vbJmkz
5fBCHoi1RNFp4TccDJjvUvCJhVt3G3jR/IyRl26Qt2hYiBUZXsn/1qxNg+wSaoXLiPe+mWjnMAFu
wuuip4Wv+Ghl55JcuPBJgNxe99tOGDawKEq+jJdMCg+0DfCkMGEmEYKuM78QyNlMh5gmf5BYFh6a
ocebhfcPGIV8SjE8Ouh65XOPEpSZd/nAaUat4NK7CfVXRgUu8gotl67VqC82FGgYH/0IqI+6x1nD
6Q97nOhRopX0IpS1gGWlc/fVcEBkbPP4x+JIHAuDMjU9iyYrKy9efBQfczyrOF6tTdCcM8ONmNwb
bileyEMVgaaadhPLRzlFVbNjkCSuNPos0B4G7vBDYJJ+1b9xpya4c1gQt/ZMSXxWH9v8Cp+LlLtm
1ZzE23BDKtURQhStjLv+uQrpSK0Q7erBOtpAaD9k+S5IXFncK7w0KCl1p8GlJu2QLNflqdHc6gpB
nAGIoHMae+h7OAkMqD6E5Gs6C/I3qwuPGbB8vXxGetPmO848krrXyGrjLcqbVZgftfbWR5wyQ9C3
wVrBVKVaxOC5Wenhb6ylj1jwBh/VxtWw7ESSVpwj7st7qz4J+H1yt7tiZVx9oqe1E83Wck5hAp9h
it4Tvf9Pte5JLBjJqf/qlIGMHPTb5qWvSUppj/PU79CFV6FTLDIFvV8lH+0tvi2QUw7NHfF2DijN
eAAYQfPpTvDPWrLr8D3MwDzeWUCibN1Gdn3x8QPudIsqekdNBIyxfiXmihMAuqzIC6eVd26/sGfM
mVezknyIykrFMiWsTGEbm2tTcfCtDThKS9cksu1ueOcwSUaPa+AEJx2veQ9vIlEsGwWuBXsfB9hh
D3gp8S458xYmPWNOEvPTyGexXE3v+c2/a5NtwXEu40q75zrfa/dIRcLpG0qlsULk6w2qUyKIeMoe
pafsnmPKDibLBpW5fTnzcQbypOxqN7ET2wINtyrfyr10Cg7SfUaPmlzcmytkHj/axW1nI4C7Ti/K
qXzyr5BVBhJTxJV1UV9afYeeL3msnxg1PqpnjdRd+VzuOX2jkR5exBfj1D4lnwuXERQZd0+UUQZv
3wVSgd1NH58EDYvxyvgmPFqPwi1mDWHdspOuJ0jCFT+CbVxTb1J2KBVAsuGbTAQupxf8W4BtvuDs
Ats8lLy9GcQjxN1BpipObXEm8X6F5h1K2UDG0Vd8K5CqBXSFSdGOGuK+ArvL75oayOriUPU3wcH3
17yJB8ML4w3FJt5Dpk0P2v0MWGxam3e8JngBZeTnBHFa0YNGK1k7JM9IUwrAzCmZUo5fPieUm3yg
uEKW1QWoD5/WmcwjvC+BUbmdPAcMxcpn6C3fzXhIg/Cv8Y/HE1FGvPeHu5hHAnCVgqdlPGyg8wVr
0RX3CrljwtJKEADuRVuT5Iw0+wAbJoSSy7JKBcuBYavmV/GBVgPTdpJsz4O8ktcTqhnFFh3FNdf+
Htz/epe7KVJp3HDsbLtwVyZO5L8Ed9a5ewMYPg736dE6N08l3u4Nd89/OmojydyzjNIANvFNiPRu
WczJuHGy+t6PuLtmW9O5T8oXQXiy2oOPuLwIPQ35JHXqtrKKfVHG27AntRDmsRI4onmq5qNOuZt+
icHswleb2uIb2np8BbiDctTwmFAJPXOXRGNa7eVafeu93JUPlJ5glAWPzhsXYdoLAXd2y9N0GK7z
WGMM3BbpIzzjS31j9qwgGj+P5Yc1b8riU81IUn42mMQeummvgiyTvWJANM9/afU5zzZ7sPQVaK5U
ryzcUugwq6AlT6wqloLDvGiUwF1tOj7SVAESEalvlbAP7ubgUxJPoXEZNLzMsEXIGd5x1AnqnV5u
KhFacb2TqwhdBcaSs563pyQxjppyMmpo6eq2+Qja439zsYvFCHoqFjh1aRJTW/6VvkjX/1Ts/un2
vxe7iIiW3CHCh9Tv+mwq2t+b2WC+uFMO1vSxjeWU/kexa5G3gLdp8UZB+WSs+Eexa/2Dv6DKtRDd
mJqi/UdHcWryP1W7P136wmL5sZlNRnFU1zWYhWohdLUzGeQKltZQeAJYTbjamL2IZbtRqnY7JtJO
rWmN+cOE80J9ToZMZnSOXWNMjKfYRFqqZ/fVUNyiNKPB5ZPJKkgPU/OWodCLG2y3opV8RmH50kBL
UtLGnYrmZMy1O/vCm9QG4A6SfB1XrIajSeitRqK5kTxKCkKbkPuCmFewPjclxawPiqiT3dB8nYBJ
WH7lzfUD0cby2howzwqD0V4U+bWIIPayOJcjShuav/27qpw7ecuL8jWK+Lrl6DEGtq3JcDbFhHba
7BuAL4P4Ygl87joM//miXiTwGPwVAlo60E1bnWbkvkLSvbRlsI3yejMV2LKH8bnXhw9taA7jLBIF
H7Mbszto+ZZyqfO/KdVnHCquViCWMAk7b+NtWiFYR2mV+aQY6BZu6WPdfiY1GQ75x1SE5LRQVvvB
duxa8s2MYmsCSikBf3GmOAZjCE1kcAsYTKI57gRJtouAo38nL6Lb5GxG/nEQejSijQz2HV88vKI4
Ve2aSs8vH80O5GqoOH6Ic8ivj/IYr2gSnRK55xCQ31Udkbtwi6MUhijCkSKxvvK6hZvF8EAWNzKW
dMkQCHOdoAyaxzgx3TZCpy/o+zQrXjog5Grme5oxI8OkYYCTSIkQb4moXtCXy2a50JvsUsweh0g8
x1LzLOrWpUp35GyAkqhvudhuamKOprZ9KkrkpPJLOM67RpI9YZi8WNcPkkCdqXHVjESi6lUH+L4q
U8roGu11BDeO5okPWw6wt3UwckTrOPNS6cH0y31tpcy3SV1PXT3+bLV5XVrJNq9JNfDnR5UMtTxC
5d2wpbel6sRy8dKicFKD4a5pyRsoOA8OsbpXoi61TcbqWi5R4lNDyNV9VICuN/x3bMfAb2Bsi6Xo
8wTIuMvrp6CvPpJ00aGQiaOwI0poUyqAIX1+DGZxz5jJVcf3gj6SKlzkDvdP3m7adOl2a8exLTbl
EjGRBGeL4VLXNHaR4+8xxothPtEIQqNKlUegRBjzEZgKMGnyoVapdQ1Ush38i4DNVeQApdTbnM0j
qklGkiQ8V7Tkxdoratx0YQ00AOqwrUXALTqRdr7XgQ8x1dxOyJs0cYxN2U42n8zsKEILYDbA4HCT
tkyqLAlIS6hLbpqJNZHXuehZ7QgH1FL3SYqyTlXfLTH3jEK5T0uYJBUd5WkM7nQ1uuhhk6MLTOz/
2s2JRq0iMvVES8OyT9uEFfwvNic6MTQ0fmgT/7vb/745yfRU6PSKGi2e31xAP2xOiGhURf2uif2x
S2ywNWEIFiUMtt/jgv/YmviWguLHpFVMS5sF9D9pxCjsjD860n+9bmn5/g99mHiIjFIeLdPDsae8
+xw++uqKDQZJx/jgAzgPV82nGt+SxLXITjvoDyl9lo3VRUjr3LH4LPET7UR40y/Uz8ldDoXHk0HF
QJXCrqasJOFv5DgSO/a/uWSDICJDw34sLn3vHy7ZSIlrEWPT9FCnb+eDss42GdYTBdYMXk6Hwdam
2xjODy/wv9EI/+29Lg2tH+41M8c5DiPuVdhYd+kVTtYq88g7csIbSR64EPJjfhR+M+b9pB7/Mafo
O+L7t/ii7cf//h/aP1+efz1WaSksfrhXPc/7qeiWx4q8ciWPKzpZJ2sfOjRbPdwZl8IhZ2d81N/Q
Xv7dE/3LAOFPd768ED/cua/N0zxm3HlL6v28L/fyWt44qa3/Nk76fz/K5bn7q0f5S3nUVygaETaa
XnCC9rfKHfoWDn0PYuxJqln/zSv5Xa71y91h2ZMVZjCiIjNy+/lx8b7q8pr8a8+4K68prxzdHiZ5
EAs3s7JVVSeZvOIx+aasiT54041VQ+RGYRdP8kW7alecXTajDCRaDOibeWmj9eqhOvnprmjfI+bH
gIjLZeoPORzOovkhceA3lhNwOV10bDQL1uodEaf6TFfzYhMScz81mLeJLSFZeXoD6woHdltsxa0m
PAeDvRyCNbiatnEbjyauZqQJmgMQZStdgIcXyS0ToNSUgEcxoBc2Ni7mvvpZ/tBcDv6Ibrb6s3Rr
7tSnCW4QQCKLwb/60N4XHM37fQoYWiRenpBCKGqUqI/1Bk0a0rbiQNbSbb5VL+m3lBsML0q8wG5o
Pea20bsK4c4h7pZRIe37b979y5juz+8MXipL1qnTUSR+L6x/eAsq+VhNnQAbAEugXH7iCNSNxo3K
r+a1NUn/no9qd1Gw3c1WhtfnEEgMffmyZ4geVwXAK/TWrkRsYMR3lu+KYgaKy62FmezCb2JlVzEv
lHBUalDMvnQoboOEPI+Oi1NS0JrdKxjK/Lnt7sFF1zYj2nR8VkeX+MX9BJ7picAjZfDaF/8V7phh
YE0EeiYfAV8/Bhh1zJXxwpwqj91mPITKU4T38VQ9lZ/zCzFjBF6Ii+lXBE6ur5lrAdCQcXSCGoMf
ePVfMYstqusI7BBjJrJtnKTcQIQdwfuNhH04xlJB2IlsiyWDGyZqmBox/Tu6uVbgiS0A1xp0B2yj
EaAZKrWLMNJUwaI3iPvInPbL781rWJHhthOsx7a80/2T6Z98/9SLp6Q6LYjCQxgARTryK4uWXyPT
PdmxtC90yeSCI3O4VeE9Ka5O0B9I9eKLoD7XPRTeR4t3El9XJ/mmEMNIeRwixnHCF6VfVQ0dtJWU
2Wq6GTOyDKhJSKghuIRe6Gp6ba/+rjznHwak81dikmCiEXO1mP/Fg/QGHIB3IV1EsALilgZFvskX
BkCqfJPrO64KEj2dT55JNPxbIiPzjVHt69ITbpZlZ8D84G01qE74iAFA5KO86F9u9XCIwzv9wJPo
gOYS2pukHNO9X3wj9ImGpnytoS3i22wBImn+s+rk+4Vq4PfLhejhKWid8ImMO2QrAfR6/t4HZfXe
i7YorhPYyER2hoQNr5CYgGtdWPytv8oJa4OSv+hEojc5O8DO9yGdYaS/LyF/EWlCvr3TvPCoS/e9
dXX6fSyRPOVg4l8JVnhaqPl2eBFoxVcOj4XPZfoVnqYCosvK8qwvCLp+u8Nypld8cLBsosS/S/fm
C2kMJ047q9YroUg5xbWSHU3fExfQs2CkK/N5fpRsNrzLuC92pb5Felve0bzXNhTDdumGm/bUiAty
dzVOj9zCf2+2wxMNLE+5j67jzbpVbyaWfH70u3qn3aYDM90Lz0VORjtpqW58hM7wyvwGUEXzMiCa
fxGPwvO8H87B4wjn7Qxc7WHgaEPfxg421Zf0Hm2Ujf9C0d1v2r2/tfbtFSzU4pVvP1tPfMrJ60y9
fo3J4AZjd5c+ihfjISWlU90oO9r3W/Gkrf2bvMPPf8bGcKp2aIRwodmDh1/PyV85krmW3dOCFDzC
D87p7IgvCa8tZuALGHlUZNT/75AVolNwUdHcrOI1HE1bvlOOYLlJS0gOwVWO3mgBzuJueJmGFVL9
Bag8ALlr1lgo1Wdq/y70OJqHMw1oYBD1cUDQswUjcR9dCNhh/gFgnoeyLQ8fj/FJeSUhylWOwZXQ
0V14T8s8DrbAxbao9quj5fYuVkINdsdKc2m4vhITbzqVp9viq09f3Q7w/w52t0sPNc+OcqhscJO9
O9/TRodnlmyzZqtV75gI0BIvwRHie/rabJne96/JvGak4gALP+b3qk9MEfvaeyK7puQOmw4kY3yA
VeYVkq2dre30hu/Cv2hbYPtnTeGtedXyA8q9D/kSrIVtsMb6WLpBewqm2Z6CVUSQkXxRVvBeXNE2
oLaAmHSMzwVYoTnCnmmcb9ntC0w2J7drjw5J6AIBccFgZuia0XNZZ906WfEpwgcpHAZ6+Ha9LZcs
25GJ1/vsr1InO3Ze/wHxeY0W7Uj8aQ6qeRPes0SvwwutVtsnCLljtMGsi/d0xX8xJ1xbcBIo54jI
PtMMSvvqy3R5zwXr3dP7Z3RE3s3nsBPXAJ2wpeYuWfC2YTN8cFU3dxqCCIeLhCeZkDhket09kRqr
tzd4s3ZnB09ptUXqU2Ash9zkwMMmW0A+Ndx+kT5nKzxmrBDkCAMT1K/N2vDGW7cF6WSHa9/Rt4DJ
Vq8cmPNVDoXN+mxwrDhEoGPBBImDUfKGlpnBEM/jVwjj4wCGMLIL47W30XivXqfwlOuOSBEj2vHq
KV1d4jVE5fsofh4zkqEX13lCn339ndcy2u4LWCm7tftLypAtsE9P72dstavGBltjV4+f4FnIH5av
lbMsWfAYHfroFiJlWh2r8yfP4358QOYoEvSurYiZVg4Gkx03dKBIeXW9ZlFRHzqWUOVoge15+d5G
l2kCE7dNLpaNu3vdfrQPZMnt5Q/W9exZOSLc4mKEcFvla3ryRD2SOminGzxursEDCIidlnMHMWIc
eegR6T//X+7OrMlRK9vCv4gOQCDglRk0z6l8UeQIAsQoAeLX34/q8O3qsrsc/drhe93hsCsTIThn
n72/tdahXPHmLCMeBbNb92Fnq2Hsi3PabMBfmPMZ3ZZWvwsbVn4locwGQKTE/I6RTOlfghvWs2RS
o6ahefZcGK6obrKHP1pzDj7F2MR8nttQ2zTz0dNVH2Zxv5Vvh+FtcAh45qEx+AZZbWaMF7MpqSXz
Cc3+YocxreTX7+KZ6L1T7UyZWfAC+2R60usrn4trvI41U0RhBAdjjUJ9XFW5FlIERCt62mXuypnH
FK0jVdQZfKY90Hn44vviaqzvyJJeFtmWgUZs2Bj9GUdA/ud+5AwnFuuSy0GORT6xqaL8iYKzF7Hf
8KNVaMxIryEjTmOum4epA9MSsBDvmSoh0b8GnWt4intfClmQ89T3TDJcYFm+9hTPMEuXT0P68mw3
sn7sTSIdTcG8B53zcvysaMcQIYYzUPreKN7UubvCTmEsPjq7UpdN/H6GM5m8u16PXbs3llRv1jvN
OYsPZ4rbRz8v5cpE0CsFd7dxHo7u4eIbQqHOMcm/hr3Pi7osKONaH00V7ZTLJyJwm5BX1n9iYmx8
ZRMrIodoOpcX2XzqCSsamC5MKz70foQtg7oU0UyjuBZZuJHRc5MwhfUvNl+brTI3ZN9+BWI/ts71
8zmnO+uIvrAGIQTXQ25YJwQoOuo5tQGmHOogdPBAqjTnLAMHo4Y6bUfnSD8rwdSWvCnLIdvMGrk8
8TU3t/Qit8fk8c44O2C1IA46wBaf/bvjTVMAXHW7wZy62yQKw/VtfZraD5eFvTWbufQtOdTIDmJo
FrpkT/4JYu4qW1yHbW4hPrPK5fkDZ6pkP0k3TbsYlNW0PAhkxrFycqcj8hqv2ksZebVsymg93+r9
9K3dFa8ce5rD8H5VbXSmCl4ceGb4ON2e1e1kSenUb3k7wyGkLjG8+/G2fgTNSvbrxfO9PMRf1Qz8
2lQ8jEFgU70k0J2Hn4Qg3dbon8lBhqlTFpYLITDO1Wk4J3P1QyYPnW+s8p9mbU34C8kEivn8rQou
K9YVi40YwYW6yJ/zHJfG4LrAdXRXzGE5vCKAunUKF3MhrxtsevRyHjww5+lDq5vRs2S3y5fJ0smO
tXPHZZZM853B5JfDT0/9w1yNdke35+9XxGoZwPLt6bV3aFiz8ManugzyQOWlq8qlngRAqVay6N6R
+VhI/hKFXC9ihQ6kOlHjiaawpndi2KNb2d3WY+s1JgNHtEbs9W6LIQX5fvKCI5fXUtQEL5gfmDyp
rmBf2Zf4MlygXr7kavQfvaxYPax8ynOTbVUW9Cs7Jh8SsDVHG1/TojX7l2yfCAuFgm+MfRoeYA4k
B5ggt/GeGPugZUR+LPfNscp5w9JlgWnCt/By89VZuoGpOUWH1BtfeZwEFsz+o3VTb5qADmyIq+q4
csMBu5LfePij4irLJTGdDVMfI1LvutHX5ft1gYPXnBOnFMokNZrpPro7fAgdgwbD4i6eBh8i3qbC
ssuA3Nk5djYhjZHv3s3nNML9iO4otwO6hSxFUz1n7VnE/pRoH47hO14YzEY6U3cYKDrKQvamm96V
3LpeqB/1PP4s98l4TCy/Cp6ymz2QTCmEGUiIzHO+zXSa2lhOECYlY57S728ssWBzTuMyT54/UBwT
BkTbQjhQnyf58lEF0nKy5ag/PWe7yXv1Ks2Y9OzyU3YyDtkTvSYfFV/Sb9K4cJxdZYMD70zI6SgC
NcexBi4SMjP5/AE58xzIaiSABDh5LN9R9gjhLcLcguyJZ164GYP3MTe2u79MZPTFrgR6oNkVPEFl
EQ/ZQWNCmccLFbTbwxNkOrtn4YMGy8twlOfJLDo/7e6FHcYWrK9z4uQez6B6Bowmqmsb7eLw+jK+
dAYqLg4umPhsq1nlE2zcDAT9ugkOMBdbUmjg2yVPaI1SyC75tkaWRpN9QVzfuV/svrL1WDR01c1m
iqEIyJZdSrhkmck7ITQgF4ZqSo9tiTfNWt12OE4uq8vEi8vVlb361rOGyWETJocOr9xzle5pnaQ7
zR7XeGI+rd4lo8PVbJ3VUG3PRrd/TH60JFvvttZnF9HEBiLvRJKHj6ye/UM3Lw+3gyCfP8fiH+O6
BmevHmHBuqSsgRWh75YyLS75ka8tdvcZd9+MXWOWnYViFd+dZ7m8ziZ+urkt8ndec7oyC3VDXukg
hyod+4C3oKA7mb0rmPYMBPERZeoUot9QW42a3S1jDGR+1ADRvrsliLzMH8lppri4kGcqkJYyS51q
cenMKFQRZwS41ts6wzLmSki+4uWIdCRUstEA4YviweEly3cCKq6ZuhUDfTTlpBN02Y2IyXEIPyhH
zT6Iz/f0MC0/kzWJZ1T9G76X++nuc9ZyhYMy9lrOFe+FmoUMVIzBwhDkPvEeQbovv6sXORitB9iu
Jr56M4W3x8d1L+lWfUSJ0K2w0t35EpsfwcSJdcdX5BwR4ktwGybBy3p8iB2Oft8N/A8PVOH1JOU6
2CqxL3XMXvbP27xbdZRc9mN2PcmLBivybyK4+K+L6b5dq+SXsVPAIruXkyYvnrhkwxHzyHa+sFdp
0QAqpEdhxRQRvK7KQ/2ofXC+nF13hbzsl3Fp4dnuk/xSONOD8prPk09GmWKDGdGM5WkNDMyh34+R
fjjVruTU+xpHWPhZwv7hc1Kh+6M1nl7Pm6dDkDtGW0Zb8VZSDrvygvIDxcIMcu/OXm3MMaonKh3C
zGwKprwW4SbxXN4IY7w0W102JxiAGmlJpPjsKnGIFYIrlfsFeY6pkC5/mh4yGbtDKLvr+2Mmm4qP
npJoCgqI0hu9Tor3yboobH4x4JRhs3S5OGTZmh174hIHzf0j7GlYiTMVz/r2BO42PXAumF+Wyimh
6UhptAILid1uo2yUEO8wXuPb1cqD65JDlwW2YWIE9gjv24PMdj101jjJ9LWVvomEpWR40JmghOzY
hALwxLNusYuljrCf7AX/doz3t60GFi3wQtVzZfGJiJwdm0kevTZPLFcqDpKCU6aB8dg+gslRq0BN
2BI1HjTizBsrspUZaQy+sZcXUyIAVE4UCIM0M8fISp6NDTMapM6VQhT5Eenjj/UEz5hkljbWc0aS
La1lzRmwryV2XlGtmgMTbMh9lknvRGjTTdCYdFz8Hk8FMvIQjuJKr3iIiUhhz9i6SltL3OIZlDsJ
O6Y+vOwZONJlmuYuil6y9C5RWFKMTc90kCY2zn86WX9YTzHSNllKFvpedU7GQrcnS5X8G161x8sk
nNIxuZjPoN0kcnDH9AYbiKs96Q/E3U/ZEa5WiT4EB1AsvNGXmT1Y+msKWWVf1wXLbRUYnKF4HjEo
ukbfYteSz/QqTtdRfTCk90alDIfIwaycJ4gfPSfPeCD9mzzxaJJDgJI/eXE7cNTpfPowgdEIDqWO
fKdeJb9SRfhEqMn0oKo1ww6+VSnk9IVZWHTdlsCMwAYtRewoSvqQvNpvqZLpNjh5CyaAZ0fQB2jg
ZOK1fcyyF9rhzl53pS8+Fz/wcLcEwgHM0hWddCmxVF1YRlb1up+Lobyh81rbeVAHqg+ia9MPh14Q
d/db0BlbtFvxm5F7FQtn3r11l1W7LDcT2lJU5pLVvU8Sk7cOk8Zh1U2DZq6wyekWf5emDKpCAScu
fCF83Xxg+045ZPEIWhJnO0QSGyK+PDXsAvzzQ1Ic6NYD/LtFgJ84aZPF3vDkl86dmtTKlac5jKBc
MDhO6x8NPy2yOj9mNJOFmC09KYfv5pvmYY6/IIHt8ond/VGygBbt6/45V8eSWPDKUFqoXuMOnrK6
ec+D4jRf0Ve0Fzk7DeC5VPkWQc/ras75yin9jl8IIhXmi+k28Sgh403hEo08v67l+TOYHPAJK1aj
jWi2HJaRR+wiIFRjiTRImUxsVQfHPFoFuQloa4+X057kdXG4vsYrirpNN5es2mE/oAEosElpCz6/
rS9zrqSZpdw2wSJkfGeEhjchprOYp+vYv9n0vlVLyPitE2ICRq+txFYO0j5ZkZSAuawpOzBTZrQY
vDee52VuTjbQAc+XNADQ2qfzDFMp80I86AG5SrWgJ7uGIPRAA4dAq92mpnoSUp++LieE6L0hYQRr
0iQ0YGFRaqy6H+ixJ75mFrskrQ5ydkIkVG9OETxb87aP30TowYLV2NQ/6qVoG1/4tbMzu5M3YQRD
wUVj3ZZfeFRjUk17Xp3HWqUZGfSbBnpQfElYG5dI2Nlw1l0MMWE977Oyt6an/lU7CuFjf0Du517t
2su/GpKCZMZOV/bRuUr/DPcVKHGcgM1mpbNu7oi/se/fJS0B3iSsZFsMRGkVdasJZi+MaD+HVb/G
bGsJZbgnFQtn0P4sgebZykk+5ZsrmR+zjGCA+7beMozg9j/25YZXONtUOyFggeetYOSRoxFfXN3n
5jZD5zgHBLRGN77YkW0qHfSYLH388Eszq7844VL2xV/Cp7bOx6OnXe06PzkAB7E3ZZzyun6OhV+D
IT6P1eRQk11opvM0UEOhtwWo5dtH9aS9D0fL8dvBBOy+EU+3eK37RA2Qg4ClW+XecGGNHS7Kj7kQ
SF28WqVF1i9BilCKmJJ0oprk/5jCHDPa9y6UtjATlzXl9w5c+/JGvT7G3ciXuREdmZyITQx5oRI9
YvPfJoTh8HMQ9PDPNNkIasJZWse/cFm37A+R+ejfdVISeoLrlvU/J4//q2Zgioxbl6GCkGDp8Xse
QpYmTO5+4iFGfcevf/4PHmKMCFPQX+Fagv5cNH6C9bAXUcnVlBChMJv9OT0ML1VYB/zDROQywHQi
w+g/lCnGP1CrExwmyoaMX7n2X9mLMJP695njny79l7H3Nb7fBkWKI79JJS+teM5SLKzg7WSlOOjX
WjelmmGFShH4HP9JJ3E570Xmc5PH00pZmnRSgwuZYI9bwR6d6Is6Ipo5SR9jzlA65ohtVG2hTT25
XVUNg14GIGkzGnVbE8623eJeMoaObBUdCOZPAik7HWzQQ3cq3Zm0bvOVPwnuZtJLx/dKe9IC2SsH
uFrnNnX6xzyFIrvXxJHdiugjbV4e+Lo+Kle6faO1HUQ/57g1Ja/oOqvwmcDuo/uOpmvpAicW7RTl
JBLRhfIegw0zelBGUJRKzFRQtmfsUleqeO920+aRIB8xNAIBdu437aO6gIiLQvR6WTBolTGLHS6X
U6sqdFT0t/KTJCJSBnGXnU/mJIe6cs3Z2sGfdZjfd9ItnQunYU/NSE0fA90qR11bF69cq9scavot
vn7EheyGjcRDNaNrudG/HzSRBb8/0d05PM6x2jn39yfFRs1Oj/Gn6iZvajZ4wuUFuf897cyJFl7l
oCUtkmKUkNMHWvq6JLoMM9SxQBD2t3hfng23non1y+gQlqPJQGtQTU6asRabs3j5NmiWqbSHiH97
pVaMqUA5pJXFxf8qy0tA7+9aO9I89ccJIJmjTIQG6pbbQg+ma+XHX9qSsjM9QCxGztW5hjU4sZWT
pH7zbvQ7SOSMMEEKxrEfgehQ4FXvZjNKWjt20xbJ8nLghIpJCt6XVv49eUWHUemroeXYuihetEPz
QUTObQb+NUYA0afaPFfP1cUXOX6PruTNWj1W69tn+nn9VL8ZbEjfHFLHUWFtt6mf1ISiG9GGWm+q
EvD5lkBDGjFCJOssPry+OmK2RXJmBPET2ZxK4UIuFi6sa24GfwtoDfCPBCpbBvvcxdEC8NFACJ7+
aNX9xAM0CQmGbVUXhLuR5wJhfQoyl87F/qTYy/TklLG1srvuC1y+5sDoGRtHR/GuK7YsfGPXdVlz
Hk7cG/2306VYXdkgbwk29QQDgU0KOdKR6WzoDmI/G77L6WikyuGX/y8m8+lz7JJxGEa/3sX2M7bF
mBcO2AGQe0LUULIt9ZYDfI4pVW7WDNJyQAvVlRSUavxkFe1Yx8NYSqP7KNtM0sibS+eV2j4iCx5v
1zZIRiPvDw67DjaufKm0hvqvCK6d0QxoO/3MwYnW92PRWolfTOkvPWaH2lQppASPXB0NQKB21uI4
jN7HJ7T79AW/cCfVvrhLERV/HCS3WT2ccSSlktDX9IzwLb++t5JPcYvDHnPiqwnNnscvU4JOhVXe
vkdnjrDmg65n8Xk7F/xT79XhGE0+LHQsF6gReofToIAJENoUVTrjwjpBd+8O32qohYNDYu3bAc/4
OQY5qYA964Qa/O4O043yONMMoPEJZzuNArF0L58SrW4UD8tCmqn9e36hhrwks9u0M0ej3Gr0Rti0
a4jfOy6EbkzkbPzOAER7cDxzu8KbTOYFvf/nFdZx9xAdTfXx4m9aK45mkxvnx8ZXZACDJ02wTpsl
qmTLbw9qpo6KIkQhjMVMiW4YPIZxuugQEkq1/xaRNGXfRD/a3lWsYRFe4Vkrpn5PDOH9RbztKhK6
bkGCWksNUf9IrG7i9432klxCSdsTY26UayWHYB1tEgC5n+Ky2T9IPBeRjbQF6UG99yxpfFDkdPk+
w3xiKpzv+Xssvzxl6E08ccSZKAMZLWQ9JFp9ekFSU8+rXTuZXaI1PmrCUk7e+glxCSKquh5/Vjwg
KqQ6qNZQn7Mt2J2Ke0+76urCfqCS6pn2RAwIDbG0UiNUhu88ZnMopvb0Vv0v1zSapusYiuJ2o6NB
UOG+fsN4Uv3wH/xbTfPnP/9HTaP8Qx7Nz7COnyJvGKHM/2c8x381pqigT/jD+/RflmkK/45U8pE7
FQ2N3/cvy7Sx3KHuMjSFSHTxv6I8pyMm+BPxRiLSz59cnfwCL6rPS1RqdU1YM27e4lenn7Q6NLBq
dO9rRHvygYYaMzwMWhTocaRGtrRHdUji5rF+EICZGjbiSbxjcLehP8AATYXtD7TJ4mPKYPe5JtaD
GMRlFq8uLiF3LML9omRaTzKGHs8J+dJ9Wbaeu652ek/3NfR9E1c9sBMN5FwwDqa/8TrgAa2tfnxp
/4s1N7wlihMZtfaEbANg4d9b+kFu/3vN/Vd//o/nU/wHbrlUzxj78hv+LRcLIyhFmYIU8wAij5F5
dv5Qg2tU6rCnxPJO0MBI6k8192gEpfFMI135EYwl/TcUsvTL8/njyqd4GKIdwP5ClX8hMtPi2dft
MCHS746Tp6c+vG4pE7ntsOIxDL+T5sFQruhjM7u999pc+vzp1f4Lund89X9+Qf55AaPjIa7GsoH7
Mf/+J85QrhptuDfS4B2f39GsDqKrpUN5HnPggnOHvzlzOdqf38yF1/mawKrgeeSkOOGdsEBb3GlJ
v/5+EleXHZkwe4SmfZhvcaQRun0cPuFyRDiNxsZ+NWzWT9qjlJTXlb6U51TjjnIqcKP+/Wf64e/x
00v/p8803vSfPlMVdc1VleXB0zfsWiECH1t7QTa5rthsaastHjTIvclcBKnJvXQHe+IPp4mvWJMZ
8NL2ZqWz7gtMYpuGl0/8bbCak0KaYNyOYxZe7cZPd1O/2JVfuh9ypBmRq32e2jjp0OgCelmr599/
pr/goTX8yv71Pf1yNlP6Ls6TSBk8EqKm0irWPqIaT++ldPdjw+0vMxJLS+5ng+X3GgO/FJOeOoz7
BajI7y9lNGr58yPD8RjHGEVEYPYLhl605SVtpz05lTUTXzNpvXFZnKWLyXs7p1HK5MeN14x+3WuI
JPdQo+CYg7PQTPUfZ69bx6s0wKNenomk7ZBmVeHvb4TJprYOFTNzRJ0oFTUG+xBPAWauv79+9e+u
f/TE/unxeFbFZBLn4uA1tTsx/jmQ1dwb1E2+Mk7FYYKw+BbS1zm2KwYFbulGjrptT+Vpsrw7zLZF
MwrSdQ5gqC4QYhmENKYfsTNdIJ+0Hid9+3zX4I5yBzgwQ5d6c3tPfCceMUC1rju//zhjv+G3X8cv
W5xwnz6SKB4Gj5AuUCeM4WC2dLtda/TY08Vt8fyivx2SUWWX5+jVIN7A40TAIWzR2PnSGWkarwea
oMaqCB2Cf2A4MxM6hzhJH0P531/vD2HFr28nWz+LnajQCjHGr+en2y/nZXlXr93gVappKCDJ2I4r
VkN+QEWZStpFQ9KUnarfiXrW0i9R/JsLwLDjzzfs5wsYb+hPF5CkSZ3lQsOa66sr6UU5NgdSbr2W
wBYXQAGdQ7VUX9CBANN5pCagfCbh63JuWX2jnexHxwtNEAfftKUeRmQymK1920IHUAZb7V6FVMH3
bIGiy+WQ+qKMIQ8Tcr16jndzYUMQrcdBlh7r5ePGSJ0zoH3IGDvj2LBUFh0+X3ZyKGloj5AfTclv
UrL2md++Mk5xRV+ZSxjyWSirX+MtvhW//3r+8u34193hG/rl7qht9mgACb07hiMYgzvCC5bKTN49
fRHvGeutv+FmRobNgk4im/m5BD56Y2f4BDQCSMU8LwonwKBnqbEnvm6D1zo9L4twiNbIH0eppsmY
l9No1ND9v30wpDZzEA3Bm7q0+mHA/uYd+eGZ+J+fOUX85R0R80iVpujUiG+rg+zBuMfBJgU/08f2
BoRYeG2A3cYK9iifRQucmNyA6zSc3i8+Wkf5ZA4FH5CfGMBYh/yAG9A6Wsnv+J3w1gA6hliz9+Gy
2jNOFdDo/c31/wg4+t31//LO9E3W3ycq74y04j0hiwg3XVtYyVt5AcflJwFyQRsckghpTwJi2dcr
Uld9Y1t4xvaGCwzrXI9lIgKH2WTWn9BM8kE3dx/mGiE4Pg0J9KcOTqD4AiPiu6valy3Reit60+sR
asaRKWPZE7apZyQWQ8ZZ67PqbxgTHWitP05YVNo0lxY4KS1Q+C668DGbBFcYuMv294/oX8hYxnIR
GQsJjaMc7Jf9vVcegxjfeESjI0So+qLfbP0ofiX2ZGTP3QaWYBHvGPagURqz3GqaSK7udu9Tn9cI
3oKwotku+ueB8D+KeZQ/q4b+rYodo7J+XldyvqXmkbOupN8XtKeZm4L0igGG+VhhEoKTaYsWhpqz
PwPdm9NFTq2ZqE/IRaGph+u3iULzzuRsp8FFLadAIMLr8Na/MdadrMB564XGrvpCyh3OoMnfbIvc
ub9aF/9Vhf/YaH5aF9Wn2kZNVQ9e4VRQhwQnBBqOg/RlQ7o9XeaQmHCVPSNyjNU1BXDRAvG+bXRL
A/x4fHdiMNkpgy/cK7N9hiiQJbILpDAZloMQPgFzgCRRytE8OtOZExnzgLrTJ9pNO5QUprr9upqr
xnwfaUJhCYCHFQkNGROYhG5R7CPC4i/FJXDcT77ll3yLa5gKHFXyQ4YgY/yT+mXJKziscX40uM0S
cVW0gPERuRdL3CwDk7hWr2PUd56gmJu6wP6M4HnIf+TsieAUjGEYTsXO0/zuzCOPOoQZvvlu614W
j5SPBWeDxw+s5ewT7swtYx+sjDagZie4sv7+UVf+qjz/6WT045n76Tu5Y+wxVR8/HvUBVjvBVQ2y
4Y0RIK/tK4Ffj1fxK7MpsUj1uSQmiH05az6GTTrP/StY/kexz7eQXrvoPZ8Xs2Ymvz/9bNPsAQX3
l4+aIeXbbU/DMAuxkf2bzUT+D6/q/5/slF9qLdW4DTUifMrWcLKDPHOklQ4gYqwqJ+Xmgto1y2SP
bkn9OF42T+eJFueyuM+Nlfgte4NbLcmTphlsJntjpVgglS73IWjn+fy6zPYIIHNn+Ijn6VF9WDpV
15XFz30uKOah1oFeYc82zy8Ne1SzCAe72jSLYnEXzS9Ub6Fyhun3jQXN0PEx011YS/qZIx+KmZ51
3WTvGIGaVUCfEI/PbbHX3cdcWbVO7RcWyWM6Egtprvn1DAJ7pYfCTPYvXPK40nYL3APWzUJZAV7i
QP0pBKSCL29zsn50l+giS193c3rJK5XoNw9TIAoD7FJZxsNx1DtYAvgs2hwKCUAp5zkHIIacf56Z
DdNmvM+iUF/HlTO1k91Xwt2pL5QcuBYKCyJhTfFhNuv2DcCS6HMdRn6ThBSns6tdnYmHDGWXAHAG
jqhP5Fk3K1aY4qnrfHFDlxA7yYGBrD9dMmNdC7a2ngQkku90p7PgaWa4lgSC+6Tjmq6k0QVr+jdr
PKHYv1+NlF+2bK2aoH4TWY1aFxGE07bmZaG+PL9H3jW7AzXT4hQyq5/3buEAWazdiwemOS5UVGs3
/+IxW0qggawWXD3Iz+rsGgYKKFuO6Mms7GjR4CY1ApZLyekXIAgvmiVgCMsAmiPcYjg/Z3dLwbfW
zr6eQJPIq7xilzu9g+2PP0Vpm5E5Ci4NOOEWb7AghMZOQwog+CMSTMgLfXLE7fbn/ntqt6HyIe4H
jkJj7GnFy+Yd2787JRIt8Je3jSVjNBxBRvtLQ0G+FslwzQs2IZJA1jq/t/JR3hnw1WaMMe51bvRu
qY1o+G0mTLa1/Nkxlhsnw+2LzmxYmMuvTdh/KJtsXtw8Gr6XLw27p3kSXEjRQ7uVJ37LyQ8YStk2
/LzW1ilmldpB06HDNOb4gbWjTuJd0l6r6wVTujHLIqhISintSuPkX27TipTbiH7u2/T+WokXa4pe
tD9HqgptGBrQVcoQjvA+0z6D1+kO2adxPMmOuRs9XqPqrRvCaHrK5K1osCYbLh0g9AeQmGqA+ael
nmKAqkS8YKVu9qjDrr3bruJHzzCdD4ywAg/mPPeldFUngl2ou4afL5G4l932g2AjjK2Vi+826Wc6
0MOP0GV0vSWPekJnQIX8mD35A3eAIGi4iJz73IzY5fnJCb2/bvGIKqQoCIK0VawekifnzZ7YAjgN
oALmhc+vR3a8Xza4cHP1aFer1xLYQGH8VDnXoTWfqv3szxMSyK1o3uCDB4gTWyk5aAkgW7q5U0z3
q9vlHlzvNrUOzSLpTXLwJ0a8xhyyq/f58oL4SbG0sypgAOJEqguIhkMf8Yk2nglytp+emgTXPCv5
ejIVAARZSXPlTfmONFtBFwhnhLd0jVkXEFLxphe2H4HO5WYo3d0LPSNpmYJl5oxOcBaVF110xG4K
vQ+/ZGrmtFfIGST7MZ5d+kM6ECCXOfRcy3OONkZwo+eu5lK1gUDmyLt8lu8C5ALWym7benE6V2Ub
lznMw0QEo5nFXVCnQEYtDFSqQPrN7rp9ffK9XeZYaCgtUjFmFeVg14/OToRvzil9zeoxvNylWSG/
5TcB521ilwiyiGI7AvPSm/3ujtJtMgoW4GOal/Y+7x/bbFubB9G1kpkUFnYcGt9qZeKjIlMXF58Z
goaM59kcPtm9uB8V1+cOF7pibbMQjYDubydiILukB5PHJ0P2+hI7amV/Iwh+KUnumLbUnRqFEEZH
aqkh7odcc+5nBMrNilV7lItIngZt1tqtHMqA6ejDViCUCrNOiYdhl/R4wLMC4UlufsMxxUj8IDyM
PWhvLYIspb2H/romhsnKRAzz4P1CAxfczsogGgkWqj5bLmzBzFOudpM2KBPvVobCY/FggUf+AQ8I
147Vaj/P+ZDPCxwbyZwthcfI7js5licJYHSNxMWXsZujLmxTDGssyDu/WAndwmgXRoT/TYKvFKJH
FEhtbE4HXls3nQZMfiLM3OuPu7ovmlAsVv2VUwZu8jL52zcnirbP64Eei5Cs1XYlPc7MiSqYWkhr
DM8uts/Ak9n+JAtSUlavqzzeqqxwQNlIpiNbYvLYoH4RHCXaTprPhlhPFcwoPyovT+C1t+cctd47
gaQrY3V7iwNhF23bAHEDxSgqcNFjxja9E5uBCRyFZlMeJ9MPmQy0RYFHW4YZhEnWFs/uxLrBq81x
9d5BJGhULwUSINVrEcbcaw8Rq5K6t8uKj6Omu1ajCNUL09ooCzs0cJswsFQzRXDIUTWjwtZdVqIr
kEW+Eh9oW7VQ9jv0d5GrcVBYpeBNR0xnfZrGILzaRx0gu3LoTMxRZKL9Apv4KJYGagk0DOqHzhlj
S6hKZcX7ZENaI0qDrrYTMTBIPISUR1Si7cqnqwGrCr6WUhCndBuMnRiKXuM3J4wAMk/8cTgolv0n
n+/laclvhLeMegYck/ypJ7n4DS36Y39Ecz8BZh63wetSsh9Hw6dAc1iDZVM+0l/lPMTQnwSwItrI
cLDneOJyWdRKaBR0p/Gvu3yrfV8+onWco/02mUmrKJ5whSO30uRReihWjooaMm0wi0/aWBS1/DvY
tda6rRUk5eP/Nus6citCVjCA3k7p8SwfgOZWsxexWzuUr6pCbJXFiWs46JVzeYGeLGwyqYGXyXCB
TuOVv9r6u35ngp1sAMgEwfxGKMQ0aD3lDEEqKlNtldBFZXM02Cazg8RRlFf0rBL6aeB3fmpOYNfI
M55jbHBN2UHSfLKf+anrv5TweG9P3UKIwRD3+HSgXmg+IRB/ZdAJsKF8AWbLbzVC3X7eLG9b8ODl
9Fiun4iO+qDLvBuqxWydXWqnnAs7wb0e7ZfeTbdqTEynI8W2q9+3A0XlY2tkLvDIRrGupMsG2Up1
H0fmws6kdIiYJYqh3rxiPkUTcD7Y6rB8udebezRri0VVzSb6K79HYV0KYM+mF7vQwuJY9ciDy9kN
+zvURpSqcEIf2aF/NdqVEs9bdV+1JA1glXmzasRyNtT2FbQBfJ1z045pMWIV9N0kxcMl7A3KlVug
qexX7As0EHDGG4cNjsxhgZlc/5ZRuLWFR4pbCWzIEt89Zkq/jj7IOr+YKuTR9rFjXR2+hPrA2QA2
idPNVEA1euXQ1GzU2EukK9w9uOtjJ5OwCgLxQmkbWUeNFJ5jjQQQlUrsdRFT+cLuNLv9MHB6iH2V
mFy4JjQrdHwLcwc/w5Yjb5VXfJaQpBBmatzDgQx62dGrcMjHx7ArzqpOODqcD33VysC2YRgpx7d4
cyWCmufugHF+EmoQK5rNAyLhB4AaHfv8bnmDhwepeoF+NlOajKIc8MT16w5qb7InA9Y9JJpZKSCV
+VGMvOYRKqfsRS32Iu6gMgAuQ8Z+2Su4LazSp5slL6qwS3xf8YuZMON39uo7YXJT//5RTCX/IZnU
lj5nSP7Yw9U1L8VJjKyOxC9TcIBvYaM/Y7iU1KEt1F5QEgymxvkebng8Wt+Py3C34/QMjb3rzNnN
5Kbq1mdnfiO0dJoVIlI+yud4tr6ZL72dbl9u5udnZmGozhk0c3bfJA5wzCc5vrYK5quftU0Nqu1m
KMZxr4S4ZSrbo101MhpTuMqJmQ2HBiMPTptgSyvzNrBk4Jnmy5mjIZlca0G0jRji5HgY+60WZrub
sutPpfaapYQg+4/be/Gltm5PoTOr/f/j7jyWHLe2bfsvr/2ggDeN1yEMPZNMy8wOIi289/j6N1Dn
1C2jc3VCXUUoSiVVkgUa7L32WnOOmV0QtWOGDN7SxNWqlwApUZ2811G5S+L7yHqeOau6waPIyydw
MHf1q0J9ScVkl0QkIkFBDHUGRPV/a1/PFFKg6FeF26VEnD4ZbXCvXrtpa+wSlK5jaYv/mv/+r+0o
ZemC/alniDDw+0ngt3ZUKZhTUYqcBAQsvvSZL8XgYEXVgNQi3oc3Y2FoyLzEckG5tNWuQg/6Yazp
R3XSXv2AKh+6effWu8WhJMnQnXf54Gr+J/IN3832/2Voh1bxP1wusQAMBJjWKr/H3uiRUhIEVFIl
P6IHJCvD7g/Y8NAKbytIS9svA7/IBCYOPoZjulfzGO25Hkdco9GrTi/RDvPovIYP6mknMrs013gk
R/i2czhpo3GKoRahVxzFVXRsQMgsCnDB5tbH9Wy9YvWFLoxt+sHfkOvCkxRbSkuV0JGV8Ezkl1dF
HgcM4G7Rf2m8aUsSw2+fFClHlqRJYMctBs6/DSSy0Jh5T5SJ1prD5q2y36JKk5wi2Yg2Jjz6iHS1
qu413g47hc1frL0hHmzUPq2JMU12qxivpuVKJay8TkAaGTk96GQ/OVmicUzU3pYoAQsOFTdJ9GUi
bTA4DlUmw6IF7y14mNZnIl5IhpziD1PmBKzP0GNeNI5uYj1um5r4H85TzXQ/o5Gi34dPwwgOpV87
yJlwDSmeIbtEs4smJsKIJeGjzhnt6HZRYI2ztcqd0scivBvSE5+quuFAOIzPiYIXnO9hCM7x3qrX
MaHqnHgIROz5RgqPfrjjKfT0nbhO0TinBsnI4Z0ELzAevJTDXGMKbgeUqDz0lpfmyMZhtF4SQDH3
ouaU5B8Rtv2iRztOIF19Av/CxjpJ5FXbDbEGJ31A/YRRbz62fLmoKpV64e9WV/R5y9p9nmhuKhPo
7CPd9eFcfhkviLuCVzccmApPbi+tu+vI/iCtgwzXN0mrg0xMDtmjNz3sCtxmi/G+zNxK8BSEHqKX
4zQ4lq7B0foAp/kQPscfVot3crUM0hHn0ZXrpxUbYv7aXMMvGe9F7rLV3qfkzQ0OZeOA+SR0qvms
snXne3U6QXevKS9GT3tpAodInxklGwY6bDdQCxR74GtBkxJD7aV3OUyMiz1B9kRS5/p1B6+GURO5
1EjRGWbvQ7fTj4Z6Es7im8ie9wRpCweHVl/96lXpgYDjUXbbAptuCJChusSIw6wba2nImLZPkfMO
V43jAwazqj/F+skiNEchYekmeHX44RrxphHcFBiIunk7Ct6oEi2KdO8WNH7YOJa5STsXICE1Nwd4
3msSXBNqDhg3dsRAk+wfKCyK4IXGpjW3cehqwq7B432KbsetSbvPckmAVS1XZs+wMWS2/arLnJF2
MIV/aY/vjciBxmGaZo3UcE5xl17wxoWBV8we/N6lpwETclcODzVuzzz/miYvBiaEVy8CM4RCeDU1
SN2OPa4yiCeQzf2TXJ4lMMw9aBBaCerTB4zOQmfP4MBso7zHJ4EO0q7HTQ5lgqLVMV50aDgVzFOY
yeI9VI0xvEPWmCbgEdfztBaRZiY383hUaJ8TEVvvcgW3RGNQklyydkMVPBJ/vKsXCwwsj1P7hetR
Bn86sbzD2Sdqgxt6XxX36rD6lPuNCZaj2WiTN6suweD1u4SxHtk1jI7q2CIhFnYjFYpAZlBq0Ylg
0BVuqIlcrDWkgGirQT4vPE3CCcz5sWhtBV0lz8PEdECnqfHN0m/kiG+Xl7WIrPk2oZxdEf+XCDaD
Dr5s/Vn0n4vhy0+v+JUndJZCqdmBCRV7Fahekbmx+UCuimxLfMtJbeq+gnydcn70k6MkwDWKbTm/
ZMZNdq9fI3pKF1n5lA0gQGu+1G0aAVGgGKTiZ5lL9LU4fODBJNpAu2V5EYV9Bd+awwI28wRwwL0R
XhcBLo7CPHHr6DpYRBuWt1jPEg12MrTT9Mag79prT0J528junJqMFWDGn+ZqU6uOiLSkBKgBBiYq
n6LX8GzxDckw4kmNG9SPBBJgeNcSWiKBbdZrKTml1Qny5QUzZjpwU48Hw3y0hv4UxQCpA46Vh3iA
fYUvRxpsMbuM8gsx9koFtRwJjsTSoL1qyYdufuCwKvwLE+P0GFgXzpfCZtHvO5G2+TaS+CfqyhZD
gySLIs1lBFvkerCx/pXuESHWb7rHPz/+u64MtiXqMfSFCBx1HR3MD92j/MeSimRRyeh/Bi8rKimx
JCDxb0VcUgt/eDkkXUeKRnDJkozCiPpvxIzQCf+1pvj9pS8Ky5+HkVqaJdkcNzFnWP82V0fA/dYN
dShHZCW4ndvyW7KNgFRWPRaRfFtY2rDR0ulqtWQgZUOLOatHR6R3Ecy9IK2Hd6UTwpu2ipo7NJfd
XR4TCwJDpEqB0Bc+XqKEKkQWun1ncsgvY+M5VQtKp6wGS9BCJyi7wmkGOiOdZnSOVubbSgvWGgPD
U9WNbHhlXwMZMnKch/UMprgoOYELmrU25gGnXZbup3JAxlIWH5IhUruKXyULjtD7NGxU2vwgloIU
zMBsvqhS7UUU50YoHSodu0ijb/LWOM3gaXFio5i3RPN+0hF4qr07Zt2NOFYgyyTrdk5k/IACkmm5
w5ziawPm3FkoHi2JrTSdHDFQrspEjkGixmRikM9MJJDr+xV9QiVvwMKPrHEYF9RUGneZ39AdVvv3
qKIGa96TynRq9UtuZZsP58awCE+rsk3cZhsTsR/v7TbThXtxIFw74hzcA3C3VOEtTbmi0hLfYsn8
KiplPVfGse4Zj3UddnBGUrRyGm3e5sBtDRoXMzCnkOuv0aDqhjP1oZta5UkafdfMbhQ6E2QvOUbb
bIWwtnWDhPsYc4dR3Gdw+EMODSkU41HBQ95JY7rXkqxd9WGpkYzCrHPw12pMMIKRo/KfivWUvPaT
+q5F8XuiF04uvWAf8TA2rXodz2daJZuapp/kE+FW5iabIY6gaG4OgokZOG9u+1JbD3W0UcnYansg
q2L7GkuoC/JEquxmkCkIhgHMVk8fTsLpHWXBnTgnTqUCp+L9BrRj0SWYUE4axYNvZftUGctNG8zJ
v4b9/9BVEEMZKw7kT92QSDH961VQWobMv6i/F0Par4//vgpKfxgmYlhyzgHQ/6r+hkwvKUi5dZY5
jegk/tbv6lrrD5OfR7yxyH4NU2O092MVNERwwYtKnetYNLl/YxU0FvHqT0dgFsFfr/y3g1Ulp12t
dF20idApKsbNYI64MjCwx6HIaV5IdDc1jPyoqoZhq9VZ8YmAkMl3kcm9UWgjTr66TzUrPUkqDUdx
1h3DBN6w9L9bsN8Q+7Jp1cPF5LkURjMUJ3UouL4ikb4ML2pSOUlFtLo/+qJ7TnPK/N4Zi5ZDdU8/
GDevWWafYYxhrRDjk9/Q4OqarF6JY3nIjMq20uhE8rxqS5FKG2tsWLsE+XYy+9u2t/AtDzAQS6zO
ylnJ30sA9HDoMbSv8qVnKAO8M9rbMcCNFy7o+qm+02X1XKQZ+jW9PxUx8g2rCy4zNycGeHsWqboV
1jNt+Efr0WFik5DALoxPQdL/Wo+uaBb7+E93DALkPz3++x0j/yGZBpsqIG2Q7N+U5T8CG6gaiBrD
8/DL7WJwJ1EScEvI4lIj/HS7GH98y2gwKUNUlSf9W3eL+Nvt8ttlI7D6tWYQZ4wcUjuZ68UmjF3t
nTTRHeC8Y0zykIv2xHyRkahjB3LNFyLQG7abeiVfpBvxor+oR5gaWvA43VYTFup0LWUHNTvn7+0z
Jx+9faQNxsDRlaI3k6iZddlx7Iu9mu5dpV+LzCkJEuwqDrdSsw0/LC0hdnG7FC0O1TDlQ4ywKHlM
DwBE99UlRRQ130qAp9zhoT/ToxZfYQUJ8gqr5LCADRWSVQ/xgcKkJHbimX+DMBUUV3pHGZC9cpd9
Bdl1wSHVrVtba2a16LbQ0A5foFxPdUnkoaM/YtXmWMBs1zF7p3yXqg1ma0RGewkadnPb4p8k47yy
X1T0ENYq+DJFF8LJAAznA0II5M03qqEdOqPIVhObZivDxGmDtQ7toOWIOE2fdCIACCqy0/Myspm+
/Jf5QwGKCmPkpnHlC/e+/8DEIYg9/YRv/RLe1+fwfdS2g8651kM2q2Bcv2lujWtOr+/FfODEFIEZ
KJ0ABgKgj9JVwSB8GvftFcPqCc+Zb13B5Jndoc1sUBXBa/EFGr/8lsPKSYmVjV97xmf7eI1Gu0Cx
XWzLY3RjAILUkDrH2+jVvEDOokFFm6rUTbtrUbqSBVnw0lD2q1tTRCX5mEWqF2dvNB4tpkvnXF0R
EosRP5X3pr7rwOj0myLyLPJgVeeiFjT9VB9SmJJ5UnqI28KTOf2jlk0CWGhY3VsoxrLme1M3PUNf
KVHw6B0mfAOHaHxr8BPJbZkdM4pSmlcPHcqxZN/jDb7xUdcGaFTpgVFC6Y8507QKwY75qfgr2WZ4
a76KD9VDfAP5ncn2fBs/AokOyb10SqyC5a1/NTsbBa9JMWhs9DvQtVEMLdML3yzUjwDUoMZfuuO8
lQ4WEX/rmIQsFTDRuBXeikv1EOFBxnaHgxLyEHIu362+dGT9nE5lJ6k/u+k1orqjLz94puzVglM/
m5+j/mhWZzROBIK6CBQYKC6xmh9lAv8VBnzsAm/kzKpvJzQpobQHHTsnx9G4r1ubb/Kk7IdhGUIi
CKKEE6hxE30k1K9gdkvJ7/LOIHi/IZpbAEhla/tv7ihxXtXPSA1C4JIbmC5Obz75nlR5IHz1yP1G
5UW1FDcQkT865Szfd3yJgH8diogoaMPOrf14yx9rLlnRUf4g3qXInuhPndCSKNBlH6Vso/L+HuT7
5plJBs8tBB7sZLixIkFgMcqKiXQ68CLtUbzjeQ7KSYaNC6RGMVbJeiW4ouSNpZumxyLY0fgv21Xe
7Pn0TGKJu/NEBy34DBevNPSbtqL+JHzpVgi9GkaNGj2iohoM6CYIRaOaWOFVa94H6gn9bHtT4I7u
eYP4K9r4fnmq5UFDD6t6L6lwY/IC9VjTbEXfiYcjAReiGdB38WR1G9BwYjGkDaIqxqZkqF1sxMjL
jF3b3cBrhnoubmfwmq+iQv+KCWfuIF8EEDQt3y3RAnQJyvhxzlzh1Td3mxBThRPp64fmhlCWSn1A
0wHWjrnKCjg6MwfZGeZDM3+M1dYkV7VyLKa5wgaONwRFC9WP+CjNMJz3FVwUedXR048EZJoLPOMC
V5HWepfFqBvprqELdivCyPlA5xNQZtUZOtey6GWuAmg6R/LbIDzTFiWcixZWzRDjTr7nBwFO8/GN
t/xN8j3fE6C/ANuQWAD2u8IhYvAF8fGyqEhi7G/jCb3dpmJjgUFCSBjm10PYfPFfIvcAsXLH4cb6
lAmcQsXcO9oDz6NYqDahi5CIsoA0wgqPZ89zkliWZvsc8tYdwXv+3twQp5hcBZLs3ey9v7Sjy//g
EZP0RMyZVr4RWFbXhwxcwBV3Hv9APCXBjB8pOZ6gvWHGb88vcbzTx3Na32bGK9cbQyuBhW4b5ln2
uZCMbWx+SdJbH+U7epECkZXN79HZ8cp5B5iqZe/+vmsfpPx+AW78k9syKjJjVV4OI7Km6//1QMIP
/FReUdb/6fHfyysJzyl9mW95Vxwe/seLCnpDkeitiJpEkcXvfz6NkISlLB5A8g90nKw/n0YI7RLp
4lCQLaeVv9WT+U2Z9+2qv4Wh0GaicyT91pHJ/VJNRY0JMjmoTk6GQk1Y/Cie63SmuZywDhTVWq2s
f30x/tc5oCRRH/52Cvrl7fo2eftJQ9yRMqRp/hBsenKUK/KUA3KVw5bZT8CdbYRlazdkL3NTaT10
IzXahFNCYfGUdcEMPUb3dYjGhDe35mso+4xZCXUuY8Kdl5TnCZl1RDQBB5xT2gw3XV1SxWVbFkHw
AuFWIy46ITa6pU5YoBMmI7nspMBln6VysjtTukoi1U/V5c5QMVBgwm2CWPBFigpFBntdmsC2ZzWj
Uyq+mcagXBinyTD5RrFjgRTCxMHCyR3og6fs5ceymQImOoV4ZeBlW3WcrHshhLo4x/SghnpNzpPX
EyAfam4mUTBguEyhyzX9pWhykriRFqUPGFW9icK3ThUnGrRjADDMFEcswPJBsYCkR5D8wVPoWP6y
motrfXhcUEIDoyQhV1PtUnnJecEdGVEB6UOrjH4gRAvT9LRqXwraZxaNiHYH+IGx3CS0v5T0U6tN
+N5RWj7lQuWlEUKyrHd9Fa9y0QAuMxlvTecmzYODOlPh1k1p/qOXEhmOjQ5QZ+kZkGD0170Nw+TM
8+tS8qfH/1hKMA4TnqfoGOIxzrMufD+pSX/gpicrydR0S+H4x5P+6G1wDMPHzJKiicRbswp8722Y
f3Dyk1W88LLBkJeW8d/obfC4P93WP186A+JfT2u5ZjST1LT+upxzW/eLbRK34OJAvtbRXu+hHObC
zWyiBmL8ALRaK1W34ObWe7QMg6P6S6FPiQZquWL+F8b6/Th0O9NIjJU2gTody5Asr2LX54YjAGGb
z6F5MVNEahlDYSZnWfJRkJTUFq9Df8gQ7yhJxqTHh682Hip1QMKTcmBrAruJCrsNqKMKDhJ1tYS6
SJucklufLywFO6PLNlLVwn5oXZHhNe3Yjd6YQKKR75i0SvKUWz2TmZKpVuSZ2qKfHZi31gbHHcKs
yccQySeGYAgTr5jVM13jBW5xmlVkP5zOJEWA712p3pTmXqX0O2uS3vWleyL7xUM+aI4kkYjrp0dZ
Gja+Yhz6RSIp6aRlADauUfeItuCPTqu+SWl/LmWUJoPQfU6E0a0EIz6Io3Ug2I2+khF5WmvuY0XZ
BOVNrlFR+xJpFRZUH4aQKpbHtgw5zcnQ/4JoKSbb+5LUA6lvTrLWO5H4XtMx7esUWdioZySgDbck
Ex4Uk5n64AebJCEJvK5gQk7+Rpoxi2tPdSR8KEKWAcltSIcwpoNfdR99Bdw0z3jdL9r0NqRnKRI8
sTjPOmyeKu280qcpls+Go2EkTpJpJ0E2bAKNPO/kYJTGV8McXA1fRrNLt74onGKKl6yTh60RZifm
bNHWr4M3dVGRlFge+9lLyWUu4nEzEs3SNcDeeo54RKWfRyWpH6BFZKfYb7bNVEW0uwC6GfBcA/nZ
VDOiClGFaeaeRrrDV8AOauC506WGtabFjxL6OwValGpQgA6PupUftAXS1MTZZhyVJ6OCMzqCzVzm
YwWBEEr2KBTWZVDNq14vH/C27gtgaUxKJz5ktpNj6p97OQGKBO0U2rEnKP6HaXEIUMI4dwX5PegS
4rbjyiQVfZkrCkkPhnEKDl0wnPJJ4CCmCY6Vm4gT2qxBwFEQUUh0b1lvo5j8m5DpNVtHhOSk5vhV
m/s5kwnvnR+Mmh1saA6lGb2hXzVriWmMX3vdxIEjIZCaudahjIhjpkuvVxCZhGE3huq/XcT/xH62
Ji4BaLpCTJwG84ye1F+u+Qol3y9r/n96/I81fynzdFWT2VJoQ/+y5jOYs6gGWd3pCi6gk+9rvkow
HcUs/TlMdTzspzWfP5J0QBKYnb895d+qIDHY/7rmf7t0th3IEyDi4DUsHbyfSjmZMQuqLtTES0QG
E6yVaitOcTGx1iH14L/Jml4hMFvlF4mkLMUjMvGJiF8wALuAIAxltYH33OzNU4jGFgLk6sqdt+oP
qlvtpHsLQ9um2okJKSIsUavQjq/tGW2J4nnIJdVV9zDagmF3V5RAIL+BHZJLsFVRZfou06ZRW/Fr
sJXWDed1HHaclZ3Bxa3wydAN1BC4J9H5Jv/bN99CxaDlHsPjI09Aw85cM/TnrIme/Yv+k6PvuzvY
s8++LT0bz8gAvcevhYCr9cyvVs0T7nTP4iIt5j0v12R1CfKLoEPvOkijHa7uPn764tDznoIi/yWT
7tvb+9M84V9vv6RJEgNaQ4da8uvbH8qW6XOD12uVVgU+NuCZZGqNd5m+j+hBpA6/Ul+HaKKwzKL1
kNk42TFcGEe2iC9C9dQnExIAYuK7ZkPVS1JoEOReaz6wVqAeLZFKGtMpAwFrwAwmYB18ERk48Rlw
JTYYtO/4tjhqviXJI12//q3da0jzyDoT30eOrIwObtqdpO3Vm9C0p/cZMdkVkOja8nKZOh9TXLIh
AO4OxNyAoyJrHtSHcq86ixgeybQtQWMGWXrGu712X9txC47ZnA8WKizzpcuPGto59BN191Jm70Hl
RNfpwLtdexTS5HrNn418FYor6pta27QdNmES5nYUyrNxV2gIfGMkECR4bpQ1OirVlbEMHyySCJJt
u0tLd0J6XaI8cToE6BJdN3bZlfg8eNLOhxG7eEqcwN/69C7uy4R1mGbNbb46vTe4Hz2W+OBDRPN+
kh16NlphD4vmxMluyuOi4UFMM9+a/adW0jmRS3fQ1ukl89AMl2t205pLOfcgVzHogfvsvsXTyfuq
3P2DT+vUq7q1DA81cE6M+X66a5zX9vXf9fTpNfv8f/+HNVn8/bT+58d/X26NPxBKsMrqTFCIoV70
Gd9LbP6ILFLuOI7tv5bYivgHfwf1s6Qb8jLU/HFg549UUSG8mhmiSBiw8rdKbHO58l9Pzr9e+iLX
+Hm5nWShCQjCNTZq/lgZ12zs7CWHhf4ZbICiwyHzPD3X1r4kwo2OtrrJUASs4PNZBW6tRWE6qCta
wWv5gdGE1tO+o3XmoViP8FqSisNgHR3X5AiIE3VnRk2Nubq4r6cTJliwNDTVc9uHfz6+xz284ne1
9ThPz+YKatwlaT8QeS6ZLeYl5RRuOS+J4RHDMwOlolrehuwKhgcU9kivf+xp5jtmfY6vw1rAXWTP
hHsFj41+H4j3sfRktPcYJ10YWLW/nkBuSjda9iCihFJ3UvYQJl4uAqvYEvJDF1h/nM3bCLxkgF7X
H27b4LENT+qrZXKLH2FpCXQ4RJpe7SMVN8hAs3sndPKsnxsODxQ2w21jcdwHuYE/q9vMdxKqvT3S
pgS8LQZncmDOtSfQokVLsuIdwh0EAQ+FmwXxcXKMg05G1Y1+aXbhtr0mj8IdmuHaOSLokiFUs4ok
8i468ezJi3lBUiv4OwSKLNzpuM9n2MW3HB6S11zbqiSH6GQdTfcwSFUNPXmOPaakxy0frMZWR8R+
yn5K1uBgET5sJhMVerIWZgeOn4aWHJGBTlBSn3qIMGFUqjJd9rtoSzZIdrBUT5F26WPTuI2THVLD
sY7ABS9P5ZfwIkpQ5lfyVbsMXuKmjopNkIQ544muRMfJiaTtB4MWwwszXL5NjHkipOucdLIQaFGu
HzEnzhibZW9GVkonQ91U8j6CUMMG8RANbpOcIga7RD/ws8A4Jes+oM/N5wCVh5Y17zSWZ23diVS8
NWM2SGmNHYN29Z95YtDvVeLGlheNl+LYDZvCdEuoqYhLVxELOZ5Qqg9+J6SXPjs2n8iHetkdwt1i
SgdKjIfmQUzWNY5nBKTFNjaO3YgRRKJlstLeugcx/hBRCPL/KD1w4wyuhB8S5gomW9NFGizrttHu
DV7YWiVWsAQRY6feSM8edTgRTdnRk4Ot9pZdsotAaMFDeOdvi3V6k99hxSu92br42qmMn2W+XaNg
C2jAeaeFgRgBPmeS3/ObhKkCYS2fbImMIMaLCrDclu8Q5gN4j79CtDj5KUgeBHnLRjOKr8YANq55
pcEDk5BSADeprm2ze6HWdj1zrd4gYkRmD/nQPc3WZ08l8kfc9sVelgpHSJ6aMnXy8mGK7/HQIe9U
mFfYdLil3FFeG+IbAvCS1Ud3bj9huYdWebUGmOojn0yY3wHjXFpin4tPHML7c9duNPsBX8XTt8yE
AEw6ATUB22BGL7o9Ro4ovZXQusdHBnnphYDw1KiIP3e7JrHLtQXrh7wxrNbTZyLbIxIsKDPrYfNx
KR2GqABdxnYt796q7NOI1zCObgna3gQEB00lg0q3XCaO1dM4oIccmMMglxdWqNJJvd+Mn+mugoc0
YRE9tWsNoiMCe8EZxq8kOKCSbo9B7WYKBiJH3iN7BqIt3L4/c3eCxLY+0M7a9aO/esCDvl+yHWry
g7igBdhOJMjNBLSI3IlPTJpMZeyR6QXAjLeSyrd/NTddiC3HlpmPMCADt91eJkzwqH2l+jXdNNtO
duRu3TXYJGmeHCewrBRfxYogmHVSQPo/ZNeAARNZoumTSnrdGgSUHzkBAXqn+Va+oaZBzD14gEfW
velhBvQ6DyCaV+4Jsn0JDgA4lSMFjrwzb0jJJE2dOdwBKUmNRyHaKi8ggT5OfNgHAXcx9jaOh81B
Foe3fCBMMvJIfIr3TXIfIwAJKpeY0wHz/n5443dYR/mBYJMi7l1+vDtFd6l5yMFjouYCObRAwcj2
ircJSuFi+DS24Tpcaxrj+x05mGtqu+xG+MavHdZT8YzVeiUzwjcvavLSjPvqEFaPU3diDokxjyUi
Z5W544K4hjz4+hqe8uohh0mUwwVY60xzzwTkkkQhbMmGBuYRbJaJ7wBdI6Brwk8xCB42BtMm4Xn2
SnQpHb59Olfl8rLIaOKpjihawcjxD3NdvYKOJAmwFULOHL3lMoB/fmU24zRcJ81nt2MCrBLMKtyR
GwFuwSJghfSqEGJ7Zku4Dyqmu2jKGxxfDmN0sSWPZ08vVohdOlZtDMTMjnta1Q6m3ogQC+ESk6pS
adxPgVu+tNlzA/nfOqbSo1Vt1HgHM2C0caOqBlkM7HO7jncLMXxtt8Vd6x+kcJdl97V2lzg1wmbi
2VrWwrsWAfQ6fTHSctfX/Wkmgy86VcZqIobuH1xlAn/UNHk5V1kK5eZfS25kaaHS/dbI/f3x36tM
RGrSIpAxIK5/Gwz9qDIRqXGMU3TEuBqzqJ8P9dZyqFcY1aDJUUxUQD8auRYFqIJ6B/jdN4Xv36oy
FYln+rXK/O2l88p+qTJHsw1VRA0bOeo8he1TC27rSD5pMoYB7C1SCDc4q8iLuuhVQkDee0mMiRAL
OCdUJ6iHjZ7eT3jC5ew6CQP2w9ytaulVyaIDUJ+VL3SksTCiTmcCsYB1iaCyheIuiKDspM8doUi1
yKyy9XIBZSiEgyAG8kEXc1FbjA3W1hYuSg/unNT76asRRtuCvywPN2nJHLfCkKE25xj1RptP7HJd
Dqc5xOHbz/2DBOtHF5B/tOl9OCrbRrmD015KnAtTaS0oByudvVgdLnqPZ6bd6tCZRrX06PIR2tRu
EsunsIyPEKy3hfTCfASA+JdqZFhAamSe5NECnRBEjM0I7DvKrxBvvBrejB20LglRMBLdXqELDJtI
HM2vpiKrJmlgomRnw089LW3WnUxP/E7FBcjccpOAn1dnaadHtJlnY1716KengW5K/hRZ8skXh0sr
YitVNPmQWYnX9DoBOUVdXXQpZeHCRWzgLCOoLmk8Pya7rfeTwwCScpXX8l3N0L1rgaoLUkUHnYUu
KVmSTGsiIFcxTn3SvsRMtOq62ChTv2uqHA0riIamP8cl65c4+yiCBHIf4haPZFt5U4sa+phtMzNY
bXndxFinSbgrynqPa9ZLNTyJobawp4bptW6099inwjB985osUkgsXNtxEUfKwCrQSnbI/4pyLS5q
QBWCpIg80Ecm6A9ofEzJOpaB4WPZSddV4NtDNZItXRDrhXEKIH9ERTXW00bQ0nsjor3hAwdQodZk
BogKtXgUSuutn6BcdNVJTTHkkKBThjkWHaW6izvIUaq1CWUsFQnetEl9EaYe3Vj2MWjY8NvRfwjD
QF3pY146WWkerFl9zRr0UXUiIrrwcYcF2XZKA8B7JnjKFlZvxcsd38woWkvjW5fRDvERXaI2E3TL
6834w0BCUGojJ6boIyqsfeDfdIZ59Dm6lPNDoGAVCbqN3HDJY/8uaBR+/nPSFR4iVLsEOtZEJWkh
0rrIwYq2i0wU81sz3I+y9CyiiM9H01Npy/UyGUP47qz8iQ6/k9NRrqPuVKBSU5ePKVVPSja/SiJo
TJA+YYUNUozbWyEbjpGsbXIlvY6lvJMaUD3pR9pRQxoOi1XgBPCKzRqAhFWtjS54m9RkFYThY0+k
ptx06yTpDv18X2FinHWJbBHshoOK140N3z/005OA812vGm/A4zUXoiMPUE1DFGTxc0ipHfPlK2qD
eYjrN6ca7XZbKXcd8VmMIlXMZSF89H/2JoaUAAGWIilIn//bJrZsKr9vYr89/scmpmm0u9EuLH2N
byPH760SiewQ0N5oSSEjL6rpH51pdipDxgCsSmhNRXa4nzexBX7MJqYqOFmWDfdvTCMRUfyHTczk
+kSZGSv90UWE8FNnOjJEcxD7MtjAsLF7q8/OoW6Qf6Fb+Jy6aSXE8UWYqudKZEKplcbiXH1Bq+5I
2ETiet+U4+zwrV63pNwoPpiWPA4h0HQIEVIkBwJygza9KwZp3+qJPZstllYogyNMPMWr5eYlIOrT
UGDzpLDskfHViviQJvVT2hi3lZbexMrgiVLn5E1slzgMYObboc+iZI0PrZzYkzm+t1GGWCy5F8d4
I8XqwZjS20lDyjlq0SZNtE3N1Cc1JI99di8tiqqYJZvzrziQk5XrQDLQh3WkyBXipxElrq7DWMQt
KIW63eRkMrDGBnhZZblk8qgZ1yElLg8QTqiYT/XoO71IwggabpUUAbUf70ZTxrxe3iUjcyTlpTR6
z5znDRBxcqhl+aAJ9Yrq4QVAu2QXgqLaaim2JLh0TjyaZ43KmTEKsd0tAz1fdtKGjU1JUErkTNTG
2qCB1CKyoEIWAsUdVPzpnYxY10jcMqhulehdY4EKo/mOw6qige4cCE8ViFuYUMGbHeFueCRFuaZc
L/8tXvknjqXQ9+CEQEP9zWu2zHz+uk9KuNDvN/+fHv/j5udZab4q4v+ol37c/IgJsAhhdfuuJ/8+
ljL/0Jbb22I/ttR/XdAPKYKqMqlCNy4qVNuS+ndufkP+cwX786Urywr0882vxJle9K2vr43xXDWF
uwh0xUfi9WJM7JPNOLO08QM5Q+oUfHkaGiTI6lYmWbSL47pDsNy4Glm+0QpZuYTSL0OlZKAId2t/
h1dX1FbtFdz08g9C2Whr4HMm4PKrfU++gkeBNtNVWQgrKLzpYURf+dV/mG+6HcmYht3SJkDtu5DM
IkBWF3qIQngYqw2p8OONpLjN/+fuvLYbRbe1fUWsQQ6nREkoB6cThi3bEgJEEvHq/4dau0dX1e6/
9+jTXlWrXbYVAAHfnO98w4JiDmcDYmxRYuIhkr4gxp8BLl5REtHGg2YWL5RbJNSLkMCBEeoAKjuU
chjTIhqRfk2svCYzmIJrnWL2Pwn2C6ZfEKxAQN54YtsFwG4GoebHjsik+v2OKA9yJ2WLxMyfUQb5
oNVUOdP9Z/AxajxEX1MLvoQ7iMxJXjoObV9hEADYBne8VsavihUa76kSQpcE7VMJemFXiU8Nwycy
wBS9x7pCmjK/ymHOmynmiidX/ngYgiG44sfNA60Zt9zpALwbZr+ofHYM2Zd+grUP9qq4XQAtuvKI
rzVCRjrY7WUh8HPNrSBLT5q5x17Xu9ZwxK5hZjg6I0IZxbkPnDckzE584EfgxhvOZjqUWyHXnQss
8zxZJ/Fn26yvTBRzsIv2xkZ3omMQqUoCJRgf8WqC3cGhB6qocoj+HLTconTxpLfmFXova4kozOBT
A8gIqkic3NEgU8W+nIT1VfJq2S9Xnb4tHuFjPKclbipgiPECr0zp47YBJnxV++BSAg/ZDeZXFOL4
ADF/JH5wxeD9Hrlii9wM1M4FPJ+XHVRXD+fcBw2Vd0X8z4T0smoGXBddkpfuxM2Oa+NO3i6oURQo
4huoXyZtOysg5Zjh1E2cIe5vDLTX0yBVJwYiZSk8RKCcOJkwX808fDcGpAi1Z3Qud/cKK5FLWKsQ
eHAiIE734SnQIrCCv4lKYGAhgFIdbwETSZ15YLZWZNALyHGWTGgauwcy6a0yuOWNao+z4VA122p0
E925HmicAIrHGaEwXb+zRpfcGrBVKy7DbjheUatTcQrYuaonMWWwTMrWIl9oS+xnL16fta+Kls+S
B1kyzCZNdQPqA5hTANp+qbFfCgSEL/R8Tg6VAXv2INnVzb/0s64kme4FTn68wILNywNSKZVZSjqi
xsEi+YW4aJcFLPsiQJ3PEFOWIdmOpdesOB0uzkMkDdmT27dM9FLK8NiBxvMgOAprkOlv9K2ODDfI
FHeF6KS6mqfgKU7m+N1VCUhE+eAPn1CvEwSeRyjNw+QIirx6YqxfBNsgd9S23vkFdg+McEBixXBc
E0JFPA1RvrbwBLvZKEOw3/a+0B5P95m+pMeISbTqFtxv7LoNobmH4IKVcRCeCLOq7zBibBwSz3Di
1UX9eolgPM9YT3nJ+4yXSiFDdkGVYIBDB3aFVVO7bBm+zvczT03x7BQdchF30sqcjW/l66VbtK1b
YeWJLv+xQrw+vtVdMGUqGu8mwlsc8UySLpFeVtf1LcylZ+oAd8BmwnAkhDg1JpnN6LTXZ+2kPlM/
IGrXThj0XcT3qj3w+mWJ353yCTVUURdI8YXwGnw2s5qw2BV3bWqmlpiu2SWe04fyqIvm8NodVKYy
fYXQDXxQ+lFowJJy5JtfboSnuqEVLOeUS5+ZdtuThYxE/35UaZR3OtG7t2W/hWm2akLCF+sCWedC
tvx6E5/L18nP1Pge39t9H2R+e7rthmdrS8sL+GF8Ys+C8VZyqIJuYyzHLYpXIAwfBxfjvcApcWyE
IL+4w8er7jd4Qpatex3I7obfHS2NLy5RikfMygs/5b7xXD/mg6u9deqdLAtXZ1bHYCDmwz0jVhDn
nBlb9A9pKK3pznV3+MRraiGGk4cRkwwQ/Qu4MbAzGCnqfu9GUwi6XTuOxomaHHrM+YnO2nVoAbCR
VJnncHqcxFB+Zt7n943Li3DR0X1DSGu7VZetuHl88Ug8CvrE461mfKlOACagwmLIy6QJlga+KO55
b8S+2FViTcYLyGF20PHsuHoEdI7JtvpSmg1vGKlz+Zltqi5zjAM5dCpbnzO3IVVT+nc3cpZiYX5v
GCo2qtNg+G+MA+ij/jca+fvz/6jl5P+QvzQpC6Gs0iROLeAftZz8H2S2Isky+m8KQHPKecQ2AGgU
4ilZNX+2cSZ6Ql2kxdMkAwadbPyTSm6iD/3Eb/lRRP602/LvlNK+u5niFT0IggqMYH46KH9BnzF/
szn6n1c3VKQuVKQEUv1aJVrmGPVWc+UiTHS80/rkubx1iPQNoXViLcbE6LGsowHyUotvYowDoQya
2UOto9h+V++MuzCKbTCU7JCUJxnE1v7VuCvRomwfvtlcsdh5SIs474nQLk1ll6qC4GVDsq6GBA+i
RHdTidnOUOK416FrunXi56gg7sKqFccdC0RKLRBL3cfLxaVwthyjlXkbxvH5SI7ZFZecqg+1Wv8a
1NF46iXtXW+uCY5fdwLiOwmx3ND2lHWjikBQjDaamPtGdl1emA7EImHo19IlPMVt8mCq7Sqi/W7j
1R6v+VMMsd64MDAVFKyOTJpUPRc/+joPx0u9kERz0w8ChRjCeCz7lXnGBGLsc7eQm102WKHUdqS+
ZNw0H3gn23dRQmUmVv9eFe90vhGoxBVDVI3135Cxv7mIZWniav+Gxvz+/D8uYgjgXJAWQhNxGkWo
nMp/XsSEmpiWqcu4jhC4xov+2ZBNV/ZE3EMr/6vSBG44LBgT4gosQ7Jc/1HqmaT+BRrz86ZbU8P2
ExojDGkRAYMLeL8Ju6mJ0QURO+P6aBp49RY1lXBTz7Vaxua8X8VMxcpE8ke8ZSsFZ+QumksyqwkY
q3YBxLmw4F3Kb+2OQI65N3mYOqMsgx5krMxVOmrCbBjQvhZM7TGk8JtWX5kSDpIiLWBZ7tBRrKw8
VWnoILOxTRuZVKj6M81IoRZVKfasGsemXjG5FhQZK92xIWGw2OuRsqS5xNAMh1EKscZ6LcicaOXn
C8LXsle2nTyR0dJaWEI4hheC2aIa33LcXln3Exg4dZ0tOs1wdRAL3fpujMHWuu+CwjVn4Xzo5Y30
gOu9p8jFMB3OmNJ80C8JDBaxavOyKLIjowity7FiviAWFDyPBHdGRn4NbqQanh5K8QiG8ngdFYZ/
QwiM55RV4Sp0osBF9MQybDWzFlfW+D7h0DDhXU35MZ6OrykGaaZtWk2g6+WxhRKTExDetASvxPlM
HyA7j4I0i8ycgG0txpepcupEAmR6LC4y725UJgaNDcS3bq/fHl7be1amzCqipZFIyhc4NvWAk3mF
GnWIY7toNdJcOnhu41Hk2BY0Vti4hRmFUIHfgXpTgbaE1zyX99EYQz3JKx1WvvTf9eDfiO2A6jAJ
xEEDIRiENOX/AHZVGMK/3Er+6vl/3EqoBxCXgJjixAcbblrb/7yV/PAXAtlRqBnAlP+8lZBCB9yL
R8HEO2ao+VNFMDHnyAnjLkMxwS3oH1loaD8C4H6qCX7bdHVyD/n5VtIUQguSlBkB0AlQCGgGuAZg
R5J9AvNg1AIAEjC9O8krvnF7H/wCPIHHmafGfMbDXA3DeqC+XKcvoBB9vrq/6Ce+5Rt8L8YDr9cg
AHdaIwCiUFNMJn0JvdOKdwGD4A1wZ5/gDPCZezO3YBBPFw23ojrIuiUXmk1rspMOgujixPUgNElc
ALFgQEfMORuin3jm5blCh+B0u/jq3zRHXAshhqe8ve5YPnvCNkMAex4P5on3Fd/IaPGhC12e+e7x
Ou0ghLakWzIW4y9cOxP3uiL4kd6K8/JoD6XP+Ou+yOttXH8X6d4YQz15ONbE4vdGPGvkjIRb0nvu
9avZ7eV4lxUdPoaU/YGvLRENt1jGtdf1cHdLbYcBXBfk2u6CLDh/PMGzi0z2wI50GwpiNIf6d+eG
81i1xFlKa20sES/vRFwfoZ6d+WoJH9NmpnNKLl414vU/yej2k3prvreiL73fuZXEgbkYl+DGtNbY
t2GHxG0sh1XzeLoJQEQYp7jRDXaJdLiWMzwH+NAFB//7fRwgqkuSDxGIIQZEMqDtLegAp7vVsBVq
8u7D9AkBd/sd8RHBkPwApiE8M/fuKlMyR4YvyGFpUevR4GbWp1kHJijTicZ82LTwKKYWfVsVQc0o
TCPEJ23reQLbJ0ZLL+Xwc3FBOXfKNmczNSTzex4rH613PSaV4d3wajBI+mu69FI6DDSzLVSt/sN6
t5IvTIsXUYDYvCoUe+rQiSgWPeu9KALT4OYPvIV23b3fXkw2MiKEWpyL9SuC5uO4z+b1ctyrx0ax
KbYADbqt9TUckBkn59Q4lJR52qRLTg7mjJ/MED+XryiVbUwgxGOcISF0EmYbFIH1Vp/OW59Q4ygc
39odBlMoowkHxTfdR1BZv9KtYnOFFpmuXUF0XPr5UcoPtzA1fKH7MDGyCxfqEnfa+6JVVvwXGTO6
mgOZ14B5HkZOXkG2iR4avYOVn91tkCbzTp6D4+DDKehEH+KiNiadNhS0AYPj3uP9QBxyFyEOL5fF
AWpqwb0jdexttheUdnLSKqa+3yRV3J2CTWHmWLC4bHJ1fnwFlGDdbXe3EDSA46Gy1hTEoSK3RmMt
UXf4/L7boDQX6K2de+pGKmsbgqNpf4cDB07GLrBa0LmjU+0CbDhmCNS7TfLyYF/wqllwarDpvGv3
2UysHYe9mDZq1m26+CPrfbzM6GigNg6O9cUvp8u/6z1uPNxJ6sWoeOkL/9JP3Q6s2uFOl3vRF7/m
tAW87XbjZ7dTbO4S2JwH3GxAarm7TAhxD7WusoGZKeqN6bUOIKnTF1BbAcpq9CWEKXHqc34LntY4
9zOD977x+OaebXpw1ZKwkPEQfcmrfiO+GUsQvHO9yKHj8VI/erB/6ZrLOqbCCEJliWeeQjv5N+U7
azJF+E/lOwvX/3r+T2uuiWkV40We9nsPTuGsUorLrLeTgvzP4h1mOWZluPOgN/2FD4RBjyEzUFFU
NKj49/0jGx6mML924b9v+I/i/qfiXY6j2EjqGHe11W1uSe71WC/qens3v8U3eQU1jVVtFIGw4HRy
24IaY9oJ3v4YsV7VadLBqRXzZeLhrhkypC+ZxRpJEAznvBCynnLC1yErLhzrbpe+3M/ym+6Nc6t2
J9ObpflE4DGr3XjsP7MC/1BYMAdo4nC/J9uYpzhkxSEBAhbmcjzKNUI5FgnZg97S2FdYn/vHa2Zw
6Wj1K0wDKOzKYzXs42zOcs5107HsVEsWXAIY4SpwsXBRVN54aGA64O3K9nM5pS9sab9hXoF3qjW7
ldMlxCUo+Pzzfubn3Y594OpLX8bDtDeLwoU3jmw7qHzeRmGr+00swmx2RGMtcyVLOpx482k8Ki4L
pOLqTrPvWRRZU66IavildIxDdlIhKA9fUOYc3R5o+73FpldHdmiRL+Kz7HKAeiBkt8s981319HeO
gvlOKB5qKX5Nb4JAdZ3MpCPvEz0VrzmZYWTwcPQ90lsyJN/T+7VbZZnGWOwRP81/kFzp70TFL6tX
nsZLVq9Yo4Bae9oSfeMcEUFBzAPx1BeyWq5hJ3psyKML2s8k5NOLDdvy+WQK7lvYhGAKj1Jzxp6p
njR9TuwBRv7Rk7aMnnhYny37Qy06U7B8NE/wR0ZulMK9RKKz7Pa8tXd1uGFzKoXD24d0TMLpZ8Nq
YO5uW8932GrOZsNG+PjF9ChfN+R2YG6ALUaBSzH5FiwOmCo5+UL4AMFc+UfKh3qXhEzDbQyWl6oz
PJmLt8qawwClEIGRnSJjU/wCjwx2wu7eSWpZSMtmPc7ZPs5P1bvcnOqVvdKd6Knd6g+fH0jHbs+m
D0qA1JlPoONz5ZhTyHCgtaXlKxxB/AswtGInmSD1c+qap2w2Hi1rls2m3TPIi5g1CBx4XY7GniMM
LHWRZ+0Wfmdmn3PDJzRczGZ8UGSp2UWIWukm2vr8coJUl+DT6lhrFWuaeJWsmE8JXvzVyu+aYasE
eN0CuZ3f/cRpbcSgq4H0yE9tX4WWh8Mjr4RFd8O5IdAg0rrOUwPzIZB6Zn9A+nABz6yIJ9ydTFa/
3ukdcqecwlNWpTvum5EB2id2Ba56rOSZ+MkMY9wnDxdrguylZc39jGbPjJnQNWzFw9f1o4AZpkMr
JmsPq0VM0i+B7qpuANvWsksSX7zimfHMzpwXs2E6MTliraO/c/IQaXE5y8qWAZYI2xmX2htGvXNp
bThbaU/FwBZ3OkwiHXXch1qTGjLU+EOHTX79jJhgRrHXvMpiaY/tubVC5XpUB+jUTkoyE/zsyRkr
VW2MG2474tGgUTz3CkbPdp3vcklGXIszXn6YqFl1dL4T1xbjJCZ0e6oGDapzcT2y8EOZQGsITWoy
jZHtVtNdcwyB/JHDvIvr6U/D9RFW/gCb/UrKpaYu9DqQamrnDvti8sXmnfSslOEtpEqyGGMWaG1E
LErJyyPw9SB+4FWqkoNRuOIHMQ6xrxMgAFyPKh6p2cfwnBwSP3FFe3E4ZW53pKilTsXX3P9hdaT7
F+h5hKq+93v5SI5GtcackASzJvoohmPX4lAvvdyi6BTXroGT8CmR6gBD4RVgMP7r/o14k8Vdbpzt
j9drGBfd1tc91U/0lbkORmPkuAJfQoHsvRpNkh6tvqevEpoYTkDRn9jWjfv9Rh7IBsZ+vu+Xae5T
8HP7RojfeKbH139tGQKKKNL7QwLWNAwu/0+zmh8N/E9lyF89/48yBGLyJKijUFHRlNLI/9z6Q1ae
rIux0CS4bAIY/yhErP+wLQpmFyZcK0WdRg9/0DomzjK9PyjjBCgQ5/5PhgGom38tRH7fdOO3cUAX
6/JtIHZ8puAOcEOwkDOhL+4gbMboXXq6SpHMFKl8VUcz7C8D+SOESSjWyrIGVlwScCIJfJpUzQI5
b4WTemJ9X2PTjg0Ti5TciZTHqX2Iq5T7YmRaawW/vIi258rVll+502KtYBUnQSKVWsAqJdPcXm6I
ICEyuRXaJd4nq8vltn3I47K7FBfMVLAukIZFl49Y0nbepY030k1fWdoN/S0aBCOfS0nPgLSK5xcx
xnPnimXv5w3n8vLxZWDLzxopK9xbif1JSoLj9WRem6xAxAskV8Wr9K+ofq9Rq9yL+V0vt1mWuFLM
ooGKf7w1n2nXv4zM6G/3iqnuZR4lzasiT05k9bpGT2jDmsS7H9UXYoomy8HcUjzEL7d9G0UEdFUy
o2CDgZ6i3WaXq/ma4/cpEhBmF6I5OP2QShj7NRvUOw5ssqUsFSTk1XQ1eZOuU/w+kTHgyyM8KiS9
ApE2g6F+3rAdz0ZpI4mXT6W9IzwZEDvkWtw8dU2iO0JNHk7S4WCQK+iGLYmswFbVwtsFF7vaehWr
zlZ6gm6UDueZuJdjSob2ObkyHY0soFDWjDYz5koMGNArBqy4tMIPUZd2kTr6nSzMLwxnB1nd5PBu
i0h5tdLidK+awm3H/hQJOOIpxaRGYhkiuK0aKvjFsqN12llnBnvKSmMjX6PCewgQ9BiDIBV5YDN3
xcpCfcgbPICL4FrS5RWi1XvVPV/nCdkQd3nd3pWnki0o0ObIV9UDrtVAmjtJn0lmu04LC19hwJ22
eheL+6400fm13bKU5HM3gp8KOCHHNWEcmjzviv1Y01VHOVZqZCzd6fGpTBXA2LIM7j29sv6cDMae
q5NrAAbvMBKwYuGkYqzyR7Qqkhy5n2At+jbdS80VNXI168n76VoTBD25HapOQOOSnLqcyS2SU9FC
DCSPuDI5tdCGBSwfC+MJPcO/aLDU+XgjzYlqOh1SNH4VompUWcXV43zCXDAZ8Fl76TPcT5RnlRBn
TpqnO8mOopD6D6AXPTF2skHa+YVqi5CtRyl7hkTLnvN6F86BNodTUT1IHrdwo7xxsiTVa1Oorhmr
Th7DMlAexVt5l0/jPSLK7jbvx8HXbl+pQPQOcbRW6mGnEWLJdp+IRWje762FYQxDstuVXL/WeKBf
IsCM0K9MIKeyfL+J7LtmrUUhnsGbXt70MTAjJOP9yMX9ei8YgT8ezxOROYPueDXyJ24Etm7OR93a
43jz0sbi9lEnp0YtnQaReGc0/16fJKZKkiTJojGZoMmm+X810z/4vT+tYn/1/D9WMfE/LI3TIAzr
NBiFE/nvDwBbZG6NgobVamIo/iKv0Vj7Jsxb1mmaIbr+tIrxK2jOEguvNnldiP+oncab4bdh2G/b
DhXyVwTbqu6N0BRaHWBPQD4JamgNVz54KfEMMt8QQGpZ0hFXUENIqmtJPbW1UAprMsTjJ32ln4ij
gBW3yuAwnajq3vDG7XZDwGnv0MHCPXTvL/WCoUpJLYnRgeIVrgpAxu0JpJmksDkkHXv6c5sRqRU0
Gzp4qIETtF35BuBot5siLzyC3xakNgxg2fh1smGAlmQBucOOJhZmHm+/g7gc8J7A2Rjfz2ANQnAU
wjsZxd+Mq0DPpQMttEi1tyjo69mO+0vhhs0i/pQOobq6Xjx50TzRWK/gAIIkbIQQXJo2GtffyjcJ
t2/Avbgi4WSzPVcQB6Ao8ySEYsDx428B5t7B6gRjwA338s0tiuO4a2bSAUtqNo535yA0zrQTHQet
OOP4e0c/jpzzcarvT93jxD/E4A7QZc1gYE6vCgg2bsi/rAN2AOiLfQMqu5857uD/FgXpdNhKaDT+
5Rubn9kI2RNdueWVqZuIEBp57ESONBiTI6UvgRb4PVEsVe9H2ZaPi99c7muMXM+oVTxsX6cDWE2s
TzMN2HZeEYs8yIyLyzffXpcCAWmRgwzHTQn8RSfNwl/BMeMsSJCZM5BIHfGt4J30E4damtC/KJ12
AMorWzAEaDXgoY4HiJz1YtiNh+IshOOUmSy/MRZh05r7E59+wbFhxYAIys4DQD5zVN/6zXR0MXVh
VXPvZ2EGNMJuyKtpAuJxZz/9d9pChqcfnfhhw+Fk30uv38BzBdWdDP44djfHcKFWFj0fa5mF5glC
KomMhK7SKECy8DVoZvZ0BPUT26Dx77cHk8rJBAkfJWSxdNvjnJ/7NF3SkZ/yo+p1ZCm8/2CHgtV8
8tMKVq3Pw6apCjlzePvbmuj2n+YXr8LvJ0CFKTKDYdLbpla83fBTjFETGvv+MM5LaBC4xKx4+DQb
5ZP50pblihY8xA6X79NztKBDYhy0Ts9412xGoNcGv9lYcyIcOpEiOYmy77bQ8XKIZnTH6AckN5oh
wSUSZR75MaZeLiF7Ns5P8BRzR3p+fBTEv+WnsptJH+khQUpebFIXSxfQjXxXv3WBNgN99rBx9ePP
DOqYq4XZovBRDgeFb4VG2MHFjA/iiiyHxJfQ+dLAHwkBd5DDr1UnmcmeFEhBsTWmCPM5Erb7K8Oa
4hVyYERABURFlerWXz/e0TKQOTOXvqGepWsBo+D27lVGCNMD03nfMAZcjHeNbHuZvs9qrHYQSzRY
GmIpO5dfFCnQvyDNTi6LnK4E0syndPF2ca59bRX54nzYkokUZsq6b9t5j5kpqRbksDJ/E7+06bil
5YeRBv0eQmnmpCHcN/Gz2+rLNDy3BIV6Yr7qtlEdbHudQ5snPhJ5JHuFGPS7O3cloqWBIQW/1j66
yT8Wr8UXPG6R/4qBUvodSEfZryucJ24HFvmqwq+Z7dkT8Ss/nGEDn65w7jNsDmUne9FW+YtBZdC5
3cV7cDJyugEUGrN88LPKhfqa2oWPZ92hU7GcgZf9oV/fuvzqmRETmptdl3IQM7gQnhA4MN6BqVAD
kGJuy4n3pX9Vr+Z7Mqv37VHA5xyWbW3j5JXsQZ/wwQaJIyIehfFgyxD8DDd5L5bgrcKUsmzfSE7F
5HFYPJBkCLeg/DagEUMQNjfpDF62iFQeDjrzfO5m3CVytGNDIEMb12dX7YOlKBucG5P2y32r5Cs5
58S12mC6SekyCSYIwy7fygG65wue4O1am13CrHdlJw6JHIb3B2hIIm4ZdAjzIUHiPpsvuZnPvs6t
fd6WYJuulsziL20Nw5UPDu4inxxTq8fiCs9oKS2qgfp8iQnxVG/NmIZhzExpe1kyEpPNlb4cPnne
udteD/lXd6BPIdkcWYlsU5WCiPSYajpRyNxKOQ2H5KxfydlFTdqPDicpf4nsfBVXfgY0iY/yUvtg
rhji8A4b5Vx5A+uMA9YGapmEPXMeg/vCsG5aV0wD4SsyNjgnIKKmpXxrKm96j+HQ7oifP2unfs/P
o9kYKEG2xMdi8MtylVwcHKucuoWb7Azy08gJIoBr44UkH4fP1t6a24FZy8MFE92RQo1nb3n3pZW8
vSGxmZe27/ubuW/7F9u353N7H9j8b2nbr71oX8lA5BgQ1gLqp04UW/xRBCLNqsvCSMPa5fpbwupd
9QFeAAWroTt2L1ij6HOdGa95EF4G7856vFqhIbLZ/BgJzhLmVxMM68u0sNpfKMvdAnAMUH4K7NKo
UPBUZl+V2h4+QaNOzAWZ+cF4Z1CerbsDXXMbptWy2+jTvBTnlk0UMqSrmTgFfAybxfvNnmI6Xwef
JuJdJf2FwSQW76/dFhdu67LptsPn5MONVXR6viCoMDZUTnfxifY3C+OQKTcsfEVcXu5PP4jN423V
MeQEebO+kvN/530mBsz96cxphiU588TkjOw/OxtfDAHzSc0A+mVG8zYEH3W4Hd8WvGY+vqbhRSTD
7Ck9TwtP5OP74Zib6LpE96u8WOR4gHq2HtbW/hVFCEaJLxWYsM0OYYXlMLDFUxvmNGPKPtvGzPMO
2XlMvroNg1Bz9thxoOAiVwtOVuaJpsYeO/wqmZK/gFWns4nzuX8b37ABeEteJs+Ih9NsOCPJeuPF
hsNkRk0iLTNJKH6c/5OpBD4VcHxJ6tmBnJ8AL+AVQNKOQk5Q4L/rlvtwH2inibdtzgDn+qBa4GD9
UMOSybZxyODmO/HL9Jgcn4z4hUklRy6ZhqzVYlzddZdD1wYt29UGZBXucP0nKcjuDv9aZO5HXa+K
YGGyRJYGbcTfDwilqen5vaf57fk/9TSTdArGrUgu1i/8PtodTKFNNPsyhgHmz7k2NC4q8k3spf/b
7/yktuRXogq5DxUudrX/UHDFYPFXZO7Hrism7RbGBAr64t9IOVhNlal+y+oAN9ZrAF9GmwnU5MiM
GE28WIRqfD+I7XBrnXtfmF0ODXz7QB1AweJZL7jMWDCwytA3oUpmbgO1h4xUJPRORFqB04tPLFNZ
jPbSpZ7GiDN3soXSbYXEwT+uwokv6WFYoBOnwtFfM8foz/Epcq01XqXzHpLZcqjDGv1OvKlJp7TN
uUri/fgiP4lBWMaa/d2nxNm44+hft7iVXmLnTcE86fGSbrU+zBwRH//4nI6u+WLgbhojNug8aqYX
4bOxv9und/JFBJACyHk76eZdT4gRuneRamr0q7kWT6VrtRG8ZNW415qFztorJGQcjXNn2C4pso+a
omUuFxiu+m9utMMmKt4rKTcBcfN2E9f1nctzvmcCovvV1c0Ej8Hmu+owyulc1JyTocJTNSdeGS0l
LjvcyAbbuEz/vpiu/o1brLAwZMIc4B8prHPOqOL7Je7NwM8pd2f1EwY4JG9fRi++48U4/TtZC+Bo
7jW36w+lnWF1Qxw4mAZ553wKODPFODk9K5I3x/UZ3QRdUGEb8+wB8cXG1mj4alZ76+r7NakNoPcl
C7tP8XiHsbOK3yR3dCUfJxv3aTyLbDhJ0xcXAuXn8M28ZfRDl8CQmurHzp3LmvyQ8WVKece3KrVX
e8PGaCFBH+BRyDgi4BKCc4ceiEUsZ9/WMVZ/lTu+YHF2BLpFcHVfYohb8CnVtnQGdiShC/8Xu5+l
1M3xrJ0n+/uxOKIzdZVZbaPCt6knPBKr8RpCiWoTah1gMTS6TUiU6MBIMyxD6qIVjO0STMvG3wJT
NpLBnAet2GL0e18O0mX/Ym3aJQG5DfZiBKzNWz9dEkKJtyRTQf6/UYONuHgjCFu2LRJ1iXX3GSvl
xhRoSrApwY4Gc6jgKX7ncaFwEBdVtLpMCaQcmTubF+3AIL85oeyGK8ct33vKHN1+suzPfN2spLAS
HI1LIHfExIsXX194wc11yJ2DvMx7W6PlRTjmSmbQwZLRpncUF0dyI6/ubYc4I5kXqb1ei5TkzNoD
4len+OzvHYHaWjVv3Tet9uTODQHbzKBYanY6v6ytaX8rN/eUY/z8eB0ZzQbjpsKZ1hucnA86LBq3
bLfyQNobNkRjtLqJ26u4jcb5qHzhlwEKV0O487AHno143en20SCBzXnGrM79NjcQ76L70ZPh2KxL
nWzoBXNPbVg2GnIx9ZDLiwH/TxMvB6jG1IfR5nZFWcjd503AJGCApL+8dCdJcm5+nmzh9tu1gDGC
fX3SDwjqTHgBb/rh9vRsHgpBPqpZ7QJJPzzzEGPwSEygOkWRNy8in/dKW97OIx9J5aZn/7in7Hqu
PFXYxc42c/DCIJmYUTkBxG+Wjw2lp0Qa7l65EUx1K0rLkTc08UVh4kkLqreJU78On3VBn73WVqm1
LUQiE1/zHmtJF+8oWikU1jQAxY2MiWcecL4QR2LOE2Zqz8WhdngokRH87fd3WrURUPtemNMCD6eK
UAjJYl55p4Z9wBWj6BDiBVWIcqJEyqE4PZzuwHjB+KoWxlfuNps+wMFqMxjcsnYUchDF+DDL2bjS
ThixMJGpFo/dVA5Rc1AuTO9A7SE2Dge2euoKaAFHIzAIv67DbG4EciHPez28lU81kBK4MXiKWHsN
F5B3e78cr2tKLv5ctm1AniEGFV61oNQv/Z7qgwPQHYhKacGgCReehqJUIrzvo/SNL/aBTSzUcDh0
1aI7qNfl0G9JXWR+vSMrpX/rDjyJPUBV2Che0hLQkVgLVVz2qTeJxK5L+GGUtLz+lVGNzdgSk9HF
dLzghhULfWZ9sYsyNorZWZ/hL4Nfjod/J0aCnPU3h/PfNtw0KL5iFKi2gc0dyyFG/wsD947WVY21
1OHrJBN8LC6MauFa24m8yu1mDQQdMzb3Gcj6d2cGhI7EH3sUl4Ytc+vnonPip9v8doQtyUgAmR4E
i37ZwhnDnmql5FBOMAvfWUBVDP+3xqd2wIhsPXiSmE0K35T5AKXi7eLkTHFa39BQlSCORZh792OQ
C1s4NB/f1+KGENCGf6b+d/L6/02DUP8KDP2z6KGQ+BUMHWFpCjoetkH10p/VHReoNK6be3BlKZe/
69iRn4Y1OfaQ5J5rdLWH9kN/7XBgJdhHW8VLdaNvUlS4kP+i99o6gU+gxnRFDla6qE5imB8Qvd1X
9cf1lH/EH+igfyrb/kJGxBDzF5HS/5R9OIYy44Thpf9mwqsJI7n2JnvQLK6xnX2DWHr0127l3hxu
ojadJTFgTuKwYnuQEyYMw4uDOGjpgAXwLir2xOFviQSWHgsN7Ff1oe21PQpMDfTprTtfSZzHVzjy
YK/qElo4HBvNTWF7iiO7351teoZrcLqVnjYZUHpTfkXn4rXUN8B6BJ7Ny1DZ6mtpLs2FUF6VobDU
XNgQW22LUoHv6vBySE88ao57WGjx3yz8+wOlTx/lL8xtMH9qzj8OlPGbCKQcikhKMg4U6UNB4eIs
zM2QpTfxUA1uLB+PJZbcq0MJwh864lfWmttisE93+1zNTBZroqudeeAdvlEq0ji+PlNCsSAU9omk
Hjylkw2Wbpz9WHS6pncL6tnf78MUPfm3+/Dbh92KZvtQ/x93Z9bcNrp157+Syj26MA9VSS4IcBZF
ipRESTcoTcY8z/j1eeD+nCPTilSd3HXZdY7blgQSBF7sd++1niXwHsynlE4PY+hh4cInNpdlsVM3
qBQciVqFfLOTdeMdwmfxte5oB9r1D6ia1pM6weUhQzkMYmn7oejlbdCxmVG8LKZPkAbo1y/5M0j3
7+d90vd90O+VGTh7czrv8BTvxtdkU+2kl+TdSmb1Sl+rtzC7lvXW34Nxrt61F3iWyVPxDk6zX4G7
WhpzMpXY+mvz+MV9S1/kwyTuRiIChHBNCWG3K29T3Wnnlm4qvfZilp/CBeRZ+7Wdj/MpeijaJ/ti
wUjjurxWr2jgQmkMFsg8+G15791L8xJDAKTL74g2DNMZ5FEqfEp32hinLLP9fXiKaMmgh1tgRDm5
u/gK6iqTgq11JVwph2b1ZhzcI3HXSzyjeEexpfK/Lf6f3bA11oSLc0lP9UqwIKqM5v4WQa4Ntozl
1lhnK2Hx9Wn/9mqfxAwfzrooDCC5DM66Rt2Wr5Pr4pqYhJV2dWtsIQ+oQJ1JdxLp4C8NWiCCHZqQ
0Wb+3rquVzjzZu4Mq8ti2ArrcKOuMjKdxBWnDQShOcW81+AwYbHih96iJl8M62dbmj6n2evraLsz
Ri+rcuftm2211ec/39u/UbX7t+kOEgmbcstin8yi84VqF0ENq9aHTfln3/9rUw6sj70+cbEEMZkk
+vBo+zVolP9id41vluAfdDS/bcrNv/AB4sjDSoPvjpnif+QymO50bDSMH5HhKPCV/olcBhfQxYJ7
8dp/6nk+XoIFDlQ9jSp0MQc1Yk+NLDH2YVy2tLeicy2+j/m49FbDXLWL2csLswy6aUpFx48GboDK
k9kH/c7uKMwgs/ILFjz7GybkTPoYc00zuvdYI0RuLgKJdXwjuNX6g2bgO++Y2LAtSpAA+Iewv1at
eVQeGcQEHTY86BLKcqieUUsSAAP/eEEQDHYx/uO+w1NAbXK0xKu6RPtf0HZjrwnemJ+BaLS56Q6q
S7kT0OYlLQ9nat6CYBVvRXdW7XWn6WbvutOjJVao6SAnpCtGCcRFF9tYXiEdfXZ/6AdpfKSDXNM7
xe22Nq9Ih6Pio50WQ085NlDcZ8AEMumEFQR2gjV1JvkjXckhu6Flm910BZa9WcSUh+wB3oCDUBo2
8JzpCSLHUd2G8qpRfvYxn7Hol6O5oItNBl2BTUS00615hY7Rf1Hf4pfwhcX11nyT6C3wG6IZ8SLA
geGMolmVALItAFAIrg2UcFolTrR4yYOkeiCtlIqdlLgbf18KW/49Rrqqh6D4hesjzDq0gUx0RXCM
vJHaQR76zhkSqSmrGSxBYI7i2kJkJJ157dEWexG/mRHaf3ueNsotimcDVAb5ocELZpyGLetZ5FVi
rbk1wEDCmZ4LqU2Jldkagj/26jTbnTo0bG9f5RtiarYxf7l3KYcr21RWRbsAcko/xlTWeAetfIbA
j0YIdW3N9nUWvXTsilmU20cdTwYWD5rG9JH7eZ+WV9aKsUWC1VLEPlWbvHaaSKbkSFcliBFemLex
5C3yKeU8GIt780mXNznb9tpmZzWN/Uan7O6LfhO/6PlOu04lW6ngx8K7mMAtKjuF9xzK1bgVTbur
XqCDI8imgeMf+mrFfLHZJPfsOo1Z+07btnzSulmPHukUULF3T+igTECQM+VBWCiHoD9Y6oyZCo0r
TGZg7XyJPY7xTNte61Bp951jQJrkxObVgVGjGzq4OVbSvDgUh2ZdrHtwsv51bzeOykXJYxiWh84M
0tqIb+lWPpRn/dE99OdgA0YW/Za+bHbJxmAAyBZ6HZF6NDjgJfu1tph03cBeF8wJTxFsdbQzM291
f78Tn4IbMgadxAZv089uSdhAWI5264XgJu6+Bc+jE4qsuUptibzbWHircq1u1E26zjEPkYIwi0/S
ahpigtmZ4lwnw9ZP6jqKLaeYokydvzsBvjVjdF86tTMyBp8rD+m6okWgkeKKgH01XSk82h+J3fFO
xquEF8/dFffWvplnd/0LdYm3CW4qdTbNRaVtuC/uvKf27C9acPfkb0LuobTxF0Bcrn1qjffwVNzF
lNe7cJ8tGWVRYE6leLtynXrrrs01X7vwNv7e32fviTnvKY767Tg3zjojZY9eTbxW3gIE9PPwQBYv
TcJHloa8JlpybnazZIeDL1gEKpSYloLURWq+ELh5z67DvZotCztmw1/NXpSFd6RIbI7ooq+mzlCB
MqPYBoz/4B6TYUtbqkfKPS8XeHxOXNkYFPhz/mYQrYKHDK8wTQaMZZmju0eDIWCTsUFkZ5kIL7Tr
SJ9UyawdZ5l/4HcTM7hJVjjIur7mzq6u3HEjFSkI11nHEHSXvQv52fM28mPikh50C6TGQiauw2Ue
su39PcYHPjYUZ/yii/vIAIsxls+tUMPHF89tRMukozNrd7PYvr/fPjwsrNn+xRoAhpz1JQFFz8Gz
wUcn2xjpFobIBZg68SLkV7KkSGQ/ZF7pV+6iTjc8G52o21RcbIFE80ZgEcX7dm/07D3njF64PIU5
A2eHwepk/egmUo8tXVvPI2PB5IqRXPnYr8U51dYzwUbTl7ob5viosHAc4JA45pi5b3AdspDS0Ypt
sDuMfwq8VaTAws3hwTLg0Wpu+mNZHZjjs+x3nEb+tXrk52MTZERJWvk99B4p3AHYYYjfHwc+omKW
vbJhJd12Go3h3KsOLmZLdAD9kWeW4y7GFrxNOf0E/jJHVF79ALozGfh8f9Gli7C517AFMEWuFkNC
VrvYzNkF1gOxJ+ahJVEWNSNEFO0Ia/Sa74sSp/ajTdxL8zrcGT7JfkuNS9UubxjRNplTJdv7sln1
PCUTwK/VJuBZKT+ltPgUZox0EHJw2xPFa4LwaTS2Q+WIrA6hNpx1PtYfEdtpYlFhVdODqpD4neKY
xgSJ8vkJ4Ix/TlcxOCKYRJl+F2ZnnHcxuMCFNt4V4n3OwLj3zxgQGUOVuuPRT77xrUOxCNvaYTAX
Owyecv2Wn84QFRh1tODL3G3wwKhKlV8hCTEu09f0cSZGEFU7OT8VZDeGVszu4nwabbX2uCRUxunt
irlb49BAm48Q2f1raTP9efr7ysnnBV/Da2YqR1oGQcBgl2yLX6ZjzadfEFdX7iJd8XaM++nukVu8
Bdgx2f9A4J/hjpvr+5LYBHLK5ukKx0GN/z3NznyY5FLOMGi6Cya8LQU8tBvaeAq9tXLY8eyFecQX
2OB1G32XgPJytzTWGIeKS6zHBMXW2c22AMUCeG3uxRpjb8wpBoWRv2/1cpOoDTbjdm+ON6637/cZ
GcG2nlwzjqPceGL4iuAHHhMNq/bI2ebUjk/gAvqEhhSvbJbTBvzBz9TRTuUPIQKBYo4zZ63QA5B3
HagjehZrBECEBtl0YtSN8SAt9E3M/ggltHrtnetXYVUMs24TX7k7bT9stFdjb+zHB3Gj7EkJ33N/
CSwwRrDXjcnrbKDnBIZX8QLoL79aK5wJ2Tx6xYUt5u40qpdqYq+p1ioudGF07T5yOLHjtbhXT9EV
GX1sUpmlH8V9vwGCj7oYzr2BHelteFTokuBVATtSbvW1eZuf3bfwhbQEx7+PtwSJLPNV+AImTfn5
40LUpjfyXj5pO/+HfMoe1JOyq+lDP4jr7qDscD6QITwekXksvZ1xbVxjSDnGpwqVbDEjJEne+nMY
Wlgs1gFC463MKc83+SbdEA4EFJ/d1sqcS9P5OiTbhuaf9Sa8jQkCWruTY6TJDit9WDspYrkFD0Hy
RPQ5MinUdMMdZlF4fjVAigUzZmrLCdtPAOFCsecybU/tTkKAkCMiFhfoJ/zkFPGaXJ6+oSrbQ46t
bJLMHBn5Tvcx0D5XS9FhJDxPEBnqjMqR4RkLU8chdpdTuSyiMDo2CwmiIY3kqxjlNltnfs6bQWOQ
ynaFNMbzoNnfiCfQWSEtRjKk9jVhfj3FVI+ERODWorR94+oF5EfxTtuaUADlaNqKgGca7BsSumFU
J02ftcL5B96QS3yDPIy/YSBCKboVBAdHfStN/8hQheuyZakwEdoxeEY0kByyZIsLj++gRdLd4NDD
q/zAm6g2NT2HGN7fpHcU7/mBk/qtGx9/1rEZCo+pRgx8i+xmrnL/6t59x4BSxkcP8aXQzrgWm/JK
yZ4kBie8hLg9MXT0leNk6lcHbVFLbz89fpEMTnaj6BNQkoM1AU6yuYoyB5/bCkk1zq6ASBb6vdk5
eUkzhGc2ph8LKzKNX/daD233upgQyngI/70knKllioIbuJQs/5xqf70pV0SFTfKHTfln3/9rUy7+
BZrUkiziV9H5/nTM/tqUE8ZEQtPPnfpHI632l2YhRhZl4uvQBE8Ze7/8K9pfhADoRDcBJqU1YP6T
/fg0Ar/ofkLTsEzAGWiCRWMaoX/oBwHZLbW2JyrP1LYKe7I8dZFr/X0R/N/b6Z8cBKqyMjUYgDKL
F9LiSA2axjLScgmAZiUNbKSk/7Js/7ND6CBAdOggIMMuD6GpieWOHMLNPPwciQ19+fpD0+WTlvpn
p8r4cIiLJmsaqFKmRBzC1HGjpQhOIf2Gyjcdugs30X9dRP95Ixdt0Vh3SRq1knI5ysX1wH4ttCii
fG7/yRAhvaojymiiB79+b/J0fi6vg4/X/sV1oOiBXmthVC6FikG2SU50VVxF2jCXI56UVgRo1i13
RhU6ffDSueFcNtJ1MJa3+jS/VAhXQhppdDW1ISvxNLfVI6JgmqM+9hutCyZcYzKTxea+NuT1Ny8e
hcofL97kHoI9Y1r8vmjhJ2MQ+GbTlrRqu3l27W33ybzeN3cs/fwpdN7PbFOxW8wYwKlnGSKg8N3A
6NNXYE0R6RNORrnwgIX+aBCcUHL6fMJL25Etb+5/d2lMn8HlZ4Rt7f8c5OJt5nlemUPLQTryN/Ee
3uhhln9z+X12HXw8xtS8+7AehGohFZbMMZLiLVKxWope/tpIp1IGVfv1x/bJhEr+eKjpU/1wqGBQ
O78ZWHrGpF+K+sn1lGVQx1fZiH69a/8fjmZpEOBFAwYCIILfj2ZZXu/LQVEyMZTo5pP7PPzoKKPT
HKKtzjPy6zf32Xn8eLhpMfnw5voo7j3VzctllLijLYI7VtXITibZafPd2vfdsaZ//3CsTPat1NA5
Vj7QMxJp8xSImql28hhB5Nfv67PlaaK2AYUgV1v8Kbn6cKwhdMU28WOuwWLcDUqyVj3gnWLy7APD
9Eif1oNHcXj5+qDSJ/MtZpgWPEiATTApLq7KpBkrdfDDkuuDQCJ10g202wp5PoLcWBtWBi0IRaiW
eaJ+Mx6UPrlKFRFIHQ5Tut/E1P5+cj19TGrZQ1hSsmfXyHcd0ZVcM7tFvnoNqMgm4+rYp/RDvnnP
0918cbdzYEMTdcoStGsXd3sn9F4ZVdweuhXtvBQzv3yteBj7SPYOButKHg95C9JbinT8X9ny68N/
8jlT4Ii4awGLmKZ08RjSfLlwLZ2HHdEWczFHl4S6wWe3RXt2HLR5Gr/VUKa+Puj0Qy/fMjMRkRgi
woagAv5+rk2Mr66s8uxTOn8hyvCtynNDhpWAnCUl66Qlz/DrIxqfvU9YJaAEiayRZPPiyhICtZEs
j+tZ1+jSYupc1rK8bnq2t+TfkFrudENvF4I473T52icJ0BeHVUIX0KBTKvQmcrPc0YofmZwvk3yj
4BeVBbZ3FvsN9qt9dPIjEkH6fRiTS0cXPVZwUEGsrdqnRgVxoF65Pngkomn1CPGK/iyQGWdeJ8R0
ZVm/9DGw+CA5u4qeFu2QkuQVCxZnfmfqozN4fBweEY7S3koOPaN130VaATiAxBl0WZu+7Fd+Tw+w
XOVYK0WN1DncPx5+3+QRrzGeXOBWjPNM+Mo0zEv8MSTdjbmw7qryWHcjPPZObrYpASsrRXbfv/kA
PvvIsW+LzJVwZE/Tqo9r18BnniZKwJ1dsiGS4FUnjwp5SjoCSuP262NN5fSf19eHg11UcGPWTjha
lhG/U49+nTmWqjg5iZSVvsrqKynMseLyqfJJGb68sRpkXSHy/vpm1Ju5JjyQn6FKkGOy54gJSiWt
2PK6qkSmMZFozJi+fr3Te//jdqC+p1RVJGzsF0WFlMjSMARcmylU8qF8T4Zra5AZSxy/Ps7PNeyP
AxG9bbDaaESGXyw1fUH+Ti8JxbLvC1tFjKf3IqIPywkF/dCX2I5M/DnlS8eELFbB0hBhmFWO1ZS4
YdyVYFx9/YI+E+6ySTLIL2K3xJ+mu/bDU0YuItONRdJ5Qqk7Z63odH0AdPa19aInHxtPUCyzc+cD
37JuJRX6Cnn2njfaQf+QVhi2S2QQ1Xy08quGfMomcJT4qIPTjvwOPoZ3Y8j1Um9/BOMP0ZVXoazM
pVrHVRs5RVdvQ+mbtfzTD1I1DB0ljj7lyPz+dsKh6d0uJ2MkTvdFhcsm1xZ9e5cO0errE/ezivnj
k/xwpIvbabQiY+xDjtSJj0MLd7O89SDpK8ztAvxNtWdsS5MBUUX+GS4SvUQb3dPlxtetBoFj5tVr
MLaLNs3mUhKtuDkB8Qd7gU5FpjJhreXZ16/4s8erpJlYbplXkyJ3sf7qgdUqWeAyUMTzhWxXQqsh
t+ckb1nqxG8+B8qFz26pD4e7qDm9TisHKeXCstRyHsnEpifaOpLXgX6jyeJ9gdkplvSTDDnYGLJ9
78Ec6NseI1V3bWWh7ZNJJsWErgY/DD88Z5FLnz4BTIM+NNeWWi4B2PMZRYDIU3E96IBnCDOoVOa/
PjrYAdVeLTgD6ATw73NfEfaaOd7TYFwKBdNszIS5BQVVfahQTvetOg/x4CWDSdVDW7lWezSiOK3U
fNb0T27IagA9KNHiXa69GSCTYkVbiBpOctAOXYbDrMn9RZM/qG6zFGsJtMvwYGIf6eqUsA5UziM0
qKK4MiH8cdKhKZOix05TJYhRMqM7dygxo4zkJBjGPX2Ec5rIm1FLPPI1u1kebARIBknBcHHw7tQp
y5FRRIud0Z+YhS5jXSv0rkoDrh59LzmW4diXjlkg5nOHhcfMU+N5LwQHmTQgLWGf+PX19d0HfnHr
9QkmaighrCTJ3aCg2I3U7y6q7w5xUeozBSk7SeISFrm14yaeN8JDlL/n/lNL3jGpYL46QTnUF1VH
RxcP9Pn5jKrqm3f6aSXz4dK+uPVNPSqLQJ1ehvgoGPJK7tdtXM/TKD2N442GcjhhtPH12f38yfHh
oBdPVM+sBanROL2+Ag2oqPatZNlD8OA32UpWCIt3X5r2EE0iMwMfaWE4pvRa0DLQukdlrL55OZ8+
36d4L03SNUjvF6dAKGsADi2vRswOknkjZbipv3kmT7TrPx/KJiFjOF9MDXfJ72t5NrqeWahaQT4e
PV+2knHbOwp9WMk3McmKZTtvsyfL1R6NOCRExi2IbO3WJSISMgyZHr4oXbSK3GMdYzVLCtts8ASg
/c+DdJFmKmO9XV8VuL2YTYxIygNRhFQWH8Fr2Ao5vinNn1H01oN3P4p3WnVK9Zt6ZMINOEVEZkHU
aivTyMP+2Yj61mLHlKGhScl/NSoZo+uLVHWnMntuGiz7xqo2DMK+pGMRebhjvIMiZA6JSd/sJ4AA
/nHiTBhB6ACBjFPs/SzOPjzT0zbK+tGi0pNTQrR6f16LiARK8GXpITB+ZIj3CvJPPKYdo68uIjW5
8Rh7QLx2BmGw5ZRpr0qskcC6KqDOF2lb+9xRbt3O5OgQJqM9DCjUZHQgPmQVz+sWpgkIrbvym2g1
oJ0hVM0ew9LxCd11w2IlmNUsD3Mm0dwccb+mxJFk/AIvWvtDGKkj8HPoDDatmqK7urEEfy7pq0Ex
Fn547PzkOWVsMlAQGcF9q8HlHR/VmFgT/0FuvGOf0RVT3mqvX9cEFoYWAdNmdZ1DYuFRrLEAWPmP
CA9FwtQzIj+9d32ybrOrDvZVGparEf4pWSNGUKwzgTl3XtkCy4mI1EOJMNq62rLv5CvdGwles2ae
rM5cMCMi0hcJT2jo3sT+vtJzCrSJs39XjS0G4GEF7uc8GmT5FIB+BbIwFEwi8GC9xk4I1jHNAz2g
uRG+CbHO0RhkTQiVxOTP2IEDHhIoY8S43gAzcRK4egO+gnwSAkndWi5xBKVEpZVXYYyOeNSf48Kf
+4KEMGuYtQMQRFOfFX6K48a7TaDpWvGtzodY+8qGJp4jog62tGxj+fU5VJ/1n9/FpJeEYpxeeNtv
soGpZ3XsAoB9nTAvcYWEBIOPUo3sBzY6QsYWbOzYbDoTqSUm5a6vEA7dlzVJH3m3S6pFmXWHXvJu
2zB4NayNWYNFsVC796l3k2cME3sfx6jfJ3bmylc1Mgqp/ZGoD0H+w0yCY6M8lHyCw4jBatj20j2c
nnk+DMQykdFc4CuS+lkHy1BRp0clFEZgR6q7hTzOLDIlCN7s1WWoP/TwZPrCmAneu9uoTiRjyGoY
HENPlWGS+4j0BR2UW7PV8IJHJFeWLLUhGl+fxaBgrCTrGSjaZt4LxZ0blnYiowtQ5JWkXkkGlizG
sUYpzUTvILm0hVriUC3/pWFvGOpz038YiB5tA0St+VkVrLlkYHMrrnlko0haRiPhzdgmwtC9rTV5
lbQZeNl2S4rlNSR5G+hkF+9Nr1uF+K7y+CHWjRpdFOuZobxX43Cm5mNIx8uO0syJUP21buGUftlP
/8Hep8R6nPLBIYXoD1VVWoi1pG76R6/Vw10cYeJXpaRxArlUbXccUZiyAc7ZyS0rBX+EIcyhgxHX
Ezz2ubIVcK9k9UkTC0quBYmI6MBAzpJ/qlfhokl8p3Jf1HEXGru4kI5cgHMlj5ce0T2ZlC3ZjC6J
Hz2FYXcrtfJK7dkuy9aug+Yo9FdpPtxzW6wlNX1Uyd/KazTwVbaITWspxNVMHJ9qoV51oXSoSigV
Rrvs4XLpxY/QbRdZucglSkaC3coBEE+W3UmIWghC2GRJcUoV6T0O/XnTk6QBTSIvF9JtEDULgQrC
6mBBBlyPEaS/1o3x6Gq5HzlmpKGN6UowIe6qJB1+7DrmoWlnBtugg0OUBYW/FsW8Ja6npoHN9XUd
J0V67xY3otzjJj+P1V3DGR7RWyAFXbBOfjM7+bPMnxZ/kiYoyRUmNBdPTQM5quob7LxDE56kCNSa
dPIkvauKcWIafVOSfXe0i+1jFBpBKSZsnMlLu5LbaTp/dDM8KrjKXN/6puqQpj3K75su3pzKRp0Z
2tT8vyg76tgyWs9jdhLow6qyvJs+EPA+imQ5KTQPQGcz5MWho0P8NFFB5vnL12XYn3XP9AI0iVkh
KCA6pL/XJGUeBC1rTLm0oielU5ft+FizR///O8jFSfV7ZMdhyUFM2BXacwAk08Q08PVBplf6x6nU
ZRqfeIoxFU+19ocioSB42xQbv1wOYu7wUFiqcrntE4gJQAHkbpVWwd+9hn+jalwTpakVpDH1FSVi
l1Q+gi9U4ziyaeT8NqD+8/t/DahlBtTsaklXgFH1d4jCrwG1jJV7SlX6NYrmqL8gi8ZfIjMAhbRd
k8aRrnK8X0NqHdU4G4P/E8f0jyCLyh/FI69cVg2mN7QJGFRPt+DH66LkQeFZjbpMZqTczamYZ/Fi
QiOEJxXzBdSYTXbHQ7Vi84oFOLJJuJsZS4uIkVsT0QnuV4NShYp41pHc980KQE/88rr9/cxerm+u
5MlCrbToAhmdZVTSXt/PRGuLJGBmEvGuZSSXjepKDBBmqi9SIkIyqsmPprgvRtw6iWjXYYbdAqF7
jlRZaW8SJeM5ni78hO6fivlINVEHW7ZvRkBSpLdBEOY6/fuZq5U7ZuKU/N7MwMQlyavKz5YZYt7a
I+MWPAW6T19mvz5q0IbLueRhStJuWyEheZyYOroDpyo+xO2BYAFPtt1grwFBBSHfL43hVfLufXD6
mR1Lc2h3SGlG75TjbYpXoBAlddlkL1jnG0BEwTwSrz1/3nmrYLipNfS2m8yasQmJ+nnibcxhG5hL
5Kk+j1mE1AgStb1Yb3ogQNTq2oKJBmkwOdIkTDFnYPkKUnKkQpQHjd2G15ZHBPvSauh02B2ed+22
p2wt3ku8iNGhEW4tzeYRaiKUhf5hQo+3gedp4TzvKGkRmPqPTGtSJKqto0vbwZy7iHfE0JEJwdJt
PjpdO1tD5sAWbFfj2EJCqcF8ZAmkbZ8Y9xSjZeMiYEhi8YeeFJRvFSGFaXvNKIxHOyjLXLHHTr1O
Gv221MJ95fs7EtNncaou4GAi5vpRBO/ZlGETZwi7ghJWVIEU3jIwJsBN1hTx1KgyXF8/E58zktdL
4zYCzSOQjon+qC/IWlyoYk9cZTz3E7j6HnF3s7x3IXJCln5g2EiYUfIujE86qj4Pf2ccHkpyszwr
3IXB2q9GO60xL1ukTzTrqkPHSemNesg8y4TRxm4XbPAs6fQr3NFaeomx8yGSF+bIziuLFywLjiCQ
PlZIMil/3n3n0bFqUXxawd977n/nEo2bkIkdTXRmdkyaKU2+WqLpeV4s0X9+/68lesIE0m8A+cfY
nJkVz8ZfSzQaIlZbgxEpzwiew6zDv5ZoDQ7uBNWgXTHN1aYBy68leiIIUi6YKHLEiUn4j7LNJ6LH
xaP7t3c+AXc/LtFCXrd5Zib10sya5zzch9JVq8qJk3cSKgIhCedaJenHdihXFPFkePiu7lit/goP
LHafQhXtnF7cpSCcc3Km9C6/Aj+r2q3LAt7x9JnLJXGNiJTdZh+oAIHq6NpNpk6kebQo/AdtjVXf
uIMGu9GDk2se6jLYup7nM9Mz536DZiL9yczv9fvWrdddK1/5JNI1lgITN3lSanHKw0mYsXiCATPE
zWlhqrEJKrbcBSoLVCEUm0ok1qNqzb1YNDQIyp5HTBzkR7TT5N9turSDTy42iyiQDXJo+gymrFZ2
T8EgD3s38pJ5gvfRGb2QLThbBhTO4EjqHKRdmf1dd/8bb53JF8YAUDX5rfOkV765dTSVIuFDdfPZ
9/+6dShhVKbYIKSZ8/4uv5OJiFIVSaeqUCfA5odbx+S7mPlzh3D3TDDp/9w65ElyCzKwRIhHMcZt
/r/+x29ateriv/9b2qAFDdK6+p//fXpnH2+di1dODN/vt040dErahgjdiyKYW3nfAvR1Q0xrMjYA
JcM4H4NyHpPxqeu1mr2efK+anWmL4uRv0TU6SbGwcIXWW0aSq2zFcnAYJdhqTdZ3CU1+qxaDYA9Z
t+JG2tXgNwRzEw7Vus1FQrg77AHGrRKrW4GGOW2vkn5+4Cdn+AT71EBWmpZkyvxc6v6llyZ7Ep2V
V59UnAgmv1zV0WSyNv9+af7x/b8uTWlShoJl+hCE+GtVlyi8p2a2BbyIW2K6LH6t6tZfSJkIRGNl
p2pnpvifS9P6S8XPDt9csXQZqcw/4sIa04z5w4aMS/O3V/4zheVD4Z1k9GNVdXCXXdvTQRtpZN8l
AybeKN1SBa0zkyBq3VhP6YmFtxeEG9UoZhkmvBiIuGKoV1RHszAgwBCfp1AAGFNc8rMs9dB1vrFC
zFOtGkMr1XUau+cqrBN7iHwdaDqdFSsJFNsarLMcDcjgk1dByCxb75JrbaBybobirkh7x7UyakHf
MeHD5SEXOvAvzQVo3Omkco+pR0neYNERDX8ZBMWhYj8eYugyJWlrDsncKga7cDmymhZI2NHWiCDh
amiyKUWr9lrIdCOpWS1XzNduG4PxCyGH6HSAWc3apeIZyp0YWsHfu+F/6y0y6aahfRkqQH6LK/KL
wodbhKv54ha5/P5ft4gIBJl9KZmgJAtyzXP3/bpFxL9Q7khsW3FRy3/XRP+5RSb1EqIxvgdBpvmh
8JliREUCRqUpYvhnLunFav3V6i3zhLi8RdiZ6hS8VFcik6ffV+/abaoqyEdYOeuWTJZXFXgTcEQv
O7Yaqhy2ZeBel+rsecqxbtlXEdiRWAu69Nk3YrVpv/3lS7noRJlNKkWuPLDxXSn7eO0ujVWxCfcm
99qssInzKdfmTjqNCxCOZ1hUHqRPSAjvfmT3W+O63I5Ln5z79TOIGXmemTMa+oB5cNEquC6OxVn9
pi94CVqZ1hcVaTiJrpxAnf/7/eSZiRUaTcUrBuuDGdPY1pHNQKwEGQKhhFDzuUYYWLOBq/pDQQSN
ebVe0MufSavkrj4z36nQ3m11TFtQYdRljzNnG9mPnu0xt9hh0fP9NS66TVo/GcVdDe/yuxGzfNH/
++M9XJz1RCxcbdR7YymBU5/18YKdKjMZ2dYDooxYBg3XKYLJwPpIuN3Yo9ECgRKh3JsRS/73mvFb
cfGxmJDx7P95Ffx2K12cU9JZjUyINX2pwblTVwPlruHSnC8hMZSQM7X+tlVXaPLnMWGFQWmL8jYI
AXAwGBmKpRlD747uKz9wrLh87gx3Y3TejMGOYxCtPPIjEEs+ta5yFwrimxmAU+1jpDoMyjKwv7Fz
62EF972rlCfASln1p+ymlpqFXijLUheeFQF4KeiZaFa8V4QIyOQKzMXouk52OgnUovhg8pUuL2P0
5aUKcIh9/tDfuhzJYn7vcrRANcDBFsuyg9GiYDcaQSFhbCVRpmW+wUwqX5j9re9NE683TbJra1FV
9W2hiksvyJZqnLPDv84SPHcU/5HNE4QAneqpTqCFJu6iTcJFQZTs2W8BrGKV5k7Axp2+iN1K0fal
dUMlJssLOXoNRfz20kOVL0JdoRtDTv3wVrPhz0IaTxo0OA8S1DS6ZFTsTbY3TEEajYPOkGZe8D4O
wQwIGj87JdtIqok3IB3yxeBdT5bUEYott+OiK2YKfyVEmlN1c7erF63xFGDyGTIYwdksKJ4z68p6
STbMErG5xY7a3+TjVcRUOAwfsxH9EdMPvizn/RYljkYsXVayk3WgcBpwTg3Oiy0ku16wmViJ0dLC
8jon6dicF5sWhEK9LXrb9GhjvQ/aiVs18E+asan8Eyfe9X8E5XNDmYBPSokcBSjxsJTUlStvxc4k
UeFtFGcGltn+ynRX+luRHMOzJ8J3KRwvfuUtSsY2PvbFqxCDCpGSjRhVtkIo4+BgO+uqR/xnxCAT
+/OqOgDEOC8pCwNaml3/lia7wt8ALMKDPcLI1dX1UFTzrhVJZdLDu87vBKT5dEDUs3XMx2TrA1gM
63ueO/SWDxKQxo0wUeehdIEISAF1BWj9FpnxDiR5qUxpqVziuzQ6MQDrtSmZKmHSOyseqlcxux2T
AS+mHDwpIrmYS/9FQxwAyEGyJfNWk6BF83GKJoNvWCo/AvWtamxV/jHEjz7m1/E6zJnBk13BgGct
w2eZqH78hUgbizA555Tbm+viyn8SQoceJsjA2Vu8dOcN5swZah3+H5hUfgMsq9lG5/jBXxrOjXBL
/NvKfMoYuY6z6mhiKcTuieB0VsEYRJIOkA3C+AQV9NljTDG1wTnZdpkTsMwCFZhVK2lt3Ma7bpvf
YJxbDvK8QDTUOOHTitCbH+7+f3N3Hsuto1e7vpczZxeRgcGZIAPMWdIEJUoUSIAACBL56s+DbXf9
u9uu/5SnLsv2VmBC+L4V3vW8j2FVZKx25juic4GWHPQjgMkGnDFd+igMe0Z7mpsOvKsrerqTuRUV
XBtoDI6a3UL6vM702T0scrhKzxKpr6l83+fS231/30/D2OYDymOREl6ZYb/OiTZXvtlgl491f1Ax
9AIidiEJWmcLxnbdxn280YjVvSYowtbr2NuArHNYD8Wi9F7mYqFb8laXVldxJxWHVGIaJPdkWrC+
suLAMxiXLCbBj55aLcVcdze9OhNwhPsM6FxqCSjAJsceDn86AyjRLRQcergt39NVOYP049QrnKGx
6b7+KFefi2nseF+MGqswS9DWXbN64go+9qGJBDwK1Ayhn9tlue0i877uQxaskGvk8LxEHHyED3Co
EMbFvhwmAfWGYoudIFJlps21FZT92hKX45t/75ZtY2Z75YjLyJnV5uXcrzhTmSqcSCAWnEYBs+GE
A1WWOAA8tfNCE+zJ0+F0JZhv5fBNSuLc+a5Js5CiI/pKPiy/HTPQh11BPddolJvNAURwGJ26Q/xG
g2uPLBnJwGA3M3VezKWfZ+UKPXNelhQqYbnqfYwg5ICzDfdoOGSgsISgoxICrtuY95YA0/Je+EDG
6kXrDcHrqGeefrgenqnXs2WJbh/Z9enJzqCE6rZmUlV4i7sLx69HbHHulYV2W1dNwBDHE94HspAD
1ZWwODPO+nrOXumbglev5N8wCgfDeNJxIW6WvcE1H7/Fi1zTrILp0obgA/M/OK8f4mBrmTAz2s0j
39bRrLktaQvTPKguqm4y0WrcFiD/WvAfkT0kdnmeStDsGaY2m+3tfaJb0RcgRuMgLeOwvNyj/RVj
gvOwRAhVNmbbz1RIjGhCMFP7aKBFmyNDv/2IjrnAK9kCxrYft0VyjgOe5bFU0uA+9afKNv/EYfod
/9xWxPrJvK3gx1aIIXzJ0UD9z5WjEWrOMHtxf3mKo69u0POPYpBBSEAD8ykfhb0wq/x8FgdC+MK0
iPlws1hHqxd4tp9f7mgNxCbdrQCXIYZcKMgoTHCZ2pzcCWiW6jbHgrKWcRCGVXrfx0rA6Hh3YJ6e
dZetr/MBUB4n8HwKU3lXaTykS1oMTzwuhPMjtRkd2T0/htRJ4uAhukWJmZxVtfB62Im6Y2G4scpa
U6b7CWyCwldEl/+9Pz4rWhxpdzSC3Kt9QtI7kgB34G68SJ+s2ia8OW5YM4kWUjdTJKsAovv9ndp9
hP+QhW/ugyDG10+hmI/3rNCzZQKXDOI9rWGArTAuE193WT5xG6m8Rvduxwla/axJ0e/DVXhF5fzx
PDArwGWH/23mim5zwGVXg9f6gtpIwx93O5YGjLgu9a4ZsOMGGoP6hmgPJQ/3J+2ak7rCeXiflEQT
wI/MqDDTteYheVqx+GHPNVzkk/CezYQ3AETwSEd2a+JdHajx3vRqC2AdH0hNTSGo3vtQ3mj76+Ln
0PpL5sgtsG4BDRrswa2ycmh/m5XX+oo9hX1KBwBZLVs+fJXCZE85IFKBGLnEh+jnAOnbkheYdo5w
TXdkF9ys3i2Cws1WxQrI9lL7yudot/h4iWME0xmEXwglegAA6WuygGrSAvCFrbkbZvSYIA6ZUu9F
gnXtLHKJClZ96TxT23gfVgny7DUX2HVW/XRH9XzFL8wU3ku3DlCftnN1xtbQnsTtK3KSBZz2T8Qm
6pc8r1gYDG6zL4yY/dTGoCJgoPS6rI5Mu2/UbYG/wuBrnDdvhMPuHgt4v3bxlgbP5pAchZ9mk7PG
w8WFFADWF0HqT7zH2eX9UMlImwa7U5Zc0fhFL8UMbP2iexCo0Z0z88t0aqOSVkbRHp5PVvqezJpF
zmD/zb0WWwYB5K32zoPpjm0GJwl1v7nIL6vlEHAgNPN6kCAuzKiQ6DNOvsi2B/+c8CwcK95Esdmi
WEFFYvdnjt/UV73dLdRz6oJVG5+EFS9G3cZl/AqSZb7lwvKem/5kfMMnUrHD5OBfdEi/UKIgr19Y
tfmRvnzNihXXFWPtTqdbxVqip2PfUy9fRIeGExv/sINjYYjXwoeig6iMIQBKHy9bN2Pq7vNixBfi
yfbVvL/8Hs96F/0blIE90xLXDl/ndnZfGO/JJb/QioQ9kIdQ7xblKnuvFvpS2QOK9kXzHckwthck
mGUg2skMGoMzuJn5zYQ6BkBMrzweALpS7x69go4osp5YapJ4tUQuS8A/HR4YOOS4akAZbmbPV7Yr
98KY5NU5jUZT1DcpQIln6zy8KUzsyIqR4LFSXHruGBKvipRjB4oagRwvCGSEZYA96RK/RY9A7da5
ZoXc7RzhByE3gcNH/KCBi7Di6sP1qtgl4fGi6PRVA9SNFdvwoLvaZkTiRpF0MZG4hmkciBCIgJHk
i1YBhILly8uZ7BmjxdfelA/PK6UyUCv2g+t4BYBvC7bi8ARVVnrcmtYtqI7aopvlqyFQkebBz75i
h5pT0LJVm6bkqV6k/koN42W6vZn71Hr89N9bwAAeNiygq5mIAFrl3pxmVtuC4n5xcaE8Nl94d9w2
DeBiNJSy2zgV0CKOeDrL33Gx8cf1QjcbUzDbizR/QgtZ1zJCSrIRR+Y4obHi1ys2RxDMkz3HguEs
dvKPbHl9U2VTwqVOdMjGhDPNkJslfUBCg4DEBnd4XcP7Co7Bqnf0h8UsHfinFsArzkRdWANdAj6D
TymDw8Q2TDDyq0s0xHYT40oeajh6CO5Vkixdv9mRjqWxIxbwwPr7Avquw/1RtQuxXjLcoAxhZFaL
54d6ir9KDnE5L1cvRjwWUE9aX7OBb7dh6eeHxHDq3XC8bulninOpddjQhYMiI6ejw22xmwmpN6K+
i4D8JXGqTYrdwMO8reUvBzLb8nZpzsUmp/O6z+0V7CAWTnGefefHOnYk7In23KMzrowPNgK2wong
jrr6dxaTQgninQ6/RHVkrwo0t/7sQ0ye38uT8v4g7LyG+AjKS20ufevLnCUwmtV73BnYCIjMVeT7
lY3ClKvRaIGmE7uhOAB6Ju2yEzvO41IdWDK0ialvJ7N4tOUzSTfl2+Yp7nQZLozgTBRLVkO5PbLN
E0yQ5N8Q38aMAH1Ktc2SLaXOI8SzIjpd7w7quQkmHoxSg3zCmR327/Q6fy5rijGCj9GP8Cnob8V6
OrjNUvXrc39+klLj6fi0pH1mMqlmMij+EmfMHEhMULrnqXX8LldkWdRlSAlok+/1Zby7OsR9UuMY
39ls4t8+lTeoBEPlpDpRqtdglokKRNqxBRo27AurO0BV/mlx/znevvNtG5C82Ec2F5EtdgktzcDv
srWlnZrbw3tyqIgQwPA5jw06hwDrqXd0CuD8baAcvaOtHnaxGg7dRT9Vm8qLYYPkc+NtzAV7HwXq
BDcTAnPJneA4iIMm+ROSZDg3vzy54YF4r6uASRjeXGjAQjTvRYisx9TrtZF4FSomFNru/ZDqbv9w
WNSLVfle7pPtg7tlxnJy38DApvmOlQvkm0dQLiU/Xwnz67oqF7doea+9pFwwm/IM8OWJuaNFAK/E
xW7rUUMDNDLd5oHoTA9TrEDPLatSj8abOwroWNjMlR3biJE4Um4Jb/UmgVgYTCD0PnHabj8mpwHQ
2ZmkqdjUXJpkXiQrOJqRCDj3ueAyV1T/TBGgflPK73FQ05cUmsi8MFX8ea6VGacpSC/K+e42Zj57
+J2P5fmmXqAQrT3tZureFLsnlBKe7AkrVjE/d8uF5LeLehMXDnDp9O4nNAI+q+/pIdtMumOMbUgg
gKYXvWNudVyjU1NCCtLBzLdAXBk/yfMoXh3VFQmq2P3n18F6Oq0tjjupM5qCScCw2XmvRDyPDVGv
EMgezkTNVzbLPQjjw4KL5vt1fE39PrMnNRpcBqXsaRoYX8YuOqRcUVjPnV8hZQMcDr5Er3A02db9
qz99Y3OF02Vn3rp/U00M5v3BJzG0o/3gTRZSCBnSlpcIbj+SBR5Ahml4j09lcFQCulAL8w0J9plr
Xj4rF9UvCXXXV8wg95B8LqDmfZzb2Yqg8F/nSsAiAqlJ3XLy/WodzzQf3px1X6dLMSSityBIctC5
KV3V7tc6mLdngD7+46ObvyzcqRL35g/usEvmgNv6TbfmriBjGCOu+2ED44z7S/RCgjNgOtuOlvv8
4ehfoovlFPSEdpV+Cz+PDqb1bjNm2v2xw0p1ZeAWkASV3dmTYGLL7v1zGwdTVwvrzKVhP7VhC+J5
MRoWqG7FzhZcZwK5DHgiTPPYNheMXXFTz429jodqcA0m/hh9hcaOKsackb9T5OC+rlls6sb0Ne/7
V2cnurZ74hb7ivEJBBoNQDGdbqaoZAk9QQid+tNP699WJPOVak19hRphii+YlYpsyZT2qiskALeQ
A3KUFG8GgnAO7BczWgUEbI7jIX2fYDdD5Gd94zdHIc99zdiSHotom52EFtrnLCuCKv3K4Et2vuq3
qLhCAYdC0QVOQYnqKJ8I8V4z5ZtPpj/sWvZrgj0meDOMf2AjKsGEkmStejkytQmDi5RmMIVPVtcw
7o93CSQZGvw5w7sl4vvGvGNY/doQhyaD83i58ZMql/zN0G+C5RXqONxIANO7Gfin64JrqwjuoUhu
8EDvAM38WG2H1JQoKVJKrGbteVgb7/KpxDBsUS3yA1L6m27mxMqMd430SjX1dELqDwlze0CV8NIm
prol0Hw8tlXqlQYWo6VDDKsRDnmT9MjcD+kMed7DI+uTJ4C1whb7ILea+HmzaPCGFA9yukkO0gRD
CdTNiNit17DtX0jYLdpzAkz/ZRonzl0ms0+Pj/LQFXip423wCDMq2pq8TF+nMWPqrNsXYWAhjuhh
3rh8VqOaXCpIOkvSHcLD50ddOhiOk04iIev9yCGy/wJUV5KsY2S5YrqvAlz/sA2cihJGXt0Sp3UW
4ZDyLOker8dCGndh+QsAWOOlVB0pHSLbpmtye2Ct+0817H9p/w9VEm02nRY5UtH/j82QrCo0CP/a
//uXx//Z/xP/UJEvIoUEVISH0dg5/LP/J/6hMT0q4psq/IOs9D8tctQbiKJ1ne4zsigUqv/TIudX
FHURStGwNGCB/EfqDfAr/9Jv+f2tS7/YOr/1yHnnfcmMH5695RyLQi4iCKa4d6hmFWCTF/sdA//4
vohhMofhEEAYi09YlK6KpezAbKeAgNjfSUNlprjENo95zn/Y3u+CXRlmcXwdtTeXjlK+Vz19oR/i
Y7SRuIkZ0wzh4H0ncG8+CP8KWOTjqw0u3iKUR3His2TsgB7zZsJ6/gonfrSQPRXfwVBd4IckljNl
zogBAkh5RhJYLO5vynNEoE18EawhG9Vl9HAd/S5HxBmCLR+2Wc/GV2o7bDevkMaw8INb9ouzBrJs
xKBNx2cA74id59tkxi+ZIXryKfcKwALqDohBWSfs4izQU5fMZBEt2T+q+dTKPtNPFZfO22fzpqyS
eWvlb083U8wp5hgLnh4UvbiS+OQP9RCT+nsgMhW84m5Tep4Esby7vHMNH85aTWWGT/BitGImqAG/
RL8IYM7mITiPPm4e67/+OR3MZl3wrrevkfU5zxPzmh/wNxdU58YsGYrj13sdDy7fY1CHxECvXP6I
r2pk2902/ccv+xRGjc46Y0JYefrlB7mNWGAYbinn+kK/5lE6wnnwk9GeKLEHMi8z2cFh7U4Tirfb
iNDQkllSf10MElIJWLDGUrfl99tBVazn6cFSey6q1e2AiyF/UBAZL/h/hXULZgEWTA3J+C/LBgFR
8QL7pIxsigNdIZUbPRz3BHUchI96A0Eb3RzgarxD22VGlK1v48fOELed5DTi1xRLy/iQi42j33ZD
fChea8jbPaNa2cFwIWjXT4xLQZ0y6AvyN2SkqVk9NG+6gNAr7MtQssUxDhmPpcW/khZ/EJuDLOZ2
ux27D1PrDPIYDA+jiWSC2cgvngCF/CYEb9bNd0sCbyYTj4OezkheD8hi+WL86TG+QMygjSns634B
ApnvKhAYs2fu6pfxG0iRR17sZULRUz+N8SbgX893gOPOa2qptLBoWJitx07jtF7rBbmdhUVICxQq
bhoSSrlYRpq3sCQgGJMWnKEehktrpxqRwntpdnPawyqn11ntXhtsruzxMlrRyMI9ASZMAKcFXPV2
RJCOjNjITagu4jGKzSGKgGykr+qUOr5LyVS64DnCV8MSJw1xL+7Z8bA/eK7WX/xVNLVfN+/arfLe
mX5RqcwzO3YZ3QdRGc2f1YFhQf7sAXcxwOKVL9ixUWNRr4QAC0lU2soxPmXIxIdZjdp4I69ihu2Y
bHyrcOrZS7BVjoI3eMXb9dxTP6dLlvudEl4es+esmunvT9DB69R7nBQnXkjL+2n6Tb7BUBUIRnC+
vORdwzqsoNpOXvtWu/Nsnhyz+WShYlokmtHXbT2QrBzzu8km+nYHSODN+6+qh//tPqn6CXYhWXK8
4y6AJT7L+zl3A51C7ob4Moafe2Wpz58Z6Em8KXx1Pnkuuy3o4RYsR44HBCz1AOvUetNsBm2p4KfI
/B+jjpVK/4omjT4JMQpKaeTNny6VFgL55zb9imB2axahFAEeLlM0GU/zxultyVre73b2hYvh0xk+
+n36hgFP6mKkiFMcqHNqgB80FQjtjM9uazg6qGCMqJaIs8EYLyjQ80ag1kOOH2aJMVJmUf4rFx7c
MZlpJjNqtHyVrj6bDB4yd14IGm1EWOkyKsRj4VryxT8UY/wWHO3oDOTx2vgCAVPlNWjaJvhXYnQk
LtvVaLgI9xufoVixRnfEej3l5TzeE38uZGt9Ml4y0gGQLZ6OEFwjxU/IY3F6vfEPn7cg40QMwXwE
VUHt5cd8GYLPq/S4V/I0vHtmaD+yzi3GDyVjITl+HiN2OTztSnKkctZA8xo/jO7DW5typ+DvOtqe
clLeMrp5WDf2kl0zfwtwElKmBgHM51teiw9Vjs9EOtZpSz5ZrwbgMbtqMeiLkZkp5HsAwZjCwnoN
SHcyOxpWAwn2y/8lSPpvjL3QfDNXjXoWgMt0qhGG/a/aK0ZCEKD+Fnv9u8f/FnvBaBM1lLAgfn+X
XhF6ofUSBbg9yNx/ASr/lF5pqBM1PBcN5r1R9coIZv7UnGt/yDL6RINJOdTssLz+E+HsGDP+rnf6
9cZFSdCwoBzFmWPQ+bvmXNYmL0EvC8PrnnYH64Bt5+49612rrQW3P9zJtSjBvJaMVtCjxM/9CkzY
CB4RVGumlWnn2sIjvKIcKAgJQsRDD8XDlgAY02TT0VV6bugCPxfi6Um1VpoZD5fx2ZqHA9LlspS8
+r7SXkd8XFlXE1fGK50ZkO1v52f9D7Xl75IehgL+JsP8lzP0N0mP8HzUk66a6h6E/6OxU1bp8T4v
f64BLGx22DSUF1GHHQCtXSJAA4fswYnpXlCCoBJgUkvWzTEcOcsphVRT4/Y631f1hVJ01PqPlXYS
ZvcdpkeecnqyRh+K+6z/aPbTo/EGW2Dyxqd2Kjty2jD71GDjjiaCtIJccaOGYkglSERb1gRl2HaM
tdsRxs29R0eIqKWFGlbCiaO4TERWYhUZYRVNBmy9XvZzqYUTat5PLWwMl159uilL1iMX+RDvjJKz
gt8M9R3ou0hM3huSuF/qFIYBUxjgIAwACAQ4B23qQxbqsIou5yulujAKStw4uQhIaXcEGs/vYf5Y
ZXFAb/S+U06wg+nAhVWQbZ/7bAmAhR/BypiN5naXZkaINtlWZ3qph+dO8duPZtVu9U/iBpV0nIXL
RLjx3nd2+0mgDcyh/XkJXjT2swWfbUfAfPGS54ts8PTajp1LY2mLEndHtsrty8Rux1Fmo7VBhgcA
GJ5fTuv71erMohga59Y7c2Kt6ThSbK4EXzjRZl5EZPlrLtB/fAlMtS2pA/HsuavMNTedXam7J+Hj
Hc/5vXwP8m+TAbIdEqeUjxRR2Vg3c3r69J2pHODtZuXrzJdwUMoOOJAfUCa0l6LjwAkUHwJxzYaP
SIeQYrqq/Nob3NGkKCfewKOQt2ahp8n1MGLKfNcuqsemdbKwTPH0Zn4LszsnxXeCchC0Gmbwmdq7
PH2aEqzyXGtcYp01PUhzYjbNlbEeigPpxCDHgj8gzOIMSGfh1yVVHgovgeVZhgMFTp+4PJ0Jbs5m
/kio9PqlxYWWo1YKY7oXsmdwkrGh3ObMcGM991wbSB4z73IZI5Snf8uxbvtUFh0wAHc8zEJwDfXz
7sqI2cTtbvPJTNl1MZX50QJ1/tE7QHkm2I16hTdaNKjBNAD6LWB+1lvRjl46nHfNunkTPBVq4A0m
4TUD4s/lQBPlZXOxtMt++WIznVgGJpVEjPInThHosKwVRxGDKSqTGElh+HnJ3dX57Y2oZ0tTbZ3u
qkVKPZvmNgWyaVjNC92OZ92eRtIu2zx2Y4iP5m1F8jaxJArnlC12aZjjW5bvRJkruqQ+41HEQJI4
2jt0SGS4d/3px4AEEMmTJZmix1zlr3/RG1v/Osmkbk8w4EogSGZ2up17j6ypK+1hxbDBaB812KL1
sXg7fscnvFioBOO5Pb/N6OOS3IxuFqOdo3OlL0e/Pnm7FugaQixCMEuXhjEIpp7Svnc4n9AKontv
S1vIMOjBom/s5ko6T2ZN30QngLsd5I5WHsKE9aCG2taAAd5+dT/G9Wlet6oLwQIihrzS0ILGzvlu
i85rqRNvpyEz7bfPkjomjrM0T8lZKgdNDd2IgGzo9iGyOSwnTsRNVG7OZ6zg44m53xuzqUPebqmb
eJstX9vu+1n65DFR2Doi/31Sldd+qR25HGxpCSitMjMiFmR3PD9aGi7F5vSY3U9Eo9H8ZsUB1g8t
RgAGVh+5PXUwemVzYlwVSAMW3vdPAmMmQfeq2zch5WRiS0xyBo+w5wNrDpsq6VJdMBcpUHomn6a1
Ii+lnbCCji/a8liSz+cdNTQ6fZldH8UjkiJ6EpsgDoNyMbFA339Eqy49dZqt8h5wd8PqArg5tduE
V3gGWPg2V6xp9U1ytfvwifdhNSc9Dqf0gygwYJ+GERGOcdHdyrgDUmgKrkERQ3LxMi0oTyObqOlj
taPf775aIQZVA9KDO/enMS51OCM32Vy4cbEca8ROxf299g1mA1RIGjsGaDfXdd99Fp3dRCauRsqm
qcZV5vbBM2gOl8zjfqkhXBjrDiOj99tc8Mr5bd8Hk2ZeLa/+a/7eMcZJGuvHWKDc5YNwQqJgxXNh
I4STUFjQ1EOz79DRwygv++ld4gfrTvckO6QOm4+5ULiYmHJ/U1zNb9grdczzcr83TASUprZQnI4E
+26P9jHaNPGFKHyxEn3dsYZgqhRDSukbm1o2lfD61V7Gc01byUSMuEkptEKyudEcmBm+Kq+ywn+F
x2Q+S/YF2wurYCubGnA97RsPFV1+bzKrmb8SVMOvTX1b3F92N523uNNeetmuRRyVKpHEa8bWoH+3
6TmaeOI7ZjiPE/Q265WCzTGg57wbG+0nv27StaKa6Ve+oaPDTPQ0Ht2Nxl6V4JbXN8owM90CUEZD
vqdTIyuOcQ8pwQeJs8sZruDV7NZ609TvGyPBybohl8Lm1a7XAolPyaQt9ryN+dmpJvZQFmAMJOZ2
e34siKBUdFzUKA7ZScdcYTRg4HApwB4XR+yR92JpCSOlQcJpJuitY87S0ZoH1RTVw7CZo0iwmCUR
jryEOOeeshrevUpZfDMI36rzrc8kZAtoSZtTrco0y+npODyiHRD1UPhgjXoZ6xp257TGn/KOhYyN
gVE0LyzcvQczwuFB+Ugypsp7U/C4W70udzLZmtpPFt9X+pOkbRAfF5yS1hlWOzRLow9Ch68GxRoG
oWcDur4b89lKY4/mCIVgqr5wSd2raQSq02u7CKvUpFVR9qESsR7mvc/tUsE75Y1iFolUhpblYV3D
HTkeTVJEJFTFGMX+5AC9IQc0BwgtCxzOzPdu2/CmmXBBABABh2tCZ0nexFfG691sDPaulZf1NHhi
dv5dYiq4jpwGlpOXO/DaLJ20Y6Dc8G700sV6UHk6hQ+e3RXNz1N1t/uV8CF5nyI/6Ua/ExxMUOcI
HwieJ+zZ+Fv4pY3sq1jrtG8UkSF3BGe1eDQWN2vUEQBs8TDWvlEsqKLGhs+Cu/IHZS4iDHarG/gS
HFDEKNTl7T1llD859cZnqmzXnm5ztXgEgJgP2aDDvaGm5Qh2spIuDYNDc4Si9s3pTsOMQLDDDP1m
KRvon+bTYP2/0sV3OaIzbvmItVQ1t1+Jq7M+0HjUzPGq1dY9nSg8oMFlpdPYHq5TawWba8wDUiJ9
TCTTOWtyXbwn1CWk3rmbl8vNQcNnIrJQGLJTvp7zbNnMQVjNJLs9IGEgsLlUs9h7uV4adD80D8Dl
GszhlZYqkHJU4RfcHrzj8Mb4STt6Ps5AgETMtCJqoiJIAXlijVadUtiqeLI32Bghx6If5LH/2mqt
cYfdrEH9muJdhM1DePuYLKOASgk1Lxvz7GyKaS9xlz5Fyjcag9xc6Z1UfLwAQg+cDGKiWUfQJLjP
+XgHv8ZrJYg2z4xujwrF1p2Y+Ox5t9KcFq5uE1hZ+HGEI6wm/4zyGx1L3UdwxS0p/RAiMeHlgqdC
QMCcBp1uLNgk8xoYxfutpFpFvqGGPKfkF4cImIF9W6BDdjm2eaOx4F3x95IpFfB0T+tHRWJGo3Fe
BKP1UYBuvUS+qLkrWo1WdkIwGyo5hi8cBGrddr0RzOEUb25eT2Dswvqxr8ueVe4+udvNYy2+6dgE
lSAUTTqGrsZuJV+oMSKFs3MXHSVNSUROVJ3Vai432OctCeFZ8YldlpRKEp69uBhnw43C6ZHGnh/5
c7ac7+lb9iZsoyD6bteRD+uP6m6GkResx3f2/AZvWOKRzL6Rid0/4U2i5R3mmj645Va2FB8nrmCC
bKfbPn4SvO0RUFOIN7X3qbl82feXhajkjFsVwSsFb61cEMVAqeUo2ftictEwf1FvR2FZOctPNFpo
DqmjxG/9DlFw0M4Rq8u19+I2nPiyfIn0QNKhBxV+crOeFKYrfH9EtNNsQhKSVyAE1+j4SlaTBODs
oW8v08IvhHMlNjgkrTNUesZ+iMb/vVHPh8BWg0WTq8G/IRDoMVxB6Y3TCpZat/c4ng/KUml9GnYZ
TQukA7i8k7Lli7JZshUkDIj0G+poxRaxXOuU/feQfk0jyFBh2h+VdqFPWRw3eFO43fPlJP3+SZ9P
pgKtmRGFeyART0qVcLHQjjy6oAXjVs7FMowVf8prFRYTr8Ol3KHxjBCoskSwXU+ssRpYjNpZ4eqL
Wphoa7RddARTluoiSFkiZB/Vc8vloq2LFaLnQvVeqqfKiAoDsXRqfE65T/lE5PsPWz7xpM/B0zjv
Z3qfMWIKpgBmMt1mGsgMkdQzeMaYAWC7ZAQ8030joApLzepDPbMesNei72OqwFRP98HjU0ZPS1vz
fbLhxwhjUJ3h2ASUmZaoYjdIaDu6klBJHx9IxRU7F93bKv+gyVk+xvf+4D3THK3tFp3ABBm67uSb
6sAB5TzQWi4QuhCw044nruHonDGx4Ji0pcNLAZDLpjh5uzxRQyqK4lEP00eQ6jRHsPnx+SScBkG1
jHfjv7fmhk8qQ4kYuqgqYCtF0anI/G/zjkDN/1Jz+3eP/7PmJuHgygixzOzir6obncs/+53yHyJN
S3xYYfwykD5l1OyfRTdp+ofKjyQdMj/z6L/qcf8suvErhhyhQABeHBFcxn/k4MoL/rXq9re3Dqfp
r1W39P5oxcdwa/yHpudcleTISfbKg+Y2VwXgdveXp8YGzIchdbVbvn6p9dWsJzkZn6ITJjEr8qjr
ZXN/HibXjkG0pdG9M4dQXVl7ZUTplRDqAnt0pTM+9DKf96+k0Fe1VB/BrZBaZk8K0alsWI9cJl7K
y3oJJW7+0LCiT4qVzmyTX3a4+7XyrImeTt+QTI93o8JkjAB4rGArJUJM++piFIotNowrZzg4x2gE
k8QpRL5Pplb/+hZ6+qrik7kpSW/DR2KEhpR+FUza58P3FExgWs5lbVlNEVxHSFghIYpx3JkNCoks
Ue0bUj8FhVwtaejmjt1r6gCLsOWCHKJPQ02/WTJNoZa+pc4gU0LlI6rThUKYHeUyK4GsFuy8XSS7
D+FVY4ZK1J3UX3DtnJuO1k26BtKLzHQqhnfGBp6taOtPFQO2j4mIKMjQv6MH8BtwfVUcOfc4szNB
dyqh9Bulcm9Tpi/UOLiRUBTtRsglZH6ifU0Fbxoj/5Y7xJzKzb91t1NVT3f9rXINZqyeGlZ8BjlO
zPtJm2LVPyi4lC87KxCMIZc27vH2KqCM1AYYpnXMKNltNlX6ZZajIb5GTPNIlmIwlZiSbYAcVNTB
MhIB9S/Mjetk1WYasy6ids5rpl/kaYwmvG3KIAKJRMTAGMLzsVGkF67lipVNR8zS8zipMifvDmo/
MH7r5zINIIEclG7zHdAG6EqKoGMdYXQFnN7fjVcSdlSNdPSSr5phpRs6YcqVQJFHxqBbD8t++NIU
4vwEa3GDiI3UVE/k+Yvc+9YKLk2SfjKFEFhLJKaT3LtqSODVh/vUEU4zUFn3LzgiHZr9vIC7cz3F
OHDJhPERraxS+siJxiftSo+u3jD5LlTyZl12X9H6fnuhEaWxzEipwfiRwIRKW6pe+1Q3bf1WFvvr
i8Lp9aRFu2sMd1Qnz2GMPcaq9TG8x8C03alI06mtkJBihYm/cxAluNm/sHJMMJRsasjeymAAkbTS
Fjoy8aAoHw091mwB04dkIHSIDcSK16EM8tTwr8+l0Gbmbyvhv6luS3+rbf9aTtCMsGRJIwBEGIv8
v8knpGeEfY/a1H7SCPNOvj/nV4lCc8Z8Uzu1NTXzXgP3bRZvXtcUiXYdXB8q4OrKK5jRiyNXH2l0
dDFfotW+cG/vXriwT446xitMQwPHoNwpZcdXdQ2NaR3oFdMkR+7vf1DA/hs7Rr+wDiIwOVGZgvsH
XvjbObM/q89/toeWn9nl//6fEc3+b4AWf3v8n7uXMJqMa7/m6v/SLxL+4PSC2hbQCP0LzQL5zkh+
0ceO0K9H/dkvMv7A+UBiN5OA07Ed/keMIjiCf9+6wFn8/r7/dq1N2mk//D/uzmu5bWzbol+ELuTw
SgIgmJMoUXpBKQIkcg5ffwd8rqptn67T1a9dbbdtMQAEyb1XmHOsUdKsRZMzJ7Ci/iqOmenmpvAu
5shD1JKJf1ld7FhbPySQDuTg0vI2pDiaI7leiQOJVy0+xH1oh5TfGcjC2oBizzd0hIXsRjwVmbEC
HVHwy9jVSzObtSEqAlmj4S+jEWYy1EKp0Nhjkhso3I0KIwokhJtwAe73iCTfN3ZFVVDM8OVr1WH3
IO0SBMZNK83ZKtC5qVX+oOfNaxii/oiKYdEOh7upUWilhssWpDavUawfMpRRJ6sJl7VK0VZ0K72z
VcQ0BYkhjry4F5/TajhYt8ZLB+OzbTpr4cv9HcgYXxmdFRUbtRhPZLnKYAtP84dSLLH2TPglpQgv
vX+Qsn7JoBOSDKoz+kfUYH8vkM+SMFvtl2q9aKy8Gj181Ip8ub17vhNxwpbZ6DaGhE8e2nSLBoi5
zjK+njRQ5gZJf1BclAD+bYRzjZXwLnTnKjBmJYYT8KVRRcomPabdsGprimr0mfOONj6fIqSPrXwM
7k/wVEavjyQAubIEDYoRTJJUofiJZNS0auSpNJIG+XYNAjZbCECarbT+vvEZTiqbB1WrXLAOsxCG
WxweGZGHoEUe2alNT0LKWeKwTBmbMFrhbR7K4nIgVy+U7iOX9IUVaMeaXrYVjm4kJIdbUkOMHdaZ
jDlZb3NH64jv+8w6JgmXVxGap/wOhD+cZmFigyN3ujXjSe2iTSGg9QqHEO995t7rN7XStpZ8LQWk
2vDkZJn0GiJdNa5zQXQFRnLk1N/yEnslvC4qBXTIsUr3U2UItWacpWewnQuNY6ddRjOC2v/IFF0K
j2XzUmIkGBXKWZ3BeIT0oOtduA3NqsQpSxeguT0wzGIt1r1dNXjqjcLOb9Y5vydONPmDlGIxFL6n
Aae9M4A2hKk3yPd16odegQmMssVBucOWUDFzJn1nvhTl7SFsGgDaqPvDZpfIteLcIUas7mL1PkYS
F1qOtmoQ4/8Whbcfy9i/dsUG96PQO58GQv0N+5MVm9Tgpx7/jxX/t8f/tGLLZA0gONgQFHUit33n
G9IfcON0HUoHMFbWZraB7yb/xBmCdmLp0ItgkbKS/rlmw79TuYXbVIZXyv+kxw+o6y/W7D/PnL3g
1/ggHzIGnkaFtSho3gRqvK5Jvq18qwSOUaJhumT+UzO8hA90G/G44poe9jLWvtecyKug+7QTV6Px
NuCPxVhuvGhvkf5U1qNrib3jJ9Q/JRWvj2SbrXPXMNUMCao+FIYVUZt+t6XqCfAjlQ5qxBQ+qedl
hODPzRaI/SwYHgQ6sETPw7GCRC2jSgd77kYGpayAesRErgDxzk3Tn6YEQ04N5g1/J79j+VulNxPG
Hf0wEg8twzVQLSwm8JDTlxTMqHSEZPGWjwOLExCxTE7P2fE7lKduypx+KdoEEn/OrQ42QBnK4fHO
tGsXhkNDYpXw9Vla+pZ2OkiHUnhOoV5XVHlFyymRnddrmWduIjvmxQ95v685m/SG8EilZ5oypBfd
ls9dDOx4nLDIuRtK56l3k4fEM5XX5HMX9HK8SgkfXhOi9ONMxUxYS5z5j7NjqeSCjtE+1RcglqZH
5vweeCUyaPwqTugas8d1pnPnz5Lb0gFoJn9O/075cxQocXD15ISqKY8z/AcUAzewDX2HI4qztPxV
w4ENLpvOGZeBsvYPnVvTtrEoqFYnWj7De9rZJaDteZ8sKBWH5tzAfM2444BSHTYgusgMVJ+Z8VH0
la04bXb1cIQeo8QWRiEdNRM7YROq21sV7LWygRwfX0qoreHwIOOL1P2HwUTx1qV3rMchTioYK2x6
6cuIXxlnfVfBrRiYIZ6+UG5S5JLq/aVHNFtk7SlC7DMbSpNZlRlQdq+zRjqJnQNUmrsX1VfEpTDG
h+GOqbp6jsmI45UZWCScCPHpum+jtDh2RfEWddk51zo63jnoj3xlstEnbPjiv3cdnQDCTIeFmWZS
DjEV8X/XbdAvsbD9tI7+1eO/11HKLBOAW5KIOyc2G0/9vY5yk2EBGvwOcVnDvtdRKJyIt5hAx6Iu
U8Lhpu+FVPtDN5mXQdyrMDoKzto/Wkj1Kbj9ieX2+6lPKrCfE61ESGJ/VPxqEaQ7Hjcj+5ZRk4Nb
Qw6Z2zfV5SeDiJYIAxmT2AqXHl16DTfI7VAXIff+8j9xcAd2eNsEX92xJ4jVbQTi5UbHIfReMz0b
N0u/j2Ztu47iz0B1w+GQXvu9wDx2nBRHnhEVAXTa6QDML3ehEwvr4aiIn+l78BVfC0ds7XCDhrxt
ZikOoeHAAfkwT1qEzDpIpZPIiHndPtmPeybGz+/YoLlj5tSBLYg2DUGOoMksv7Z0xm8KIXceB0iM
6eViTjwmtOC6jE7vCiWU9GBoHjbbafweXngc43zDb2eh25n8KC888zUteCwm7lO75y7Di8rzRbFt
oFOS75QBBoxic2sdohuSx+MN/TfPK4DwoRHnxe88p0Qpw8I5qy8rUBO67Qdz8xP+MP9COU1jmh4M
/srA1vxNywVFSjDOOlgGSeTG97NxYY66MT+c7vt61TI/PRSPI/fgp5SOZHMrJLtxUSD9nKExmlNm
K5DETr+5R4eTLJ5rGJoCZ7GxLsa2cZONZTndgXwkoDLR5zcXsXLqdQdm3TMLjVml5tZIDvUqap/I
eeJnw98YeGNrz5jfoQWU0psgy1jRkrVJF12bxVSEreJEUTo5oIV7US5heZLHr9rYDfK7FUyi2RaR
S7jJdSLHGdlPozgWa5hM/aZ/oyM+xecG8oM4t2y4lXYjUbDht+xLLjOJ+WhSMT9OPxm3DNby0nH2
ejtc/tUBIbB/USP4MqDbTfXl/1WAxpvzy0I2BYS/P/57IZtSderLcNb/g9zjqb8XMm4iS4fDJ1nT
VPJpjfteyExsOqT4FiQ3Rnf+uOl7IeMmldR/wvQZRLCEeP8AuMfr+3Uh++3UDf23hay6jVKbW2Qx
ZnIokz3fdUhqdr4JNxg0KD5WDbyfhajYFuovnNGLZeBQv+Mj+oA+e3lfItNEVj8Ssc1ZB6D9ztAk
yfU8iIBbLmpXnLuSjaDfu12Q9kHVqOHdBJcK0ZltLlgLldnjdX3dIlZAAbVXGGg2ddDTDLN+vNTz
jxpdjIDtbKGMO2E/9mvlyv4cY0egN8c4kMyNJjWjjyT6s/bt3pvxf7f3gEy2TyHWjZZZP7vbsCDr
Tz4jHf/mf/7hr9ToSbBmRrW+gw6On/rM1j/qGzB8EJpGsdDvi/apbN3QNSfVqx1AFGodSOD4WKQ5
WXlyUXGZ3m3hZD7XT9FnxwM8Cys709/BfDrWKcyI7cjAZ+VbOGxERgXi1IAsDsXuvs5py5GBnsyl
ufTt6U/NmLWKpz8j77ssy6doG13M59abWtIUSWz/kOlzSsbZNlj1T0g5Q7um5HoI7c9gdlKMmXW6
bSEiUktBjoRPB/zIbRG/oTCh1SoewEXMNXwR1ut9TY+TYHJuPWa0eYvG0xZEST3Em9zBljMtfpOU
iqzWxaODyAH9kIjUgWYyqnME5Y2bxt7g4tLAopkzx1e361V8Xw4qDgL5WX3QtjcIaR/5o7mEdn/m
bNVJtbVoHwN/r1tM3rudfM9CcG8LX/WrpF9Hfc0UydAuHpoHuV3lq4xtaxL/MPp5j3W+BhD1Ei0H
mAPutJXNUssePnxXiD6S5hyP2rwbP9ny+r1+6Y7+px/sqdAghroHDh/FHiGswwd8FI7yNviaJHkl
GkzBDRcx4TeVkYqlc6aHDpjrCgcC7CGMuRVAVidkEuwJDr7gxKf2Ndya6HWh3mlzKhX+JHncNPdz
hqYAlEwytYkDHFQHAtc5ApC3x1Q5cSYYatHn68PsZRIOxsvkUdkDOtNfEludbK6md7ve6wW7nIpO
BXPNomSzUcbRvSMrCVw8HgSzq1vkKsKCX+JqWOHlnhCVRAeNcR5wOyDG8rAuKPHiX7ueI/GW8SIS
mmoKhRn5b0T8ChXWX9bzv3r893qOVF/GDMkYaZPqwS/keG4yDUNhSYVAIDH89c/13JjI8czvMNkG
/t92+b2eGwBUiZ05X5Z5qPL6P1nPzR98618C019eOjjjXwPTIE67su1Ff5Gka0BgoAQeKnS8mKpe
BPQ+3cKaPGdomKI1UmF+SXwhll3m0DQY0lXwxGreEnOxANxQfMBvXA7yklajJttyyuwxN5m9qMW6
zI4oOHGaxcXSwJ+EFHW/vmMcn/Es4i63OSQPhwDn5ST6JIgH4HX8VaCVsuQwXg4QT8S5hQXS8vzP
zHuMr/JWcLFLbnFH/vBDpu9MVHMN8uUpvu5Lx/KId+OrWFBxsPP3Hr6EdDY2hKsKPU4siff97YXZ
s9IaqCkjaLcjThsmVdqsmljQttoIGKbgrzfEJSxKAWdMuXH+oA6rJdRK6a26WNqCCqDJTLdZk7tQ
NYUWAxtK7vS8RIkPeeMtOiYphQu2lgPXT16qExrg5gyH5pkJsDPhUcAznmzMZEMESefJQOvjUWlJ
7cndhDeqhf7XbcYdG+xtYVnISWWRuAzYQznYNYAPYXGPoB2mqzQ/hywj3FwBFDmFTzeB2gRPuiif
79fEe8OFp1FzIC2OHd6S5hj3k50Q9TpRM28QETRB9pr9GXU6CL0dCyIXtzQ/5a22720IpqXDrdg0
EVt3p0B8YOuXX0foN2KxG16B1yC2mTXO+gWFFrIhgB0Y7+xzvaHS/lUMjobsp/oCL8iNa8u+eREJ
ApH6HLwp4FkSgNdpIca2mGBLtFzB8ibTHnamg/DIZWzk3Z3N61XZovulScaUNctpTyt5Niz9tYzq
Ct4vlJTYkVkCVwNJOtys2Sok80ehcwHPPkMyrqGT+0Q/j94N/RrIoznORXZ05ChcADZ+6Gtu4nES
7YGl/pVLpKAwlh6iNcYAultTXhKtXbWf3d/v734/l1GnoWqiGkRQP8ytVxxynOm4YF1Gfa0jICpu
doTj8BzPnrVLabh46Uhq9Dmqr7noYMxAHI1lQgl3GhwpuEjxHPagg0xkSeaDng91FNAvOpwW5KN1
e2aylVDje737L8N2iZwOwctLJzrNTkHsFHarVMKFUVKxOu6rY+6p9hMakpXMUPPE8R+zk+yYn5CS
JA+BPd+7J0FBPaXtxEk7nAOsq0cb5xuzZblkAp9LrptB+Qwx6gHjI4DQ6ll+oO6WNUu8gWK559d4
31b4BSd7SYFGgZJL2DxWBEK5czDQDiJD1DYI+XWEreChXpr9XGJQC317UkDHuow7Tk/C0GfKIAHS
2absVDufB8USB97NOt7cdJsD5mGXb7ItzJultLuXHNEM17eUvsNUvWIx2tfjs59ccMcxmsXJbB+B
GnrnzfSlmGEK7aawwJj3xxI7KZUotk3JJhVD94fy9pDw/Xg25nz73qnjDJB3+LQxhPuZVw8tkCgQ
FehG/ODi8L1UbdR1wgxXqORfdXCps8zH1lOAyf1sT8MZK2Gq29SCvHt50mnYvw9nPpI6jtEL51fl
EExt8jNQhuNWugBM4UNsoyi9eeVLDk92UZ3V9QoY0oLEOkfhm67GbfSOaRGZA/REhvxdjX42T2Ob
zJBUbYZZkFundsjnQPHfd0txHl15O+UZoRkjSV8uGgSf21V8gD8xnPH/Fe4wAZvGF/T9+B9VqnFe
KC7KFcfAO1gfTTrDn/66wIaoyACil1KyYb1ljaWgYCBAsZz4yhBrxWZZxspOhCWsIwNYl4NVnMIF
j+I+BB+szfydddjAbfPCExjdlR8EoasXa1btjDCsmdcozq9YyKdlvQJWTZU0nZbzjF2ADgoVk/Fj
WOgXVVlg0ngZRIeDsXigM8XvrdEa4/jTXkGE92l5bDk8Y5HPa5CpVFBo0SMuWOhOYtk8oD9QC2y7
BQccz9wxBwRIP4e9ApH8kkR46rssuI+0bIw595Ix7jN0k5k8uO1vydJqnqbNDM8+vzhTjkSjJ8es
e5ZYlAOmzS6Edf08nvvDtJWV0/PzBCFGnx0PEV/6febVLm8kjs3Mbo+E3eRHFm9o4fKmRNdyNcFe
t/6aD4sMh46P94U7yfKct52mXj+rp3fXvl2lLY/T/r2p+lR4Uxg8IhJg0RuXNfLV/5Gq04H5tXfz
V4//Du3EP5jggxKN4iAkcNkkKPxO1cU/sIVK5OjYI5kI8XNop/+hMUOO7J5SsvrrUCAdrdjUvKE6
SsbOA/9JaGcYv2nFfj/130cTqm1SxfdYavjKfeAZC+TcpcLYYYpaUZ/Tp0ZqOs88RTjGRTcLjwJD
3Wi/QxQ0ZthrninkS8HF8Nn+PvqzZA+FW+cTe8H1H/uPxCtxuqkXIgZiiQzqX+zoSG+NcBPwJcBk
2DuatuEGAg6/3FmWF60JPNiZKOW1Bwpx/iM7LL45Ag1QGQdiimjNfTbGRCRgT2IKKvgk4oyucNlt
xyWPIWIZdrG14jBpwGacoDcHPjMsu9P0V6jMj8E00tcuVv7tDBcBewuuPE6G6iEL0/sdo4iDVhdZ
2uOw23NQnvo2eIXhIllj947W8TulQVen9y1S5Hg2u73l7nmwISJ4pvXMHoUTAOfagyVuJH+KnoaX
AVT6Qp9+Jtjtgc1t6z9CZFAoYAJZ4C6y5RBg7cd6bmm8XpruXAfkxQ/TvXyuKSwL6LZu7hKr8dpi
ZSI4VETbiXEOrMO4FIEOGIsE9wjbDckcY+M9SqCwvbHp7IP8TKTC9YmsNSa9QVkAdSCgAfnA+0VB
xgUr3OFXm5uPnNor5EEFpfmw607EGxBSJ4fljxB/rzqcxvMPHoeg4owDGcEb9qjhn3JbJNEMc5qX
cN53t3X+LD1ID0RG0Zq7ivUj1+txXMrqisuE1eityghvEvywhlsmG83yQLal0zsecG3wIhASPIOG
wHfC281Q5FO3o+GsbFSn/hgqtnDMfOVB2cTsjk76fOPfMP/yWf0BXIJnGiHjYlY7DTuo9GSys/Gh
X4rqSrbm9Yf+CtYXFeAG1sSO68WBplqz+Vo+8zmk3vpO5QlsBKENGIOzxBxscMVYlwXF1X30WrPs
vXoWFSe8LdPBEz4JDSKAKiAAHqXC/aF4Z5jyQFXphVghpfKqLy0c/fdzcs2SPVGR8AgrYdzJvBBK
wsgBiCL6U3FbELISgEhb9nx80NSmDgks7CkHehCf1PX5TlT/0b7ePe0Vem63Z/ud5Ce4bwTYztkm
x0AyzMWzEZE/EMWYG8Z4Y0sp56UXwJ/j68MHgGjQHUXqygGjSRlgPhctD5BVt1Q3I+FLQJZgd0sp
Xtbz2PvxR0/hd6KMIq+Yg2qzTDt7LnJOz3j0gVwrM4pB2quBGCe1251MGKPMYgSby/YUruUNaZ/N
JrbpluKmWb5CJD2FHvLxx/YV3KP3fPtQodBdta/2kXZdvNsBZQZS57UeFTqb6Esr1jfrJN/6Oe9F
RLQWee1He9BvVGjUrJsXKWYOiFVMFy5XP6ITKA7DeeLGF0v0kt0ZjkLhtse4DezmXJ/aBUFPDPp+
ltg0GO0UtJ/uNg/dsvhgNET1wfXw18OSgLFgkAQFGr7Bx9t1fCG6JNiBsgAngcvPm5Q67VGa0gqi
KpmtNnXEaatFRSgSe2WNRwqiYCfwrE+oxzxmupPM/9mGCWx56HTHyOVtD9dEVdAaEDpdwGV0Z47m
r/vMia4gHcpVOpXbcgM/UGZ3e+OV50X+suVlFM+U9cuVdkEMSSRDxMaxeIv89aXDu2taHoTXwW5I
0/hOOf2iPcHiyWcD7g7EiI8R8ctgzznw/EL8aX12Hz8iCuuTsEK7cNYcRFLAqBE48i/SzyNqRmnL
ePE5N8GgeOeK8C1lGESxJBCBRXiGXzERJGKPc1r5FCuJOTl3Nxc5UwMT+54biGu34FN4vdAl8mHJ
u/YjtOHy8JyQG1fJ+3SU+wAN9sj/xxcuP8c0xU10Ja4FOYtvLdnx4ghOk3dcn+WqX0zXDEuT6yPV
hw4yITsu7ULa3q6pc+m56h5PHg5eW7hTN8SzUPuvaIggIuUu+TwysXomS5Jnviyl8Vwq6PMtfZah
F5XLRVl/NEh3+0URt2tRGlb9vl02PvarQSF2VLVjAyJfMLehQPxWkfGekvUIMuNgPIwfQM819W2U
eq9Ksjlv87+20ja1DyTaqhKdjKn1+jfh2NTl+KXS9leP/w7HpD+0Ka6y/tOv/U3/iG6HQ9PrnSZ+
aX9K92XrDwYUTZObJ3Ya3RHqX9+VNgZ9iaI8HZLeMPcw/0k4Rrv5vzsnv7z037Q06lgVjAxNA6+N
zVMnkd2W2Va9gyVWBlZuQiMGmc9HU12kYKlibIxig5KfSpLZ7tCLSFHoTpFMrSxvDGwsIG8at7ut
aD3DYIutnwGsf43SRyY4bhma5I1m4yoT1V9+v9e5kwtHxUgd1tSuKT+15ACQSPfJk5PrrXL8CIfa
DbPhAO+q7TdGCye9Y42r1SsjzI1+tEMrQ75G/bvEuxXpZ+LPKxGJor656rSgBI93GKVCMpekRf4Y
Ia6UB1tgrhi0tPpNAA7e5PtSf478y4CKqI1tIWOB2SZgCfCwwXBl8LwLLpkGw2SjeU/F4035CD4N
XOplsYteGI83x35O0cF3wy/rgoGqOxiXVkU+vlQP+rL0DCdYBJvKLSfwkwf4CX4Y6SNGzJh4lifC
1Md/7bynBMRqR74kUNy7kjpZ2rWcbFuzPp9X78HmIO3Sp/DmCoNtfoBQWluXBMX+FlC5na5VYqfb
OlY8sd6jSXD8peTvUT0Pr1F1YEyMYT4UeHaw+QiapwDcwBZcDeh4NNK5g4WV07p185CdvWDLNzRb
lej7DETn2llSgoUKsrwejzk9pUDOsAZR88CUnftraWG1OPzN+hREWC9v1YOmsS+HJstj/tnPe98Z
kY+n968IgRCGdPwL/pZx6GHwquXbqnxSZFedopVx0fdefWQpDSnUjY9DNB/KReUVX/6EptaQQmGq
YisFCUkbnfKTJgKAdjKJqDS388o2JBSOj5oAbPraYUHtu7NB0QxtAvho7XYxGfEgbO/BLhSfckaP
hIDp1zHRm6W/wQZW5aMBcy/0+s6ptxDaaZsNr7J8EgEe14Yd6KWnrNqU6QcpyomZcAAK+cUwLByT
0lXGv4WkCCP1nOb1tTMBUM51jjgwhoKCH5QkGPXy4IpPOLVEoNOGasOrw89dpDP/bTjfaItU1Tze
fogegQAlN41C1sNQPzQiUO524wEmz2IkmrzfjjY+Z/4Rs1oufVJggFWOMau0y3cpO4fVIUQFR2xp
0NIpcocpCDMfxMdzDwy4h78bfAgWU00kqG85lQtKsl2rvcvKnpmlUfOZ97s2lF1RbFdFF9hGQzV6
3VfWrOlQkd73TShiN5UdHG9ZAaZ3XKSfdcyEJmU1Vpext7ZtQ61xna76+Obw+iw0/L5lN/gP43mP
zcRmSGvaL+POmdBOqwj3mSAg6iNeXYglcJ1Htf6S+02anvRi4TdfUVI75qkIUpz/XmSM0xRt3CcI
XmNg+FnG2K/aUVAgHwu+iWa+rLvXu/6sk8VIxZOeYLO9vwUcuXUEMiuJMiDCi5Ru391u8ovQV07R
zSXUMD0TWMeAZl+pn3TF7rsNUrjKbe4OXdVIerSwywTWW14canw+HX7w+sECitoe+OJI5aNI+S+E
8TDJpdO3CIRZSmVH827nhN6sGax8pqbwZaaoH+DdGTih8QHLZ+jFjL4BhYDCuhqfSojlyQ0uwUpA
9R1Wj0J7Aj4r8plh7/bLFjB+ijmoQCWjNqnzb97GDSYtM9YVEaqs6dbfVFXoZP2+jf/X4//cxqeG
GMUaCjaTy44N+buqwg4vyeCt0I79MCv8pOQCK6rDxELnJTFeUJ9MFd/bODcxoVixVAQbbPT/SBFr
Tu2wn9plnBonzmRaC7+fRm/ut3ZZfg/HpE9j0gFxxbjuismcSnBps+OjvoC4u8yMM+0UMvrULrWN
qh79xlNabZa8qQUagdsiGZ0+FRwjpug6XOn7UwzchpPRjoHEcwsSwiFbgIvqPpsLUOIIJgUgZrQE
oKWcUH6V26N2PxaMoPI9BQ0tdIDR8+8vQrpT2zV8XPKa4M1iX7EQeda7anSzzo3iDewKBzT9TskY
y0Th2/i4T6sg7bTWxtvVIqNo/avFXk9hBm4+NJV5v/83f8Qp6mGN0jHM8Hv6RP2PwiGR6u8mU/O/
Hv/nR1yDqAszzvpVqSj9gcjc0ERdwtb6a0OYWJRvBTatH8xdpOh/fr4Rg5t0oHkuhZv/4ShxSZ/C
0F8/4b+e9xTG/mQJSy2LvV5UCVPDlGWaXkZ9u2JvXLVZjBNbPTTi6KQMh7vrwVrq4nWmjaondP4h
upGZ5SITjgRFnXNNpTmDu190gdpGsKUSPur3dQEvqVZexJ4hRO0Zp9yw1lqmFKq0S8HIjSRmaQ8s
8S48+WG4CEqmOoTxoTdjPujdQ5iSm6OOrFN93UMcq6u7bei1Z96AXYufzXBzkXsqzJLhyyn0y5RQ
xaQmpiWkv+NAGwLWCv71KAIrRrGg15i8kErpSZychWbk9XL0UN0SDti/h7TDZLG9xBhJ+0gGo0FI
yUT1UWL8kdK5aKj3UWWcoqh8KhqOUBvBOiPVNdXoK06l90boULkYd1e5N4eRHVO+hZyHRj6r1V8C
YZvQfpRpdPaBy8pjbi3Ujo5hLUNPSUNhNcTSbVGM7aYPoq3eq+hFP7hSp0iOv6Qws2P5PQMjq+a7
AnK3ZLZeF36U/X0XatZO1JiqBxSjkBmP2jPoXSI5barwqxyTnT7QzfCtrdkaTouOS244p17WBgxG
ylc1ZK6sVAx9SbiUur42b93JTxl+VyaueBfWtyRbK3Fp61Rm7wqOk74/3aPxoVRb4iuiXjBhtPKq
jlptg7LVyqgXJVI3bzPlDZvN+ibRcmPedV5iFU6C/V2c+lkN6cggtMsuNT/EavQGWXVuIGTKSGXE
l3bQu2yvBUhhsSeZo7qrDf+xG4vVv3mVol1gKAZ78SRc+TsrPMLC3zfi/3r8n6sUdEewKLqlKopm
/WpNUfGk4DzRJh/KL8qVSW5o6mT3EGd+tD7+XKi4CSeXZqm6QmKNif+f5NMoJv9rofr51H+QN39e
qJQCNH3HkNGFuBhYJ6heW2ukv3cQM0wmATx9Z9LRrMieqEje7Fp8pHyPOXuu0NCgHVCsbuQzyPuJ
2SsI3Mm6AOFNWx/4DbKE8UFAMbFhyaInvfITYmZqVCGrR0ZKR+0xypjJB5tYiZkjCHZkhIzyoIpO
BVANGIpCXbvYM8qReRY3pj5S1vX6ZYYicRicoJirnS0mNnzHKl/74pYEZvgKTnjcHGEfvTIMcTue
kbKMOBiwy5UY1maj+lZ1F0nzStFWQacwmXej3d5i3RFp5Tyzk4Nkuc3uD1sSTRUCpF2OBw4VvSav
4rzGmbYsTvBlvdva/AytVVDOaJ0kFK7qxivDy3A/N/L+Zh2mvmv4hNbtTk//6QIhl1jfU7VNbK1T
Jx6ovx1Q/FHtvgkURU+TkmzJolIO26lu3CwjysZft2nG2wwdhzhscXai3MyR7qB5p0vLRAKiEcRu
4NB7R79MPZJlp2xT/ULaMusmDTmnRh/+S1z4n7Rh6V7T2/4sobqs6qPx2S/GLZW08eXHkJzMLpgk
8j71i6mfzkpr1QvHZt4QwVhehto9vgZfwRfkcddaj8Y+uK9oAOVg0pMNNCSULQrCU/i6NlpBEhLy
gQ4xeuQk+hPNmLPKgj9TfPo9Ez6IkREXFOfJSwdXy0Si4Kb75MjcpjVcU8buRA4DtIy3GloJkiCA
Iyzn2CnnEK6Rr1L2tfNzeua5StKOBRNfMQDxVM0FvfhKWTe49dC3QxxB7FEzvOjczhsbHvgsQ1t4
9Wf6NX+V0bsuGz7fVM2vvbNrH/vH8VF1JadZBhQB6pnos7MhJ51ZqscQ4GoxwDwGHMgnbIYt1MMO
eWfQ9FagVvskH5STeBCXNBFQr1ODzecXJ529vxvzUzB7eNPnveiFO6Bf3Q8+NJVviXgRE/4GuW+O
UCUGTrUYrlHl8cWYRtheuh0QU+clDdZpi7Rlr7+a4ZJ+IEMW4f/BZcNO0J7piKQgFBZQ+pfREpI/
v+jRjeUKtNAs/IGCMurB1TrAM645e8WDhMEXkeaVZ6kWmgfF6yozJXHrn7VF7YDkaVFJjkzdW1Pt
KsvTQWEcjjXGTI0/5BKny1jFIae+ixL+VK/kJXg+kmtkLfNgYTkMf/xgqFTiKm7+IFHQR4WykmRq
xXZ8MFdBtuAnQAyhGPXtTGMm1IKHISDSHKKhdwjZ45GKExIgbWoR4SqglcSZCMF++OgO8gPilsJu
4MJAo8A/aua0rVaHSH1i2w0IwyVK2/Y0NmjdUkFQXUO3JQBQ1m54Z96nbrxSqR6EZQ2nex4JUxuO
Dla0pvtHMDD1EWnH0dcCgdFTmKawBnJ3lh+ZcnigIlfMv6CcMaWwXfQLvji0GnApSDt0LQiXELYo
E+sdA5jH2EYHXUxs4RtYptpModHASsNLG5aKsqCdhaEFpU9XeOOOLpfib3RjT16iAhF5zb0KtU9K
cQledPBoVZR7mJYjxh4th8pBBSRQwmQu8xxESO1I9CodrNua/oyWTkeP9EKHq10nhW3cVqm6Fobn
qgHbPx8612dAnTAjnuhmOt9G+dRxIrRUGCGGh2H6CIuHfthOMiVpg/uitNYqSHgWLQqABWlQDW/e
eEWGNW471B/KJHOZ2N8vE+O7A65FDyF1qIdeY3ElG/tJTYELt+6djJFq5/bor+l2lJDNqc1tJSd5
KFcTEnxCwDW0/YCA13OTIcLg3ega49tODgJv7VGrH6uewcafElwhee2DvkA4Qnt0na3uyOXvT6Hq
cupjhvS4mVuX/JUZD0AhJkkTc48bhkHNwLWCnKueFbaljpbejgmHKn0IEyEauN9dXiF+xi8yu4wM
zfEvglfajyYA03T5gmtE1y6UBgViLfZOwe2O6Xs0w7ScQEBf8tW5M2ERFbXqoquv9QvEdoQu1QrZ
ZvIWMn7Si6/+K5JATopkkZfYoiTU6Bi5erXgVQbiZ8zLn6ay73s+kbFNfanDY8hs5cqRzg29tpi5
1wzCnilneYGvia5rbAc75kcMSABRyij23TpxTrnmliTE2G1glKOIbBXc2HSeLpDIkbvM2ANoQaWO
oq7qefKOlGb80C9tPzszjTBmstjUmUsZ/LbF8gfoHD672DAL76VGkfcGSkkLvmp1lnVcXT4+Z8N3
tfSBk0kj18yNmRlKjmWwi5Apd5DkmG+BChUR0yR6XRs3B3pMnx0Ltq8jecld/KpWSIS4A6cScHQG
1UCY1ym9ob6YxnrwWv+18eqkSZFUSTZxo2BgNv7WAij/mlX/1eO/41U0NybFKNXQRSpBPyBM34Uj
8Q9Y6RyMnhMUph/Z87dzBgsgzhkYTSh/pqyb1tB34YibCG/l6T8d2w3S6X/inFF/Kx3959RRIJGq
owfXVWpmP8erbYFnOciSatEJToXAQlnfz7Iww7MH/vR2lEi4Z81ndumf7uSsyxFgwP9x917LjVvR
1vUTwYVM4L9EIMEcxCTdsKiERBCByE//DbSPT8uyT7tc/52rXHa7JUoQBey99lpzjsl8go4lIeGJ
dYytZt7hHeDmV+fiSXiXUelswnWdjYOt+Zx7FWBMZZFuZVf/zFcIIYpNuYc9B5UFAPkxvpo320jc
aNqA8hvyM0PneSY4R3kWrnI7crJjhHF5x1elTIAszGP4g9C3LMmchH1o0/yd9jTbsec4pjWfv+RD
MbRJ+eTYOsNYpU5onXB3buxjCVoR2+yKOgZrAsNdq3QA8rixuDxK68Z+fPZvCnpftx2/rHvv5UwY
2vldI6Q8cLcIG9IhQDDyr4/OVRi6SKijJ7dgp+JhaGbaEEY+beYUlTa4cfJ0tbf4gef6JMvPeTpf
1hTTAS+KnMcHZU5S4n2zk8uKNTfRYKwxeWbRGZH32hNanD6rCmRQh2Om3R3oYcPIStcARGSq02iq
VaBYM7s7hZQdTpGus0XOFGldvxWs3Qbx0rM7ClmHydbyVo/JpXzMww9VGpev49f9Hv+w1VqbzamA
kt07vTFOJmK0yqqNYKNIgCypP/NieEb00DfxB50MnPJW+TrtqQMupBvPfdW6TM1de8fUIyhTvgSp
9vh7xtFJeeneUZoyoMlfleDUs1vPlRVkomTDDk1ZNWx5KAR8zEgbdCzoWnBcldhO+ws+fdZfYn/l
N8MctivNqycMx1nB4cnehhiJmkqbFZb95+YyfEcpsOajyC5YLQ+M3gdJAJsdgkPtwDSNP2IleQD2
ZPOkocAGEZ/L7Q8RovEYwjPYR/lQOyGZZP5jx7yszU993HdW/RkGLqt9aQ+Jh0CgJsaNq5nDskSg
JRZcBL8rguzQ5TqgahX40BSEaIGsFXrryaDs8J3t9nhk+g4HfQZU2z63zsv6NSSLWL1A4swO3anY
soxY93gTjkWJiuegRwuVcgQOZvxSSxOle7kRawGNCvCMqLC9TeCG1upTST9F7RZR46Ya0gHipNgq
l5W4xx1pbJEguZ8YxsiKtZ4YN1pDWF84/tJUZJDU+en9T2kEIsf1r9257+uf9I3/Bu5Glfsq5mha
z1GmYq/wj/5RJ9BKn4WecYzeSCAkTgfaJwBmkAPzEiFIxpA3OVNcyes7IPdsSYE6B/e6YYO78LbR
l5GkuYD8fCM/t2x676BBA5iF73pmqc/cf+Zqh+OMySeFK8PVhTlZDVEtohN5q8M1sq6zp9kssD4p
hp8Y7TjBjKTweUSIHCvW+2hj7C4rhlGkDQaT9tnJ+b5wdcqlKot2dgmtIUdKSV8gov9n98Yf2gYQ
TKI4pHpIsk7n9ZcdZ/OvrlLp2+v/2BslgCEmHqSRgeSCzfFPrlLs+AhVdYYu/2Md/WNvpLPMxQzM
KFrSGib4n3uj+ZsMZko3Bz+/JA7NoX+xNw6ijq939V9+cjbhr1tjlRf3rvfxsFSRblUXEzdR/tCn
KmKbQL0ppDdVG6bYUZumbz2rgRpfi4s8DrCyCcq9Gfd+641k1vK+H46aUX15r0uNUKUwbXCQZAGJ
tpsmOiRG4UnJCpwgc2gVcDh+uBsCQFYXX4czXaRjTSh1mMnaJCSUMLxFboVw6N4ENBU4Y/ZRTpcU
z0VeHgRRMdCLNgkpGF02V4rqttPTdjT1w06GcvVIlWv+UBXbzx6sXCYyhjQwSBa/lyCbTLavJBgI
JcpKYNbm6IyFOLCAEb0FwmVXVhTfD/M5C+vzhX3Lb/RlGmlz0zBwTfSztlfPvVLMLzoR43csVaUX
QkPqDAPPVb3USoE1MPASRGKcnG1msKn+nqYXWyZ3VepeQjpf/+VHbUA6jCQkSBKjvH8oQ2VCdr63
Tf/y+p+PGoIhTTVxCf7RAP2jDJV/GypfSGoqMqXfvYA/HzWoGOAmCEWkQTrEIv5vGcqjNsxCmaEq
/wNv+xePGs/mX561P1/6t2dtlPtJLQloLnyxLWfqrcO9IjB6zJvHLAkzekMM8DHsGLtMQDlgdErl
3suk3ItVQZchrh2DoJWOQDqWMTtlSJCkCPSErSp1Y3BVdlKn3Oh4NQb3BVyspEGdkn4YzcOGFLoS
Mm8EQEgL1hlc6DKoFsyjpn2MQLtoHEEnWiuh0kwj964ew7xzYjBlcsAWQRe0H5HbINHXUlJbudPE
uKtTX0nn5T1NZ+XoLlqxbqLPCE9mQ0RCyDAlB7imGawNzcVcZGppss9Ucx4pl+EfNruIcPabSk8T
0ug2HQUamDG6rHmCXkfBO5tOw6D3/DtqEvxY6iWaFwWdNTPqHnMxzvA90gA2A9p02bPQPxfCCF8V
65OcPOX6rk/SSV8abylyY2CgHJK1YhCY5qC4O2JawEK/XGpYcLdsoyBurYX7WEjUc9YGa+MBP1ks
en+ZZTqn9pieVXt7zku6R7IAjrISyut/+RkeMU4AK8eJEgawTqn0q+0Sg8b3Z/gvr//5DEsc0jip
aYwdBv/GVw2CLHGYZI9WwDqwA/407Rq/oTPgGZbQGTKpHbJK/zhKGjBoFEQLQCOY03BG/Tfbpfnd
2TGoEP70ow8z3C8zWl++h5dW74A5AUg4h1ekMwkzhn28MrbyxfV72yBAILBT4qHAjutWUboVqLz3
+Mrf1uf+iQy35tMY2O/TuBg/XLij+ssF+9abYdi3d3yKpHbl6Mnfoze8C7f3qodF6kqBA31RrHYc
mFRpQiNF1cYg+Jlb4M/AI0Wsk2+RZCGsk2tz5XyB1suHlU/bCgH6QgxtuSXgHCLLEC/FJOWBS5Y0
izCcYbodzmrArZHfA0PHfGIlB/rkeEIglcMS7Vc68PACVXtxsUAv1evRq3QqBJsRDoEdijlpxHVC
ekngqiOHyIJLMlEweySgXIG3azutG+vmU3qFFAGqAEp9DT/GEc7F/oHUV7d61Fx8ZWbeC2KDkAty
9ZJg3+P9TfWSbNyQ0TXX6b712zpYEFyR6eBNhWd4puCmaG9KMBuiN4Es5rVPHFY7U1InVZ9vzWPd
QUQ1HElzDVKM+sjt7tKmKATP5ydVgqsB/P4hLo1wWufb8jKRdQuHSHeb38OJ4s9DVab9tAnwpaHK
i8ny0km48MrSTfxmiStTPDU7nQ5/CqzMdFoI0fKR2NqHMkF1prULg2sx99kae4kUTJLUzZoJ/ftb
so+SrVRtQlgVkStwzZMHVlSRLtgRISQtWF13Td6eACQj+fAw3G+Pk16+NO1S1k5xFILaQB0pvYbq
KU4ClNec3UnG1QmGW9c4M9sZLtc4AnhD27PfVN1l1pfzJn5X5oxVov7ilupUwwgzUqcCC/hLetBQ
V8bpblyfksllGi5LxbtpknvBZUIPdZ5O0kMjniXQ8oBr9FktoppJJvTt2X04VPvWbh9a+8CucGeG
rnabyMGqxmorDgZWtLa0+sOGR2N695J2dWsWUkKwZbPB2VpaQ2oodop+1a/oeWP1+P0fDB89kk9H
ODYb/tRiN7I5WPEPXfOQTSexjHYThAyvx/4ifcP6Qa9Zvu/xt/Kdank6JDkk1bTdwduHOsQDs8JL
wiCkUgYXKm3qi36U97f5Zfwgq/jGNIH9S9G2ajHLySqFsyFO0Z+KmE/MK+c5jEKELnAFISGn9PC5
kDtWFPyzmF1Jkt80G/Pa4zbHwjIdwBeP5+79jpjRX9zmMiLax33wluMTB94RjBGdYiU+Gnyw2XTv
nA2lVaNYIiDOVwJGpZ2yQs0UvN55bUUIPO39iCE+n4VJo9vwKUgSatO5gTMKJ3cOoSs+jb/zJ7wS
H0WzkN+5283URUyYzaUVtbTHC1JmDgwog7E8zWiul9t+2S+LbY3Lld/sqT/0h6SErQTWCm4sE5sK
wMjAWNIXd3NOt592/WCYJ4YA28HMhB5F+qdsVQRYvrTA9FgeQBwDnCYl5gWnbRCYQ4Zn2S2xdKTp
NmB4RXs9R3fNX0T3Y2H3hxLXwDzfmLmHNtHxEzfDoHlz4s+AftOTylEYFxC+1c5LSA8bOAQ+uOQZ
kAEmLp3HtGpCI/iRDYL/hNsBY0JAcw3v2/aHqaG0mZrVg7W63rYrrvYdx0++oW5/18fJu0hXx/Kf
R5+BN5p1zsUazeJNRYSFbU569zIiOh5smFW8lqckAcQlj6/DQfwwm63yKTBd5F53QibgML49ZCfZ
31byWLJX19XhcAisgP44TYrGCz5qrETowms+kRQQ/30F1kSGv7Vi5X72odRa4XO6UY7igqyvKwkS
P6xAg/VFWg6/rGzG4Mh5rKUP1bPzteqp8+rON/ARuGOXNReyV06Iq5DoH+kOqusniWFfdVa2/J4S
ejNTZVJ+guqOruL5siZK91N/07BdkIp19d/LK0k9O5pEWN+fyxUqG/UC8564Dv77CMZ30LRmTGAx
5p3UySS8PDnZI9pa6t+IKvJixdGO3b5dxWcmFZk6z1PRap7KF+kALGF2OUGxwS+rjDUojMaGf5vd
Vo3tup/oLP0zONg6sSP5TPWYKqQYafgR5ckANcDgjxObpOzCqs83MsWPQTUzjYmB1l3V5j5KbXN5
WzBtvMknboSOZKvSKnIrBas6GmvdTOKdEln6KpQIZ/FVQWzQvNPUhNVoNcleDhU7pJsWPzfVvG+J
Nuxd5j0GwdO4Arb5Ce3z44qXGjc2gHUxJ/3tFowR6ivJKoX/EtniDiIbhvKA1LiPh7/QAq9fVmt5
URAtc22TpxQ45M2q3XYWjg7VWByrYzBkFA1rfoUcFUH3+y+X0bJvrf5wa70UYm/L9LvQD2KxIJ/8
To1K/8ha+nMWV1gTxLaAHOpHbqB70BU7hD0k5SovQx8vTd5VIqxpB7eTrPbutQsNZ1PN05P0LjWz
ohStmimW/6oRMld+KhtR38sl1ASZ0zPaotKh0CEmTQpF218ZL1Dj6QPy/gPvXdftmDy90QRR+Dwd
l4XdLulHEdnMX0xI1nObXUCvCTumnsmDERVXZBC/920xVYp2GqaO2dOldIQ9Bb4Y4gAd17F7m8kA
5eJJh19uVAiwJPiVYOLHfQg+c9Gs612PmFpHUFAmK//ckLkVjS+0hIkywkMIW5hs0+HzIxgDO3z8
S3TGjcFElh4ofYUtJDYoknN5DoCaG6x94UYrl2Awu3ki2FJD+q6DXi6pVziP/rMF/9D7lKnih9Mw
8t8f2ttfFPwK6uE/Ffx/9/o/Cn7xN1xDg84TbfHg5P4iOgYfScEvI1oaxJV/snJrGIRQXuE4MvAP
MUP6WfBrQ8FP5Acg3h8tsn/HTlf/xsr99Uc3hrbwl4I/KKu2UWLSK5kzRmyqseFPOF4zg4WDQNir
SQWykc5CPcMtHeE73fNAwptqV+0axNAqGOXEmeIvZER74EMKGQT4CcyLJWfCTqeoBS47PBOCugGW
ZvpXyQAkeSHC1pzdzcKa1bih+TZGDtyRDFpsuOFVx/1HQhXCTg6yDuUyXXNdtjHc4HBu/QPbcJyz
qM6UdoO3uvkMV1INCS3JaSvY0iu5CVJRUE2vh/80yoem0YSLR/bULyc5sQ9ZLQBQhT1ExJOJO0gi
ruyzzSfCh6yjH/IN1CEjzB78j7G/z8UUlensjqtyTywHrlAWsmshTu+rbMdwnhphyFwE76bFpxAx
EniNcsLgFwCGMPPf68fYqGyBwskZfWJLWV44nHjBKa624tRUcfUyGWtmh+fVavHsysDNLgwf4JDf
Cc8Opll5ZJpomU5ks+oJGGaaLRzNpPNQE4F9CF+1d5EVAxMSxu4PjbDz3onBnHcg2Yb6pTkYw+9x
Qkyvse7GAtQH3pxzOcudRtj2oDMpU3Pm8TfXh6RCTxC4DlgmGpqYm6k33qn+btHZYCWisIR+d6V8
08mihbKbWxpAtRMD+kPG5KdSWap0Tyd0jEJUH2Iflm0QO4x/4jNmysEJ2k7wVIIMGX0gazBfUOYy
+1Ez4tj7JbMiX8ORrd7ORXQbKwXZLBFlADmpaOP+02sUR3+TYGwmxtoIjeOvmhIAtf/cWPwx3/n2
+p9r1OBvoKcI6WHIJmK1+aOxKKIOlxh8q0gyB1H5F2MEHFsk5axcOpCKwTbxdY3S6ETSWKRdMSjO
/5UzQvsW7/D9yo1vk6nabKqqaEw0biNu6Ft464nm6sd6XrNOoSFGSaSM6wALed8GuwsJhCNBgvt3
N2qVgvwS2r5eXebg++WVgFYaKmNAEALLiQIjYGS20kEwVmaPbOX+qGE+Pro34ZGpNsjYKOyXfkPD
IkVISZ3S4QCTNUqEPA15pvVZkxEMW4RswYIRWqpJw2H4g6wmp7sv5W4bG+3+8lALlCj48lVTBcUr
AzhMb5e1IWTA/gVIC8kNR+F/+OaGFScOxhz0wAqsZXbJX2zADJO+b8B/ff0fNzcsPOQg6DfU3xGm
vPKPm1v+zQDgzF0qKT822S8cfOO3Icpe5oEhvGYQdvy8ufkQ/w9Dz4TsLEOA+TcdN+3b2JWGm8zg
zCQc3kQswrPy5/2XaNH2oZoxHhzfPVfIFM4pvKYV7I+0nxHloLDCWwAXpBSKwDSe8V+hWlXy2A+m
dFkErKTcqJThqDKZmt/c6jKFAlC0HhF1aFH1dcoZA3UBk+6chApuXCcczaSNT1Tpa3qiviQR0JSQ
RbpxOFay32c3b+3/53+kfzNYVr89vb//gLinUML8wM+yLH0tMGQjvBlZaiK9NNE4GUsEKig3dPSy
zWSEkC90OVbYncRRC7MqHOe5H7mSeLg0s82diE+krk7nqGMALQNv7f3iytWHFk76ZpI8VnG7+3Ir
/c310uLlgr7ZVAwqrz8umKCDP12wGvVCLucE7pIKaGvIdkGkccXor9GvVK50ptdjkXI6qa0pOsVP
flkL4pZQ1NYcHqz0StjAZ8L+yumxmmr6IhlVlr7SHMCyiM1m9/2gkh1ga+mE+ik/XcS5xqaYCpRM
1mjnu75bLYt1CIF1ox5pMZrj4uk29mfGM3HA1bO/UAmoac4SAFQ4iCh3ohkVWH1IxiQ4bik7yBSZ
oQG2aZKii9BfS059TocOcQLQ07u70bwEjToE4Eou8UmepjjdFpkw4S6kB//6DdW/VZjfbwDl2/Id
3O+PstIEYYJBFc2e+RRsFMTpq336QkiBccRBjkz3mC8yN5nEh3ZOuvc6t14qF9LXhvArNECM+3cV
R8DKHUJaX0zyY6B1ldYHwtl5qc2LxB3B2JCZl1I4ke8beAU61MZLYSfgRleXKaxvY9821vHy+2Tj
/7zDefq/PcS08/+0fA3z9a/3uK4FZZzcWvS/6PDLKX2BeWt9MC+GR2KdPiQwOYkrkvioOY/YydYZ
CdTdqkonzbEfS0yQi8u0JbqooouRgYwB34VWoiveq4svO2U9Kc2IjQ80UiVeY2krLRAPQ7BxozF5
QLZGG0cbILwKnes5MBenHQ+445vTe4TOempDcDv4jv71gk2Z5ptXzCvy1ewiWseEmit0g62zNDXc
5KSNH7z1FnfFu8Y8jlkYjmeCJUOyiys7PCZHYc2hkq8cu/TOuce5lTErzbiOesrRuScElwmXdT/K
6zeQZOsPEpVIWrUL3hMSkwZB2If20tB36rziwBAb4B8xztm2s7zCJqF6eqrLDS6HixMDzQTkPNND
cJSt/fZmrItPY+8vL4vsM57K59EWvfJ49KI6sNjRFJt0P9HKfgoHpKxrxYZF6ySLi4dgxeZzjuG0
3bazh+ryhXgM7hNhAjd0oqASTmzcjny6v5HHFNBO6abT3kVTO6Vn5gTuxWoh7tLLqzY0jQoLK1ip
jS9relqkARtnA1pdZPuHXmS8BrjO6pV1jioX8PnUX45WeCydgNlFRY77cfRGswFHRUx/lfzjaCdi
TEgsfXPZyxTWAyQ5GLflR/Tsp7VDop3djJ7i5N1AQUPnxbBL8iikySDjD61XhHOFE+KdG4OQcnwy
7n3ibiNQBOTxMMIZx63TudDvPNHNgReRok1jPSuv9/uqFl7b+9ocHdppW9s3JrWRhzxhrE0F1b5p
k+pDRQ8h8stGbE4SeCpN9ZzPcy500WSFZI2axOnKK99Dj6kAw0O8DVHEGWMNJoxgv6n8ZHaSK49I
hU4BqCxpOD8udOGbofWsOhOxHBrPkEbL2WU8+ASsm87YIflo8UJgnaDDQzw9k8mGqS7kShfN+49u
OZ3KtrBpRz/OwWtcnN/u3n3+1tC0XuLtG4imtKBRqeXMRrbVraK3d1+DcyhmJBGBlASohBZ6aMjX
Dj32WzTr1XlZLMp+maHD6rxHFDllG49ThCJ8p3L0hLL7gXBsmRU7uuecg7gcbXhiJyTX+4N5ANaf
Ja6lcFpBUoAH6GXMEqz61IGrHYDXSOB7+pdauJX34nCsAr6qb0aryyI66Yv8TZo053AhTejCOjd0
fZEN4RLa5zJcMDQp6XhB6HrGTLFjVEAZm5jLvvOidKOu0wrN/ux2TAvndtUgBJLD8kYntB45eUCR
6ki5TchIMtac/BWNpwRxkrkwQ6L9/ay+IIkm7puNy/RGewlaajorGluBU8lhNXZxOK4fJ05mwqLy
bh+N7KJcERUUapd9SbQuulEcB2S41CQNG8dKWZjb4KTt8sPFM56KY7hXPjts/yAQL5vidsEhYTfN
KWOrdJpmTrgzfuGh6/Ukz+FWLbnVzWnOmISPsQfT152BmiNUDAH5ZYmRCe7c6sHmdVv4q8rF5nRf
+Kduph8Axm/E7cgJ1+LeOMtwgwyPFcwX33LZLSb1x1O2JYJKRt6PTZnBDvJC1P4+Jhg7ou/NVg6i
YfswlhF8WoOMODJbrJKJJOJRlAptPB1N4j2ngjtdiZadntE/AZHWMwDYx7qwDyR0oRk0HZAmHjVd
CdHBiGb5Y0dTsSYd40akN6L012hC4RU+cbCQiWd4vXH8Llx6yfIieRo19qhhUmfBIHnQ8qMt8pQt
s4/4yYTdvskOD7S3ryWscJfvOBCrQocR5hYR72t96Bby/jFWiaGAJOTmm3qJzYy+jfiSvdHeEebt
km47HP27pfAjf4jWp2gdMlvDxwakHrz+uvFAKT3sCtXv3LevDQsp+dUKfZFLg+rPn6Qkm1JrLFO7
OLHCwT6VK0I83SBYmsmTOMw9YkeY3uB+KFNtGi20J3mZzIX35PO2CFfh9V5b6ad2zmkSk79kPhnd
Uivcdq2i0WwsdRktum3yqU39p87jDRopOIKnbUsjhzcAE41brasN7GJXdMCQzkYznQkyIFYWonFY
T5K9DoDpg/xOelI+t/mhX9YHYfrwwpP6oq3Tqw67d298hoKbf1YNN1BEc+YMNsPMLA6CtNSDj1Kz
q1dzgrp+MpqWDMEn+Zq0ZjQnUNumWJd8G3Up20g8TuiL10tyn+0briySLoCnj6unoRNPapEtsr3x
rohWNMOawm0mewPKjGkcr8+W/th0Oq96LQ/6K1+ahgeA6rnhtSsRhSry1jktpX38DIq1BFWGqcRK
nnQvfO4uluTqY1zGa6L9SC+g0cvFj2ZZNub2VWkClU/lONXm6ov44meuUz5zeHAy2WkhGu+zTewO
mnBGSKar7306Wf0cP/BrajmxNafn5gTbclmYbsyGQxebc4bIl2MMheiS77RiAmCV2kcEF3nxmCn7
Ypy9KRtIfjaslEU5o4XmBbt8wUTg0p00YUozh99U5TwEbGdElFZ73dItcXqiBlq0nxp6WGeCavRD
KYbkE5G2+CeYf2s1g/QNQnkMm/SYTkt3cZ8/xq1dHmON/XoxVAHxBLAPxY3mjV7ubOnhPpk+FiMc
FgA3ZLpkGG6S93z6O2Y/19w7POGN/ywvbiOb2HGWgxB9kTx+nLiRB/5sTEyv78aNU4Lp1zuHxRFW
x2SY6T9cFe2QY8zC+6ySp/pRnbGpIU4mqMEJA3JT7oV9Q0SBneszmdcQMZkTiC/w/+ngZedmFh/7
dTEWxrfzQ3dqCC/dFFSrjA2UrtfIiq0j7pt+29+eKQxMFzmUnqwiZWfEHwXtvlp6x+1Ir5bZBruz
a16m/L/gCXPTG9C1xVicqEtMTXwlTIsc8sQJbVp8jLRw+QPsWf6Av4QgWIJa10aCr3qrjdaDj4Z2
LAS6bbPFaH1/o8UbMoTeDvBdyLvFuH/qn4oxY5qYBgZHV5CXYz4J34rCvGjwmD7d3xDeZjjVJ8OX
Yf3ByLLEPjmbd5P4rUNM/Po4da8yhSa5aKNFhBmg++Rsp1Pe8tNX7//ZpshwcEK2R6uf9Fz6FIMg
6BdNEQ6sHEu+hFr93et/NkUQfiKvxWstIt39OpWQfxNHsFBEU9I0eTTEU33JgkFjSFOfft8wypA5
5vyUIdFIwXqjSSNDlmX932UHDD2Bb0dwaGvKYOkhBOfHNXw9T1Wl0Whl2HEEx/0rbImFArGHgkLZ
aCGj+X51OZoocxJXw/3XzyXdvUHW1OS34rlLvLu80q+kbVotgpGBHo7gZ1K4FU0E0cGK6dsHlLfS
Eh9bkqxVpCqdEyAbn+NrwDlKQfiAnY8MAyXCVQ3m+qLIV6K0kQkTMJCVWCP0Te5V1HB453Nm8Gaz
puWCYfpSEhE42MRwII6BZ5J7YHrirn6Wpg8Kk9u5wTqMUSuWvTmP7H/61qY1PAKPJ3KaZqD1y1sb
VTmf8O3W/v76P25t6TddUziP0yL/H2/V//b7+BBjOHgmEuGXBB3xQP1UyQ662v9DJcuEbri3MZX9
CMf8N/0+WePKv9/bXy996Kh/vbeF3JcTtZB870L2CluuF7GKP+zidg1G1zJdvtL6QK3hslKWG1Ed
RG6TqEX5yYEfEDKogVycAcIC3aseLkceAw7sgvVCfCMD62XgT5Jj5XIH5itAFlaFIAVT1D10RjQJ
Y5Pcto4FWbEAUD2RS36b4G8vk7X4QuwSQWsRuixYzjEqtZ7Bvxw0HCofVrV95SChuD19Sd0x2XVy
sXKFKnfJ4gG4jwBqhA61Hhj2HLCKbmre3xrxqKKqMLGhtTsSzcLhazOa4gkjkA1wAeRdcM4deiAI
usNhFhrnVD6OxvUeUm+F/kFAywQRSQeW7hTRVHgJC4+OltNdvIIuBvFD2wj4wLL1ssyVp5pbvelP
PmcBVIe+m97Xake4HGXumlGVlL9KFXELvNaFATvFhpOvKZXY9DlaMlfHb3ObQeMMYzs2x+THU35H
SwlwwF6b5ifWGFT6+gqDiTSlVUaHryVkGf8vCRcL4T2UoLC5w0pEw4UQ6lNFQT4p0cGg55rV9ZK6
4ma4ozjBlD+9w3651ISr1U54eeCgLus8hdJYcpHGrPblcRfieemebmR1UGLCwIVwOi8OyPGt6vR4
pTrZE7l5ziNPRwvUwXlf6jPh7RJN/cEmzxkUlPPF1pG0pItWIIKaWGv+oUMEBw4XXrVP5spUkZ/6
khSorYzViGYiqYElxYaxE95v9n96jTLgqbNUsNcxgv/19js4Vv6yRn1//R9rFDMJqGEIi0k5Y4L2
5+3XwA+Dm0ZlPx/Moz/XKHBjXAlzAsJ5BuUA3+/n9isx5Rj47uyWP9Dv/0LJP6gZvi9RWHZgS6Jc
UGjbf2tnZrHUG7cuZ4nqbGN7+QwJOrvMDFStFXZBeU3o6eX9sZR2TMU9tPKFR+zODEIl9sZjR1c5
fap3mF3IpHrlgRktqjmRiyxqJ3+dzr9sBZu/Gtfkv1lP/3Sx31wH4Sju5TrmYsGBXNy6cFK6VAAA
pWbSfGrmNKFNkm6VixNJs6ZESchhghOHntaAOBYjyENzmqukUHr/Py/s2+Cj1x9xUStcmLSWV0W4
o0huDJBT+8t1uR6rmtNn7uWO2eeKRFGFfxHt6qO8qHdKcIyj3/lo/2eTWv37t4nIJ6pJIgAHPO7X
bUdRY5hSYep7mO8jgkiMQygt496WCTYx3Jw2EXgR2jh5a2MmcO4CAEfc5YaTlXAchvOzXc+N/irG
7/UcEn5rYUwQyCJ7rdXx/ZhMc5qgb/2nOoLWEddTVIlBlIFzLwcRnDKgV9mMLvd/GC/hqfnbm/V/
fzD923hB66WibbLE9x6c7AjKoJPwcpcRYmC+QmPiCRhCK0e5Q1nfqSTLyPM8XhEAjR5MTF4j37mg
F9WmPWcTmCuE87TTDLQ+ETzXu2JnMgcyV6PXCwi/mMjNMqcNrDAq8yQC1TWOxGsfayyyrKkJ+J/Q
uZWZuwOXH8YZ533uvodTOz0NIf9JAkYJ3XT4ZPLkX/tyfx/CmB1xeQe6Xc4f8vxRvYxExHbCyve3
BcVlyKmwZme2gjeysgrA81i15sBCVvoLnbppN79ts5bGj0jbjLPnLNqku0dEvyA++p13Z/gkGM8+
9IJXRXYqOhGPLppI2dpA72glBml0IzAxL1qx8GfBU/q4xsp+eE/MddRKnHC9yngCNsOeV8xHGUL8
syi8haNXyuNUmT+Q0AEt8YPlpV+yFaoYx2xQvUm5oyktnQTZGz02YnG+3Z4UbSwJcEdojldMwG+c
FkkHE4hqse8MsJLKqzk9AnggaU+pay9O2cUNq6jlpdnaerPJlPFAr61hy68BdeRrGnSBOBtJXh8M
U8++fJeRM942ZJL2t3lvbOTy9LgRTv30uC+j7rnvZyUyzNtqFDzdH0i9Saf7hztS/tuB5wgGH+Nc
HdLkMCz6oqjKelkgioN5V/IJEOetfePf0HdQ8jrxAaueT1Yr/VjtU7MPxION3F+vO6Nhdf52eGKi
/PP7f5tfUmCmVZ1DdQT9cQ3eywXUM8hBlJSViwLJyp9i63FtGcF9nguHvd6JV+qWQmCcbRJiovBF
U/mA4atfCGXk7NTYKms36yuFiletxNhaP5ZxTJ+Pe+pxGJ1IKIALhMbUhmklo+dmLUPsDOxoqXR2
dO3O6pqM75pJrh86gPFlek8YswYhL/tDu/n1OzC4R3/5Dgxr4ZffQBHc40SOA/avD7RmBdNaQkDG
/SY6xMSY4zlJLX+F5mmhnfKDqg4Wecg4PREXKpQURjILaQurD3a0Cdp4kPSqcGGteaNOfn2lw4nj
l1f6bfO6lFVW+QFXCtiYfif2iOVctl9vjgG/Hvl7cu4nIoPew/3jH7Yn9e9uU0DpSA8Q7yDTGS7t
y5uUFUURpx3fOoP2BLAKD0+E9nf32HKPds3sw3R3jPks3NnyBnoop93iZK4ASrjZWvFyCmEC1C33
1jps9Q/oX28PLBLLpnNMBryTR/EPO70yvBnfb+wvBZn+7dcqFEWWVTUPVjTy7nTO7vveuT03L6yq
BYYZw6qR+M71jfHer4KrCNFpOO4nY2N8Xw3DKqR4xc48qvNg9nk7cI9Tpne7f/iN0pr5h8scPv7l
jVWakM2qRj9QCW6XTKoTUe2i9fA4SyR0LPKpuEXWP4JehD483d6nJnvrhUFSu5a17U3Z9WtRncf5
K7SYhtOUoNiadBvDCnZuugchACIzrTohWGhMsujl81PylUBeRTMiszITYflsNA0ZdoX0GGk55i61
B01JtL7rnPPckjbjwOQhN8cy1LP/arwgzuB7maMhX+tG2vakYCzfSLyFUBvmaJ8vQ/hqBn3OIZ7F
BBd/Jv2EsMZuRdbLAyHBfkTqCoem2sbAqbLkdavXakfXpnhO+cmJ6FEZNTc7YieI4Zib49irdoOl
axp79+cRh912Wu0aWHMP60aDlT2YVUe0q93o4RhXppHFc8+JxlVZo6T95VhWLkLTxPt/3J3ZluJW
Fqbfpe+p1iyxVndfaGaeCeCGRQQRGhBIaEDD0/ensLOdTteyu26rnGVnZjBIQpyz97//oblyBCTV
bJWedc3jMF/jed2WfMH+gZH1TkKQRDKPooyjoX3eV2u4rByqC0s1BoqGYQEH4kX6m30WfQ6Z8yM7
iJdCVMrcd8QHhFStvpMbztkTIcjSCiGSuJAL/nK43r0Wjcal4IfSA4P2tTo97zlODKpMfmFLxksr
Q86FwqDblpm5gF/raqXLoT9zGN7uICQXN3OQ5TDeND4bTDP2oq1OOeltc23nMseNJWU0y67PwI2P
g3ZyTswnCSjHPnMwmeR+RCcLqedTWrbLbh5EU6IBKbjuePBjBcZSm7u4W/Yp5PTpydvAUY5D3Yyo
lmCcYEia3K8qmW3Jjbi8NVNd1OrUcj1MJjpUDXazEgEUDJ2p5IQsXzs/Fp0Z+OTxEJH8wIFpGJoS
ERWTUrwSMmYmS8kRqWsipxnB/DWx+cJwSthye3K3GsnoUflcF+KfMHQJe6CPW5k7tQ+H1z0ADwIR
sSPERMtRxo1/Gz8xtOpvAPT1Zu1IHncq9z/XVeaiihE2XJry3lBVBwiyiOx5MQE3oZKAnpAZ50gy
HAdcvWOXEJ08hdaaMU3gNCubPLo1IqGlMqrcF5cVBP1CcCbCPSjQbJ86/D6C5zW4R7E5izMbKxXI
E209MpZYLq9vDUZtzYpSRlpkrRONAgUyIMhGH5AJqog+RlA6XOpJGeUTGq4ZIqMCa1bPg1aZkHHb
Q3LRDqFMuCi2cN88lqYFJWEjHvGbM74iyPYqK5aPTWcFL8PC2Rne7p3KvHUfOR5ws7k+huBPUEhI
burk9iZw6NBAkPdoqfna5/qEX0PBD2CoVFPD8NvOvS+js1dh/8/XBsuVYJVcoAqnkkm81faJnVy6
GKZzqMMMk8+JWwxmRTApkAw9nBw5JMGHwjy4Mkp5kEmDpyXSBIteImuRC34FkYkzCPObGl+0N9gR
qOhaRhaoHwlHOKVb9ROwpWXhXtX2Mbw8DwrcjiqGKOBWmhX0K2SygNpzt8C8KLPlifye9xZGNR8c
skAbqqeT+0zRUcOggrwya5gXOIngT8dtcG2Pg/1rXA0x25mCAiXt6a5c43kzYGlbKtV40FlN6nQz
is/HbLCU1iyk6gbqRmXlqlOTjjTJiVA+5IVq9oIcyqVDOBvY7QaPy2uVBhb1TTjXPkKdUSo8mL3I
yk6o5CB+2bGyzTxD9doJo77hMXDJbnaA4Fx/VfiZfehjxvu4UgzKaD5zDGhW9Rh9DwV7m5uQQVon
3GLpCaEdWvXAB1diojIqr+W2HI5C7khYUE8CUU/p+AlnXCROS3WrM8bclvIFQeRVjql9CvYVzQk9
UKCGyJxZxh79WmnsiW8sDtx6N5aZmTREAW+r42RejdoRykSCEYC0Jox1ukV2kJnFt4QcnVG/PBfS
+2v2dDUXG+eH5CHuchMEsKax6Mb3gzTS18P5cG7YnZc5nSW4UTevobtN47k6jv3gCCtKSheD1sGA
btwe4sSkAxFyJ0HmErriekioFLK/2vxQPcmFhKh95Syyx9BvN6FuyZ9QAVmNCf9IxpQejD+Lq0h6
90J5K3eNAsPNcDkLu2bIr5wXieBrH4bicHuO6+GikC2ZBFJAu3F+G5NzAW2Swxt6gAL13brcSbZC
Bny3b5LZtyZw2JexuCMRiCoeGdJM22hYOPHlW0R8b0b3fDSY8a2BITBvt5Dvngxlu1PLsJzn9KLa
+6e6hqU2Vjb5V/pckevDNDBYRktOoeWOK0onyRBh2cWyQBGJuSNkAjhvjnxzFFKFsdm6oZCYMvPF
XKEWLWSzoBYDOxmjkoMSwLT6DOtQcbJqwmpYrB9L/aASQrBsDkS/m9xpe218EJeNCzffv19eh3BK
zKjbTCHNEbQQbIRJusDP73Re4bL1hHm3eliXYEkNbDB8Jt4MsoEfuBLx4O3k5UH5oZpQD71Z7P6O
weY8HCVbbslDyjdSJT8eNdOS1oPQ56/nBhqOmZurcMekGw3EJYGGcQ9h9WEH2DJS3kQwFyuHgerT
YYLstCwfToEHeO/lk/rGDlzWA1F94YcY+nNjIa60LQ6Mzh1i2unuUdXbyTxZGzjzmuRtDLBj3Xdc
8MKdanT404GDbUS0CsbZRn7rJkOLYFRvODbcdEq94tKrvYhsQMfn1nZh5z5W+Z8Qwjw4HtpB9dBa
xdYH6y4cVIiU/uDor85OHVtDYGBHHSUzrG5fCBBp7se9UVH9pvB1JHL6qG8Hk9oqP8It6cxUBOn4
5XOv2oPZZ2Di9XclUqPPwTM1L3dfx2vfZZEYww3iN/bsZdf4kNUsGspEIrqt3dQjKI5zoBfoke/G
Wjtb2SfS9Z4SsAnIPES0A8g8rulrOb6cEygZjzOgknOz0D9oPAO8z7BaFezezlCJVi1dmIRKeff3
lfC/BeZ+Ltd/QRGfZWPog5hyfeg/HagVdO9mA54xhuAKzI92/PScOurYOMjOpZkhfgMHt78P4n/+
CfcqvrHOjzRr8ygIy1/++H+26Z1f/6t/zv97zP/58x95yu8vaV/Ky5/+gANJVLar6jNv159FlZQ/
gNX+kf+/P/x9drVts8///T+ytCgvSKavn3/Bi7HhVzQRPjpmDj3J9G/GvUyvuKC/zMR+ff4PvFn8
F6YRisLIC/fsP/jv4r9QdEA9J2yjN5Xofbj/mIcJGMqQavG7HQXP+gNrBrruvbsJkVeZb/1H5oVI
Rv7aLv182N/t1E/tkpZVXRPX3QCHhXFnzDBzlhlUxbAkskf9RvdCiUfRWD3wkmULgpWX2Fk1khet
xcx2TEuBfkwTESo3c3UayKUbiWpPdKhomMjfpaDsoEIyqaUzYvY6fOHMyX7fzAMi06gJhfANhwR8
pGm98PbmixFEI5gMESOwPIHguMC7uuvYT5JjYrw8pfAgaCQwPF4nURsNJgQB01DpU15lWG6jL3HD
jE1wsvuCx92TdIKJMWBbYjAcnj7vPhGX/Ug6MIfrcNHbDKtTcQqLP79Nz6uckfXjhDnGgHTTMeeE
gzaECo4d72ykeFEqTZsiXyddNcV5/PVwm4WMQO4Gqeg1QSRDaEjDlqaVV+EEYzQ8+3e6QMgY18Bd
PWZ3F9NQQmuqjBEi6/KZJgtYP/Hxv84Q3oZvDI1UeOw3fO1EOMkP2KmSlIpmMlS2/PhBtBLz68h/
RbZkTCLwv4QpnZqFtq7DaUeUo0InaYfRJFBVJ4dR9hJC+GvQRkqiKT3RGFgh9EGNRe4WQgfWL3n1
JmYspW6TrZ690x+BeyZE5Tp1ldq6z0An38VeGOxJnxmMtW8Dy07aGfTUab1SXr4husllCAcnV2d0
m4SDg/9a1THDiR3vYF5reJ9jLPGAaI+HIYrDt5yCCG6ORMKDXVW++h25ncWHCvsT1NwBrfqkLmed
PFPsF+zhws0c/mt+FPbyrdJHae4PYQOKydcDEle4bBXIAfbdgpFEXIo+lcp9k2Psbr2fFqnJsPfE
dnnHSDM/IlknDwsdPb2GPA6ytKcnKTFxh+Lj/Z4+nVpL/eIRz9A4BfZz8DK32zWRDvt3/nc6Qf4+
LU40pc2VNTWSfOV1OofQzpFKChZNeX6XLTE+e2J5e+sB2jT4KCpft5Yf3ufnGoMSsMhkIULhftg3
nw6ZYrtY0s/S5Z7TDZSK6OwjeERmbH2sP8H6AYIYlvJEBNO4h7ez53hID9/OHg9CLVYF2gi8QLkl
VCIpqonAiorZJB80zKhiByKOt/BgdtfBjZ6IEbwu/aawfYZPVzaW+XOSY8HxKl2V2bBCEaLt9Gr6
1DSzeZLGeizlxmqzRXx/S6C9ygoRYGgApKadBojca4pTAroCJrhQ8U1t8E620jNed9lniFty/vGg
gzAa4oQHN/vMyhCgjmTzRpAZCscsI689RPi6MHU6quIRIruv7Vi4PEX4UZF3zul6ezEln4CQe2rm
GNhhKKRbbdXHKMDW5hzb6Ervqj+I77hZOiWMZb77GYYujw4IJtRMPlzpQwjXuUDs1ISJN2MomK8U
WApMRt2WB0728J5oQK6YeJyhxnpqfST0HqJfDYFQhHJ5dusl8ku5AxkU56lCuvxVGnh9mxV50W0p
3OY3jExyP42niXBKnwTR8nndtniud8WnFNn0iSwIIn4+UGMxgU7g/ZYf96/0a0gNFlHaxE6fDN8n
j4J8Gmh5CV1FDIs7tR3n61DY4lTlh5dUUOmrMQ2pByjNb/6gyCG8pBFuQJa8BSpiTeY+uTmFlS2e
EAhku7kOhSnEhSEGMGazKWYt9ECKSoGQV3kN2NWuUsiRL8juOBp0T3mclfIoQasCC/gsqEy4B/7j
7Ef46g26iaCkywoDMYcQhqlqybAoabzqDfmcOQ4ayaV7uh3UbLRPhIh2gB4U9q0lIwPw1HguHfju
wex9BBbWHbvmxJK4vB8b0tlHw32jz+XPBG9O846FNJzY3BWx91pgK90yLQFdWmpzKNQF1f1FGsPn
dunFAdVqUwcJTRhAHpHTnj90GceIG70Rn2EC/69xyEHCNfXp591RC6fksWIoErw2hvQbEvlfWvoI
+OUxQpfQvPN/aoS/K32wYf619PnL83+UPtK/SNNixK6qUNP63/xR/kjEGw0xw0T4alDS9IOaP8of
QjslaqPfha+834/yh1hPScMdjNdSht9T+B8V4fI3sPq3+vPfq+MwE/tL+fOnQ9d/mdaETHKSm3Ln
GzRB/cOYBiT28cFvcXgB35JO3LPnT3FRXjGQgDFCOeAm1Vj6QjrShU61H6IMW7PGGyttJS9uX4+D
cOo2zRG6y+bpKPgU7aqxeIWuou36iIzUwfzJq8bhFId2miL6L7olVkTi0Xs0MjDBW2GVo8iBA3Kh
n1RxpkXN5pK5vuDH/SPgvjzGwJrapZ3zfZ4y6QTdjWycL+6Zl1Qj9pJu1K75Tz0HAGznKIVA9Iau
RCDZEWlbS7FGsgiyJojZ4JzsZpxXDwnyno46Ja2bf4wL7prrPg6+uZLe/bAGZr3maPIj0G8Oiu1/
Y78ZbbOV9dvqlqA0+HvgwflRnvLyYK1khn9LKCXZqz3qPGitUGQZfFEWNab0skkDQZzOiBsnXuZk
jz0MW4AP5TwtUCJ0wU6RRiHQqkFswaO282xhazibfOfBE8tWJsesc7OoN8kHlRfOBzYXEqWjFWRA
rHxQPe6UUz2WPsUtUI0XAbfeZ+djvKGWyTb1LFukY92vPVLLuZ7o7fVJukpcoGgMrLtJv0sDQw/C
96K7aPmyuPtA3AIKkvu8jd5hLWL9JWJW0iDXebiqo5hRjZCPnpDdFAOm+4gq5z7wJGjY5BXUGY5G
AM0wtzBUaK83bB+6eZ8bDp4DA/1I8AKvgzZGh1ddjw0DVAwnHW4y6qH78DooMTBxWnI10fiTa9Mb
UTENRmpz9ttryYSXOOSQMAp+zmMxqGI1nObF8swoHPmzLc5L440jII2bQSERAA4U7FEfsQFcPWPw
68HgRg2TrLGUplYmD8HcKdMM6RN8OC98q8maRYly+XgQIGX3VgpcCA74UU/bK75XIILYcKHLeU6o
63gF7LgI54bIhfxJgJlg8fRk8s3wPLtP2fzoq0F5VvGie4H5EYYMzboBtgk8AiOSSQSZ7ANTK+Bb
VEYYXXXrl06FCTLQcQmTyWDPScjmUpEstnSbfZjLweXH8Yqb8w2WuY9yh7+Wrrw2nNMJiR38pPe3
4oDrpeoQ6AFhYITYTbG5OHWFLddwaPHBIRzCUEyeN4xLsLDDkuhdIfZnnk+yCVBoDmnr/TyVlg/+
bExL0s6NKS+Oqx23BVcG0AweHd9NiPMafl3c5foumSCQ+pA2fAJJL2dzXvFY1C2y/sKzk7VW0bi4
dum7emkEO9UptS3XESUSE4opvlhcRtXByyvzuHz8Je/wGPJRPGkGnsTfeCVifU51eIEemDkV3nFc
f8qXDlYuXlvaFE80LpDBPDGxQ2wsUFRx/QmxJ+IE4ddQuzsVJJ7a40bl3fF6q5cYgJElU47lGWG8
z4/nxyM3WQg90Stw/zYEKhfkD+z21ACvdUGUeHxQUuq3wma3LVGfcXr0Q5hlSXby+hCjlXYekcvB
lKPd8F+CiHAZN/yYZVf/IuMj4cik7dlvxkqFsutpd3OBz5vb6uH313rA5x3atIo3vAAC7BHfa8B9
NTn0l3CAv0C0GlB7FTZFGDHyN9Ru0SpH7pZglR4LW02xzkhC9OmN9B+hIjVH+iDwlheEcbUvNNWm
klTKqxpOnlmNgpavLK1hbuv1IWUVCjOmP4cWCJulpo/OYAYmTL8nfMxhcj4NI/JRlLI40bOeU3DZ
chYTYEVF8vigzyUsL6n7dI9mSe7kQNvvBVoeJhnz5jic5q5s7hML6r6BO5SM75Nh7b++voCaQP7M
w+FUW9KqW8DshNU/8EuXggnUqnCYkMAuoEPmuNjJ2MeKAlI/8jIa5Ri+k4QRPDXssHq7x4eI3Sg7
0H8HjLHqFYrrGSdTr6j0OGyEClyFAaIBDlU4DXyJJCr/Cfg+zUmRRpllxeCdbB8WvwpckD+iS/WF
nGeWIQ/jLuwjegD7MWY0ZUywUhxgTEwmoUEISCFH97nMmBLLd/oHKCaMKmANAEmzkGH7eiu+HsDv
9zy3AslngS/ooPCfOTQLEutiq9uw+j/5MHAlq8zHoRjvCSXkoIXHFoXco6Xka0jFm94ZgPFm5QZQ
NwZaqBai6EqdGZXLe7oMc+xpptF9rJCfHB8LbXNW7eyoEWNbkFZ3Oc/L/KQSD183c+O2wEIfPRXW
5xIwPlqbzHqg3mZB8VCdmQo2g6kjV5JFohFTDghZTHy4mWu86TJ2saDXcVRNn59tRfw9t4mgL7j5
o/MJ6RaV8A76Ef0yZ7DrTrig4dk1+6/F575tSEim04cC9B31nzjrstgTRn/C5/7d838UqQSMKITa
GYqkfmd38swfHhX8qH9HgDhM0f/MByVFBJI7/iuiSFrut5fsjyIVbxYe/DOL9D8oUuVfuIN/OfJf
qCLhrW3CQRSSL1JMnwNnFm9JixYXusJMVontTrykIG5wG6O5NhgNCPIBoSlIcmZ6Q7tVuRJUGngE
OqMI4jJK7/w2CPo6EyxmJbwJxjYq5z+1BL8X2j/nGfyKPn8fs/Ltl6sjM+A6/ZmFoZRNKtzUCHiN
yfM7SWv2g3E0XpgmWymgizxmvDFOHH+FPgq+kvX374+D9p8L+78cQP/zn3DN6ElqdlMNcgruDtsL
aaY5g4m4CCPWhzujtZzZuNNdh34wT5asNq/cNxTXAJJYFg8vq7wSVlzEFNCqxHFCka+6GW5yH1q6
1M7OXVpJ4zi8PNJjXo5rcEaiNDv/hd+8CJUH/h2vwdg52+oUm1/xFGhlhJI0mcUrxIZWbV6ho35J
rRlgeAk2s1EXOfRBSuI5oxh6WWPcoTH/EnidFwcHTYzm2bzWtLgqEyXCr/xqHytWsD6vEnqJfoMA
S2RGqXMyL2xkzXh7XhHXYqlLPHN5yXKEqfUQC93E1A+a19fcsXdmo9DNah6BBgDLEUi334ceAWRU
8cjIWZ8Z8V2AvMpp5fTLG+w1sy+ih243jfwnbJGr9kVEuK3yepCnMpdOSb1b9cUYV07ltN+3AKJW
fPGO8hnORLlt+UxgCjv9mxg2pn+mgjv4B70I9BSaDA2TgptTeemY2sWNPyQsyxawT+bPdZ/9gjyA
B4QuDtyTzifCnMFO5Gc44Bbf2BpnPy4nmnQN+Cww7rh7hk0xikFBf+shR7SZQPkvfzA/j7CcnXVv
fFsyquy3+6qY3Vb3cf/WtZcvsCwLD2zQH1iB7EhK3Qc5TRlxqEe6H6hak2yTAnYieHAfbo+0EEgA
C6f3ASis3mqh5G2YZDFqerixS4PigI+cLcMOMI+InJgQSBt1PylBbwVD5DcOZkI4o1dO1LkmUHHJ
s8GObDhloXpYOWKMcDZxqlyKDuEJ68c6g3Ug7tPlfVmN0uUgY+A86iW5/Z9ER+QZqKVX2R4fynEu
b6Xz4ln4D6xGMZskEB1pOt0eXBvRy0QfnfKK3LOnnem4b1LQmPq+uqaZ6YBo67uH3x6afXIKns7j
8xm5JUoNG3AuB2o8gaeluCF45Vswbt6MjPQVRoamPke/OWI6O2QWO3CceK11rqz2cdWAfmQmvDef
iIJTS5iKFqePqsz6eDnl/LmUpvhqMCn4BokGW0zdOBzir6GkJtCnFuzF8AI35edjBfKEsDz2nkCi
nS2JVrYzdDgUUOZDU+/se2+CQeiSCKI6S95ePooV+zymlhu8Y8wxfC8aU387j5hTUt5xLywCP15q
hNgN3Wom7IR9fiXiaJIvcK1eg/0dkq/6YT2MIwtuop503Iv1+0iq/KHsCbDxL7AZo919V+3yjWw/
bGDwN0KIAqaPVCr9zbiWepEKGVFW/k5nsXoBsjF819fRLkCaPDCjFH9ZOqfmGqw0WM2ikyF0RZVs
lebbNDMvePlz2VI/2NQm6KuN1BpGkI2EU8WoP2EszG8L7VSJVnG2Gd+iJh+UCz3eJ0Qqezf7qn98
6QQTupt4buAYK4WZaYTHMPh6ypeiwpMbm6AbBGX8LZ2QUfUxhnBWQp1lQi9+DeE79OZ+1mCGqVe4
F1dqHz+jQ0/SrkwLfHwgJvn7bcZ1nZ+5N52mN0kJmSOrnqHMb9JESy85JaD2cm5A4EZ/huEyZ3aq
kR73cvDYDnbD3nJhcIHfY+IcjUs/w4RsI3yKtXs/NX68CTf3HaOket0wwPCD8TleNgj2YRic+zXC
0kzG0xrgNUmbMAbwEmFsTJQsDMQHXgM4mlbzILOfqnfL7OGItkB4S8bVpvGO0bZnJ6kEuXcegLNT
gnD3lgLLmqgtVmQWIZHwaPTYVhEDiHjCCBPqgFAriE1TZ35h2bQa724jdO/lGP64X/rPzK1ffGaC
JS+7mrytp3XSyQF7J1RWOE86eu7SxDmnIxdZx0vX1ZehYuoDAq3wh10+X27xopOwQ5Vr6NwAkRa3
gZVRt0cu6mw98JN6pDPdnwQu/sbuoLYYMw25MvVeUCh/Jxpu8pHbcko1IwJij7wc9/BP9fNh2IKE
35M26TN+FI+kr4nqKmM8BBfafDhKN4lfo+vP9+GejXwiHG/UtXY0glQiqERMWyAf8R22KqrrOTar
IenfN8eYN7ZuwzVy+o0l9lYNVwYWuT+Ynpkn/JPplfgLqvfr5m/8guoFA+leRWcqpn1vdwUXAjNm
M4dIYHv30QXKRzbGcuL6DzXHd1HzE0P2t7fFORQjtd5OrM8J+LnmyJRQix+VlPfu/bVzCM8XbZUx
cynXuNYPFoN4OmgmsvHeHeAOFhKU/eDtaabsoUU52A64qXLhI5bWqA1EZK2i9Q4TEc8qDK0Xz5M4
sMhFP5cnLZnXs7oZKQQyqqaEDS2CIP0Nu7yinYnhhHkVCgA4lVhBvq5lOHnoXia4IXde4oeyzXcQ
qIupQODW4uj18tLAZe8vX1aZTIcMcww7DVZ3lloVpvjd0g8ipIrIeg299LnMuAtuqPehHTvDcjTI
egVHsXZ1tnTNUS5lyXfAjUl4101Ddl/YvGeeRszcpyT6UuIX3COJ3728gnsi8IR0koqzF18U4m87
p0cPsfDOcXyfqdW4SHyhcCFIiCfNgJjTB7QFwYI0S6WF7wEwNbC5KFyJ3pMqYLnCxMmCDl8rTDIs
ARuXh4XeQThCsGTxfO74q1xfiWwwGHqxf74/+dsPsAWS4NgOz5gE8x39gDg3vIRvygiMaRriXohh
aGHrq2Iar2Wrj1vFosKJa6YNozNTmpIPZqS9vur3ZCZkopXsVCQxLKAR5JBFeoT2xLhLYjUgwBbf
ZgyPNOd+bKfPrQE5v2tNfLL1XfiVkekgu+JFH8sBwEY/74PzqJ8SagumfJ/oJ/J5+LoUeHEkEIb5
1qn7BmARD4+SgVA4C2XiX/MdZI46XrVrfTOMpricOTgR+8rHnVI2nyVrHIr55k5uwrwepYv2Xb/q
paXKiKVjTwrI6bPgcs5voTOYVcYOl5X6CEeTr+8plS3YrNjFcYDtQlsUIxUb83CdOSU72f2gnvDC
6dVIUCaTSzwnT9aWT9k+m3dO6wqL4Srft9N8ri10S+ojyIpZAwKzCG2qsBvgKYQZkuLeQQGMYy/q
sVPvuQtWt5mxDFbl+3CtM357yma7jOfFVHa0Q+UmX8EWUz5L3atjjKNWXJgjJur3XXS6TYTPYle+
ietuTZ2yUBbhGvchM10+5hQm7TS8IFY34Pl8BLNyAliI4cxVZgP/lMA5Wbhnz5HhkoQ6zr14Vb+H
yH0UU3pPYUZQPKCnwPkVZHzS4rZrKmum4hUNmB/OZBl3DqCmqTzKZizYPj7mLPogDrT//PuJRWAy
TmbyNv+A5/DeLJV1tDivuyM4yP0NfmyDRHeEi/YkHNntKt4Vb0VhRRuUrLn3mIWzGH4j8iOdm54U
UubmZkscNbxxJvBwBjBn2gxGOSVSzN1HrIho6jSG7Wd9vlSVF0Gz1SYRvq8WBQUmr4sqd2DFmQiZ
mAwjuTC/WnOHYfwLKuFHP9Oniha8h68Az8DgLcfaeabCuB16w7uD+QnDTpy1KD3WFUvQ15N+Yqvu
MeEQpn2W3Nd1M75EhS12Vj1t9tE17Cg5bNGitrVkL1heLpkpr1I8ZEDcDXftwchN3LnlJ0S5OsM+
C5PVa1VN397eeu7wMWeHhVXy1U7xsx+O+WDZaocEKkxr28AzDKYlA9Vml26wA5bgzbUmvks71mj7
a2jTGo3YCLAg559y+mBSCR2aAsIeQg+t9sY4IcALXzk6HeYgNCjMMpi3zIs1kfIwxbLRO1LvcWI/
rfd+BJnbA+hWyF56sA5aqSudwD2JEACuw6yHtPXGi/2WQ+utFWmUMhLAsZs6RbTFpLuYxzGjVP/2
gZMwhwqfHAdxfF2c4MA4wepdBctZOZMm+OM0eKUKZnK6L+IxyPIk9xT4oYibQ9h+c3yOXDB3t/Yf
Xu8BpOjkLbqPGqqNb+OFE6A6s2SCnhbw19INhEvuza8CSdv3qfvYHXvpu/6wZDwbHpZKRXqzwlNg
x7Ahx9xiBvY8pwfsyM/4U1/yqPQN/7ptxrzgC3MxR8qYhZvp5Ol0i+grpiQdGR7mjb7uhoBfcAoJ
SjgphtMQmVpY3XswpvOZRSv5Dc4KaebNIm/mMqnw9NfGLp0YTvVy8YyzK/9e3O1kFi0eVsRxk0ZZ
LIiLZ3qeWwQg+Ne9APPzS1i148GGHJ05s5N8Cpdv8jCmt81DxUd+d+zQV3EUoiULjg6ZVHxqgqm+
oOOqJ+lg+Phf4U6les2LMwngyjL5UhFTrW6MvtvOiXgFjybj5TMPOWsO/57y+FE508851R7NRrsf
hGCVTkTvl7nJ7u8rDvFbXfk3Fcf3z39COYzwHoXQG3IvO2gvm2DkgU+pxn2pwBTpW+TBOsCksU9O
uTmieRJttlkBdQhzRWPVuOoh8vMtiEEzUieiHy8GbCOp95oQL+nURHH0wwx9jlRWLSEVl2/De08M
etUFfBkvplJvStzVbp/Nu7E8E1hKUwdXwiAneWxs4gsr7EL6YGurDgX5ksImD8ypsiEcgpQufLZl
q3Nywhq4Qu6qEMwr7ZeFHJejH436fiz1YrZ/je9aDZZQOXAAHFiqxbj19qDmjmr1Mj53x0xtr3vH
+XHDgvWwJthTgqxDatUNdMilzYO/xHQ6eBG/yzji6QULJrSwYsRhbp6Zk8Es5f65ObXUS5Nu7Aqz
5z9ovtS+7Py7T+tXaWJLvt+wUOGwPFXcgbpFOL2bM0I5oGkQ0bp8ru8OYla3mKXsdTcUKcr2t9kQ
TG5vsKMxx5axWTZrmSfJDmIJVo/WVcf9hA7DCo8bYVUsmlm6CHHfrH1a4n84CeWfTuKX2lp6tsqt
ETgJWCISgz8FHVMPXWEVZ4uL8+kx5SsHirOlMyBZSU7H5Is6dGOrpKe0eRXWjiAdtGLfkLn3wF6D
la5JrYyO5UyHoP73slCxMiUGwVBlVZOghGJ78tOK0FNef4e055c7VFYZD+Q/UzH+3fP/QLl5PA5C
eB9A8fiT6wFRCBAxjB9myyII9A8qhk7egSCRS4b9ioFZM3K6Hyg3P2JFwpmFn6t9oPZ/4syCqcuv
344/n3qf6vZz9/QMhRBLhqLzbvubjtHlKpGmpJ2dZ4gzO1pqddKOH5DTx0m3bGGjUsnY4YhHoNjo
Tl1i8Svq/NrKCseYNR887XWoGN4pbsHoNH1MmE1FOo7CZe63oRVcBpUZYEXgRZfuEMxReUSMqtK7
LcQj3VSHJjCKyuRnrnR+W67rL0hu6ELgqj2gKa0bVCrGCN6l5unqR0QJRUHMi4iU+ht9UaIWQvv+
mLD3YDrAZHBxhgqSa1ODCCJt1xVH6Kq1Vy5gfyAchDs6pKAELy1XcKlMIUY/K/ZuYqIxu9dTJnTd
hrkgDAodWD3sR10ZYLVmixvotj3jViM3yIWxSPmBjWjH6u32UGXG7tRzDCWng6TYbWkEuxEau+Gk
GeHXNEROhHawV9K9ZMYFfq/xGvY8xhrhyAqmR08IuU2Q1j1hXo1gUNZeWCExUIDE6PIoieDUFr1W
sF7zkJhgM7sZ9ZpDpHlLXktxyiWAKXQ5kNr+71/LJPLYThECcjQ9q0VaNFd4a26Dvs7kCIyLuIWU
0s5fy+bKy0Nx6QmWSPHJcQPbY6ALfZYH8Sr5EWneWruIwZ4/lb+52swNDAT6twSuhqbKr8x6MdMf
2gInujxTWG3UKcgyvJhec0jpN8LabtKNOOOy9nh4NGlpE01MBDrO5nXleHjT7FivET/eJvBhOKpq
PXRfS5Hr3J9yN+I0YM3AhlF7Oqf2zaZBS7gVtxmyxuc4PwZDu1wO3QevU69Fbo1Ri6NWmnlg3Nu7
EyYWY3rm7oRjvJgrS+mJ29fgjs0RcHM6IkNEiAywjqWFeIZ8Ape4VlhPdbBR9XuWn7M2p6uyH4mm
ZDYXc206jGexthLnsACkLQRJExGiiTfrtgEbgnpRj0nCcJ5NYOktoaFM6Fs+yE6/Oxh8mGfp4/4c
5T04Fp7SLBnFWjLTB+Ux1RWnRlPzQsbgZccYkngc0qBf7/nTTJp1RQm7qd+/I81ieMvYGYr5vBXZ
BHFrjWeDQtt2SNxJ2yiTGwrmZtwO5f1ZJ/QE+Z71HTeej8PhcgjRnIYGXiGzUGEvSRbBX/ePPqyc
W5TvA+gJiOSYkCibmTUMc74t7LFnvkfMwM/wkyFj4fXHhmXMArti/t+MYJQSokxsRmdpKlaWEggn
DIbB/l67j0QD4BsSu4j+N8S+G1YC7yHCjNCmfYgBtAhJsHV16MQaHNLtPRRwkB7JOxUcOwAUuD3v
hENxHkQSUXERzQvRQftNmf3fSDXsITIBHQTW/oI2NGTt7/c3WegJe79McX99/h/7G/48kBgNBc+6
X6N+iApQmdSSHUTA5pBN7Mf+pv6LFE5ZNXRB5sc87Y/9jR9JqsK2KPwW7vkfJQ3I/65W/+nQGQ//
eX9TOk2VontcepGBRvs1fj/XJwF1TnB2mp7OoUEexFQXg/0TUVuN7j0wycQF0kWQ265kWiZGBDso
ijyav69REkIWQO4gLljqRdFMqWR3OauHABcalkrqwK/reYb/l7vz2m7cyrr1Cx30QA63RCAYRVKJ
0g2GIgAi5/D050N1u11l9/A/fGtXWSUxQAzg3mvNNYNBKpUtfWLqOuosVqyKUMjJ2JFfc9yVXaFZ
pyZ5o2xZPIxuC/VxgJuE/qKrL4r4NRdna5f5aeVYkBQz3L9ew3rFyhlmO/UxZfJQAOB9dOcOmVZN
tT6ucGmJs53W3Q+wsSGPTBscx/o70kGTeq+iUB0Zi0yv3TlnRTd8dh93WRk5MJwSdnKZDBGH4zQG
AV02h2pobXVsxdZKs+aAOVbH9Z7gjpldc6d/1XfWs/GsM/CGQPiVMYrE7YYnr9nD6EbImF+N/K57
lr8a5MSKxyJb+UCsAbYm85rnRCfotYQKwUAx2M39AX9NhkMyK80W27XF9W3bjKyENuTpKTuF2AmT
fYkjPg0nazFiYC4csV7Hecaw2Vw00eExy8OdTPHrRnZ3VsCdVzhrso/BnfIo3rd4NL2K9xCxOjhP
xOvEC1EM0QZO0/6FsSKmP222bbdJrTly9CozmkO1jIKctEnlFeL5IqGGsVV9iPcNr7yavphF/kCG
U6SrZBuVWyLJvPa8KOsCEwdfL7nOB9jP/KA90jbHVyldJxaJmTu9LRwo0sM9uYoiwAZvs3Gni06M
iS/mEl3+ACulRTNx7pCnEBhUQ2iJR29+xc2RCKEf0UEEoWFpPNxHuBvfxdY26XcCjkaGXcGIYf6W
LH/jK7++AJPe8gOZiYf2zCLbKaQyInc/D2jpPL4kV+PL3HFwoCuR1Z0bj+sxxVnqzvhaaOKhHaR3
PLmPYEfQGnms3oxxAmgQ6AnnPzblosOyzVfTXE33/Bv3O34NVzYGja3PQW7TZlwX/ITdNGFRox9N
G9PHv4YVfHzNkcq/Rlvcbi1XUKHf9Ofin9ucqBZuJbiiihIOjriD/h/NiSzTEfy8eP+v+/+2eOMN
iQgOQ0qO+p8E9d8oOFxlQB+3LPLc4X3/tHgrpLtBHl84O1hHcitahv80J8tVEi5tJoo7Q5FV+W82
J8vi/FPr/seH/scQpE6eS0stg5tfCpaNhpBcQkpxEYXzWH2bFuxQ9DflmL/NzjuWV30G+qgyjbAs
lgGndvuBYf+xYcLja+YxIpdNPurpRQxPJjevWyC49mXsPpngUHjiNJU262SrLfhfnMMPX8WnrvYT
LJcTXJYlKCtfmMLAdq0tKl7+h7uaZ58BZ/Li+WgsWWJA5BXYIHKS6isidAKfJ0LJmB44+GRBBgK3
KexgK7rvBLhv46NoF0dhNT5UCGpW8g1sksyE3heF1Qah//H0ZbiWLZOmiFPD9GI+6J+tuiaeubj0
D9I+3qE4qXcq/v+9GwITMQhdBsA4wrTPDEv1U/gov+gbPAo8eTOdlCMj04BnBvqEr9FapeNYQzbp
H7oj+RPyXT/sy8mRH4DjEdFdFwJuuevgHypEzKbKhml1l215GnvjijYouYxwjAwcnTtP2ozzroxo
WTxBox3QDup8T46CzBiVIBKgRW2t9odAuc++GCy8Tui6wflJu1xB+x2P8+ujMq4oK3O3fyVEgrVg
bWJkYwKOncR9xKLPcCz1LeJCY0fO7K0pM99NTUSOdha7ueSjMocQLC1SegNnF+4BgZ0NlGaCUAY2
CAJuhbc8W/F3fk2ZDOheeZGebvVJn+81ZTniDNye+mkNcfvMLyxiF8MsELOZIG0pPpbFo8Rb7N/6
B95XvOH2PD5ul/Amg4UrW0ScWN1D870cuQZ/UZwsfqDO/bcIfQTzgnrTsShSlDrZ7dG8Q0xdHJvU
s2oPLjteudv5nTiDH98Jh0jeqtZd0q1ThuiCm/CUSSLfazSjpGe4aPnR5eNdIZzVa/8Un2ZXjXG/
t7bNpjyqDJ+Qr8ucs46SbKKDfsHftzsUzyzdDOcK8a7eNG/5gHWdr1FMfzSYRnWuvH09XHdQllcP
0EdB9pzeMwhkzTfRg7X4uCwYPBPznbqettylsycI1ZuKVv1tcqvVe2UnC/wLAwVpN3yDfb6pVmCK
PX17S/qvA+eLuL2Ysx6Kw+odYSuqc6wcKEkAI4O1uUWpv9h0rULnnEwoCQN8PmtmHSwCt8hZUIS3
7Glxk8VYzZWzElqMPAerXjsWt03EKOxgpa0XLlxOkpXJtkXMXx8Ur+JZRXb7OVbO51BfyBYO8CfF
ikKTZbcsX2uz8hKZ6q1V8PMehu3UfWkbOWZqLin/XCooi7FhsSMsSWU/fIap2f9Kr/TDwPqnJuJ/
3f+3fUj5lwHIJNKnsKlgV/yTXFvFmRtIjsQqJEO6IdG6/KeJYLPRuZuI/aeBkIrvf96HQNZEC70S
8X4//Lz/BhVU/ZFH9us+9OtT/wP6qoeS0qSD1PphGda+RExnK49MjtA4BxnptF0tb4t4pDyXb8BB
FcSQPKGfTxuqGnLaNrcISkY5A5fciIG6pZBAFUJ/y7RCs6o1NzfWw4SWQFybA3W/FQqvcmmopHbm
9UkOFDfGJCcYy69GH0+a+RZ1JAyYgoc5mN1VCaZKwmpukdKakLy1qPYjuTpMDQuBKNxNsX5o2JDy
tIcEJqBEhF0TkUNgjZvACjyrgxxGHvSAjjNGwBFGN5ywmLsTJdANfq2F+zyE/K334UkJS7dUKrKM
5frYKLe1AjtHU+RPOWs2+SihCJL3idw5ljliR4PYuhnCjWE2d+KkfUppsAni+KvWv2fZuKRShOZD
2FjGk5lkz8KIG2Mav4hWvClu2Oj38ntUhHDXU9iGKbZZqQibU82xfGiy2aXPfWqS9CMWH3q1tZUU
f/PxFOLbadblUV804Q1FeR1hHpHmrBQQpqpEYYeWH3ugwbkVXwhZvJsIUI1Tyms1CTZGNjwHA/Ba
nK0N5m1qTdTByKKdF/FJm5uneZr3tY7jZr8EM9ZhDyWjrzBV9wqxEZ7SoRQxWGVLrUcm+ib9mziG
wiINRxOmgLnkKHlgZGW34D6R8nU7WIep171QNHyR6V3Utfdt3Dzpgl6ui6R+UGThdCsJjojCvWJg
96yl7/FtgKwawymVpxo+SfUQmtIpSAlYutXGs9bpK3UiGadWUO72CM8w75qUnmhX1Z67zBHSyE2F
CsFXaCfq9FAxxZbGxhPAwKT+5qiD/jDiIt82+IkNrV8tm2+cO+qoo1jAkirr11aMyFSWVoOBhsnM
vVjtPTGvvRY2FFJ3zyL7q5v715ogMnWQ1vqkOrkyMDWszW0rS88lwdrCMDphM0FoRI1zYxuBISUY
yF+z1vLKxth1Wr+v+tuzFU1wOfBVRWZPmoSdhTlbR3lnTYxMQ+0ooVKtlPwllySniGBDUYAULxWd
7QiRZJRN38g3Hf63Oak4McWS3iw5Lk1JWhRp1xH9S0ByTdmd5kTz6xYRtqR7go47UWy66kDEuDJ8
T1m4tQTuXGmeFQIf6vXxVjFcSXFXmiq3F+EdziC97FDNUnRk40aeu11b1o4afyml+Fzw4RCm5WOF
P14BZ7nMcecCnIilS2I2zwWG1TPiHUFGbSNOknnz5jhpYu9mcImTzQJljdq3jtUlhx4GRGOQZwSa
rUqWV+mgzhpZ4yIEojR20oo0r/ipg62T6uKqoiBJWaFuRJ+Vyk4Xcy81eq9AyTeGPMJgdrWZ1KuR
J7UXZeC0+VPVOrsKXrTQJBQ9cvuYDg/XbHPYGj2+2o1g38gQjXXzOx/wzimsbWV9tFAxkskbsBDL
NezICxYX7GiDvVofBqQX5rxP6CzNQnMyCAcdxk3lRDgQp6dZ35ypPd9oTnOt21kQIUd+UYA9gfwk
Sj6+GRtJvISAjWoGM5VCLiDfauQEFASc/UQ7iISnWppWUccbReoIdFZB3c/YA+jNfoAKo72pSeiI
+kltPbUP3bHZ5vAhhPE00/gWhmgnBIXHiuTeDFJDZBKSdDpv3kcdJ680/SwHPwouNzGy+2yxDA5c
KTerfam1mLtKm06dAAUe4/mSVd26HIGttRvOf7firjIiVxyhZURpd7Q0+LtSOVvUQRU+77kxXeUi
bDYK8rdYCxyxKt0qDnatLgWuNQDydlmB3r6t9oIQbvCUJVjNKhKWxlZkkL6a5OotN6ls+gruuxjd
dTiSNe3oDL1l/7/wlhaWdus7X0gbf4z1rYxcU5C2RpcD3Bj7aRLuGZZuFeX6Y/P/p4Kl0jKqkxWd
jFJT/es6h3IIk9Gf6pwFbP3j/X+rc8R/yfTSLNIEs5oiqOnPkhc6Z8BQpM+ULuCm/61zZI3EVlNZ
pn3IXQzFZIT32zCQqwgcRrWN3puiTFT+zjCQqNdf++0/PHRCYH8FS2VZGCtwAsA+a1t+sBnJr0R4
IDA41F7nD+doCQZCU0dQKygceSQ77FqsHbIhP17wMaTbyP6TXQk2Fb4ulpTMmJibXATSQ94SP673
gH98ZPvabaNXS76kAWQv5TpcyhQKtMNUiBkTIKCCsRfiamh8GE+pnX9hv0VW1p9gsPTkuQUQH6oL
gCFH6iC2DuF7ED4q0XOFAnFxPik+ZtSRpXsqQhjNH9m18eT7BtEvjkrI2NBAoBleshMAOMEazS/w
zXnpEBfJg+JNxwUfVd3bFUECMOFbf6csxUzwGmvvitrYkeohj5UfoqUOhAC4Sj8swRnvATV5YBz0
Nnrm14wTpHwxv5JddwbOhFNaggPf365ZipBUxV2C5eSrye4y5SJ8obPlgnkdsiTVe+MRES6gZHYF
ZoTacY7hoHPRcGoQ0i509o+FGAbpasOuHUOVXOt7NLpEAAJh6sNVic8kUDx0wQfTJ3GTBa8YZjJY
g115gw9scCThKfeNR5iCCMt5nzpXwx+DW3MlOrrawKebPE9iI6CmwfkZFlUxB7ferDdEs4v5ZPPC
zfnlpLL6ZF5wQ7StiJ8rwHTlIMPKf5IwojzUYHoGKfER7hhje0w63RMVeKmzMwpfSbld2OGidrh1
C0M8XbeVCeEzw6tQKjyngmBPeSx5UrhVos+4ho8XPd+4fSe+Y3V2HHyksx8EPkJhavlTofe3xq2P
XqJ4qDbZw4DvzOenJPhiTsuJy2YU3tVMmqdJJVbNdxxeANu3na3t7xzHYX42xxPFLRDRsMOGjfgv
jpcpMN5FjA5XwiYI7ATeKy0utCc9hTSvv34XNKKEkK20jbL5x66g/4btSGTQFYl1SbFYsP6qU5RF
JkM/raD/6/6/raDAkjr8B0k3ZWBGS2RQ9RNiia0zlAlricL5ff38gVeS9wSK+l8zsN/xSrBKMt4x
t5B5oBzu7/SJ5rI+/tonLr/k9yfO8/qZTFFoQzjPUZQw3e/2UhSRgzlgasUAoiwPaXqphhBr/S71
e3iB1WALTGqzCy4XXvbeyXzmflj5i3Acmm5+L4W7QTsqYBrUTuAbnfOMd6Ub3A/XuV4hJ6rdDyJN
Ob33REzeXi+R8zFisjS6zUb29BWOgyBh9ou+2j6+4ZmqE2bLhwoNQOSMGABiU7my3xjubNXrQkV9
Gb+bfWk/voH/XRkua+uqQCJtNygNBq/cEZK5DlbyaktpfV6sUoVD7a7WBQT21f1t9bJGe5EBbdVu
49zeWkz3oN5iFnvF5gxtT0ERtyqfA9AnhDjxwWg26LIHfcVXFW77ydyOe7zucYfy4otxLd5uDyHI
JCiUvpOQFNBPb8Ij/4AdtSnCQKeR1hjiWMHWuCv3Adq+wZnef3yXYiDrmbWXIgj2iPPoH6NocVjs
3GDeAFc1vHqLTagIkjXLq+zCKO4VQJVYWpBClBQ7pV814HngSKgGjvlnhYy7f6h9GfCveET1KYIH
4k3qEDwLRzZmmH0u5VPf+kpm0/5JIf4JD7l8il7ah5jNJJA8HVNEekbJTr5UUL8Ke4mVeRp3DECc
0ScE+ksAmS0cOfShEKKfcQRwY+GYHQiJRhd1RHhqGfxbQNLO1mXgjDuUbmvBvUgogBTfaCGwaTki
IOj3wMeX8FEcVl9M1FR0CMrqMaU83vWoP8zd3O9vO7qoJNuL/Zb3yaP6hpYAhKywhyw7C+lC94p4
zrN1067nc0Xid3jRDv3N791VvKcC/U4n1zrk3wq1AlsShF7JwUCUW2K8HBjrNZea+Maih3yV1Kvw
KI13o7gO8cp+JLIYtwi4BevY1g7KoUltHDEKDnz7blWPIylYM33PSLcwPGg+wv1EzU+6bFD5PVkL
mCsbNkfiLpPu1wyhwFEc9E1ER2qbxR+ScMp0W3g6BlyO3j13DGDvcXcYF4H32EOseZoyGNLGV5o6
w/1AwsW1SV9Ucc/UDKbD1Npg/VENDs30annhzhrnJjaHDoxtVAWvwhMGC7geiFsmanQ3uAvU+6Lf
Ybig+5mH6JQ/TbtLR7tg+oYdgidyAjAAmPYZirqRfMxUc/rwngDG8pFbH7gs9u4xaQIdNqEbOVWx
4cqEu3st8kyf4iNNiCrFbJO7JvdtYS8EkXcai3YVWudBvFCDMRcBSJ2d+D6oON/YxhLh0MKgsdJu
YLumcf9nb1AkpYkUphKsv8We8S83KO1/bFB/uP9PG5TFFvWbh9LPJb70LwNrULYanWEe0UW/QJmK
gQ7esiAoKP9uDH7foniMbF8Gj1OTyCb6O1uUvujx/7RF/fTQjSUh4SfucqrBhJVBYXzxdZqA/1zp
HnicBZhS6LBwvmfixQgSDjz4bpHuS9kehltnw1JQlSsEOMgLQXYsWeFgMOBdPpw1TF5fSW7DkONQ
Yxu8x2yh4oyTD1RyrhmhiMXYPe1d1TiqiNVu+eNcXePsq9Xfg1cr6RF2uIF5jKVzAK6mMLrIBKjs
09pgc5K+Ser5Lmt/zF9U6SUxyRt/i7YQrEp7IqCYhGCm8QgpQ0bgqFZSYi4mdop0Y91dBThVTzUm
jYu7tSQww8P3FsLikR/1dfXUfYdv5mGCJai+0teo6Tpo3xTu1Jz4HrlIjSGVh2P3/XA2IKLNuGNc
wXUsz4A4sKQUgDKSS1D2pAtdlfQllBlm4UlBBV9dLfoKDEEIihm9wcFm76ajFsRnJb1M6j5lenfb
jtDhpGuVOdJ1+B6vi3EHPfiZcUq+R0zK6wFcl8PfY4rEHB/SJXSRRSoyXLT90oVlvkx9YYBmLpwI
iBKauMecCWKc4tKOkKrx1WCNtLf0J2gSbbkQ65aIABoRo3smic5Aw51tgU8k4ZA77cI1B5kx1hD1
ywh46tBvteKDRZZ1vGFPdVG6LcTFZOnuoBL+aNPMJ1FZ6+oWlyZalU8pOsLUgM8HZQWCyRHALoaj
prOHRkjug9TlEZs2ZPZxG2Yb3J/kx4oXtNrxZIKnZILQ4PTFARctQfPV+Qx3JWx22CVikq9OBn6+
bojPzDQjydhFPpM4SW8IpC4aNwLSS45ZAcKTvRNJ/InN8NP8sIiU4U7etPdRf+SRygsTDcExIexI
3/HBR1cFuBx9ZkKESwEIPjtEB209RhchuSkCIGmnyf5seCbclAkAb9fXaAUhaNqzVZK8uaC64Xdm
7kPieM+RBbCGmOnBwI6bCaBMSl3dr4DewovkmeuENBayGY7VU/DSPgcO3ssnBqpsu8vma9CchgSi
43G4hgv3GM2OKqy4TS2u1H5Ts9TfPqC53dY6QCjS+o120TfSBRclN/AbD/3eWjDsPgFc4pzvMV7V
LCxRcHHS3A8Fv+UNQtRj+IiF0gaa+0E4aOh4bn7FtHvyMP65z/2T+fDV+u2OqOvHmTeJbHadVxq0
aQtbyeNmrurh/w14SpqY12yEM3PNweuSYkvBiVO+9E3ntdQS1CjtLt91L+MZZy0yFurJFQc/vW9h
z7O3Jc7Nm7RjhVfZjuwiVDqPOTGFiB1ZZ2y0+IsLKZrkmB0R3sgLnlbaWb+zDqSHPGln7WxJL1IB
/rgI4pkZqDTYlBacwLi6MuveWAflvPyR1lAIpfXtO9kXFkovxNqYhI7ypsA+HZvTbC9tK2zbje1K
QtimvDHMvUE/DNGH76ETotcDfc72mr6UCBAfvQ6DILT108YidjtwqA+sDM8cNl9DDo5axtlPism0
GcCkC9OyO/FrgCFTLC/VHe5I6ngqHME8cZDQWhwbY7yvr8ab+NB9am/NaXqgatOeshfuf8Pz5iK9
WbNr4kzSufTnwym1nOWUKfr72zfWT13l69j1pjaHmu6xwHmrEb1xGFN2jjHvJ55RjJcjFwdODFkr
OJqZ2ye+ZBFIvKDo34pE1LswOMp3pHugLcL6jfkQQHV+c+ri0XjoRWDXpwWHYTqMQBJa+GyDPfTO
JMH9XcMSEvhEgAlFCPFQJttw0a5QhwIYUDxJyE39maJsfoWUVG8x2+HlG1hjott2fmX+v6ZHOv+D
C5QFBmQOim6Anf/HLv5XBYqm/LFA+fP9fytQDDBIyhOReuNXY2zjX4qCIIH/KER+xCn+NGkFW8Qa
EmaoSLUk/U7XpLkm7QsXbd2guf5BBvobHbQm/QGBVAExf37iC3Twc3kiVnpTqkEJbWGAznuEX8lw
QYQoiNT3kcEBjMr7yFqhgmFA39kGVl1MwhrOsIeYoM+jCYucsA2I8fXOEviIHo19YzkJqmi7cDUU
2OwrzAk/JwKW53uCil8xiZQP2S7CJ48KAtaI6FD3zOiecOuAepP5dYek8BZaXljeDWCTUNZitJhy
5bfoO+8yMhaQS1LL49wAc7F0WLG6wQ3knaK/O+Z8GPIdgXqp9dZ30n0ZdI9iCS6H/tHv4WFs1a9e
RBp+aaBKTAfrnY7fUpEOsNEuKCiEcPXJfCJvKJPvotyeXgnp4cKkOc26O8cOARlk1rUHdGF2F52C
YFMiNCStiM02OS8DTnJ54EMTKuJhCgTF0vIHLCxRGhyno4wawCb/70UiywAX/uU3L9x6pz+10vOE
oSI0fpAXLCDZmscNVPho16lUIg+z4lBNaOYFPYIFsTLd9CcLYRX2zwnCBsYSid+svHmVVMNBYARe
ix5SBRE3vdCTi3vyg8gClGFpWAvWCk2z9dL4ndJBfURTQF2jnVV3KTOW+Q+XzJukXEtLGsqb4i8u
nKWX7ODwIxHFiWIDtR8JwQ0XQ9bFSEcrUbyOF9UctzfldYFPATWBL+E2zcfSAkFdxnW7aEJ2jYMh
fMkPtnZEzZhj3EdP+bd8x5LEFgGwif+i+KnQYr4Pwkb9jHDjfoa6BO4nnuIGI/b3lBw1fIIfyt3i
tP1eLf4Z48WgIjNx7AAu1V2N4CYGqVv1GX8VfPNqfBpG2lT+pWml23wWkmNgN2ru8QYaiStWW0Yz
SmjP46o9w7VHd3LI3Udi5JSv8hWx48yuiIdOh7h0rpDmIUHOUOc/l81wLmdkIa5BQKGYR6Q7rrP0
rnw18JM7z9E2wdv9QX3WhoOIKPA4nXAyDDy8BjlRBh4vm+KFKgOxdRlXK+V2aK3QyfJHK7jeoFeh
G25wFJI31ATszdGqFO1ROw/Zvoweigqqq/yK+fvV9KhDe2exJyzi95yXw+6YJDcBqAvum2+t4UE4
4yFk5nfRnRcom/dNd/kGd86CTLUbp0vsVN0GINlYzruLiJlftgGx1rQzt+YtbWmzXzBo5M3nq7iB
hpyk9vQpwiRYVdL98hSxkqcM0/YpJwaei2q2P2FNCWKNxc5dvtOCK5INfq3wBLmX57vUBLAAJ/KW
FoA8eg686JlLxov1hiH3j98X7ucLD5YngW2Bk+6os8RNGIPCYybOe43Lpbgx9ziL6vsRN38NAhgk
MXZ67E9ud2rpJoU3dKdzNX2I+raxbgRbVfGp5SZzU2wQ+I7aKTgG8/tUjasuOUdfpXKv1r37GWJe
PUueQURKIFTQmnbKSKmjj3t5TkjsUFoAquCi6RqD7xEJBzJgynHjradbGcQ3KE+B/E+HqRWDoRvj
OAsg4P9AAUTg3j/B1L/e/7dNFph6SZHQTJWEYsP6IwogYm9n/BAc0tD/d9C3ANUyA8D/ItW/EGtl
IomZRjIFNBXFMv8OCoDU4n+gAES//+eps+P+us3Ko6rnWc1MOqHnEdX6qE3VNpm2LaFT0OMXmpz6
3beuLq3BJZ/h7pGlt5ZtxYsCdHW3h+SIZDnlVMaHzZ34yKmJDwxnP2lXiSWTzBOHXid9EJ/6zFbA
nrddutXl7eKshi2sxogI8r4DVyc6id8WsLTObfRppV1H5wYUXBzNb+7a7ovjQpa1rvwgJxs9c6xo
+SvbFeOep3aPt6UZ2bHO4NAlchaPS4jjcAkxLbfN9Vg7JEY54jfSda7TB0eeyB/ykqcft42Py1Mh
Ob5eecJRuACyauodBu9PoYuzwJJVpbvdrntGrIQFBEMoSL/d+5kJkoCZEUo5e/YGN5fJK3ADsqtO
/OriDRH8d3HUPAN/Y8ih9utEmJv10TwpV4SMquLr2A3hbXm7n2eHT25qrubVKF4iC4+UVexK7zho
dQVaOUQVGjjfXZY4GuGkfoeJlMfN8c+qi02HDwCWAEsw28PNw4ClOlS4dnDlAKKoOZLPZdxCIJip
sDl0gTTYod3i4rbdcVv+5DxMwg/KflfUe5ZnMcCHmugx4clYsM3plf63dtEokvyneO3i4Q8cWyJ7
AeLBVXpyu8gpv+mz5i0DAwxGzgU9VPqkfpRPFVc9BegbKOyZaVZE+eFWPdBSWLC08OuJRi9nesEW
hku8+TzrIDhEU/XIJq6MDgmrbes9iq8ixRkQR4vKA74VniBal4vv0Wk8618llDaH7ZvNoqYmQvZB
zhr1EePKK9FVq2Q/XOWP+GHyGP5Ve4NUWkbDUCf4kaQBaKgPXLaPjpBqcS8r9rSQi40VILHP+7K6
3XcVb1Bll4ITb4ermSwstBeJcx1XiQ/LNdLvXiQwCawb9oQhbjtkLlN57giKnNxx7FDij/X7JH8K
5nOSP2o8dEg2FphYX2OYO7uZS3YAkDBDWLxy631/HA/CE97L2RVj4OFEZ2WkmKlSb5oHAzc7TB2r
K7sSTjmkFYBiyz6uxALp1Uvu916z+MgWBzY/g7LH3MGUw1J4Q0U8Eh9ZrqpPheGQAqmGIEHhCKW6
+ByidfJiD5uQfhbFLcOa26G/WFDXUerV7nBn7rKP4VNYvPxho9O8YecURvhRADzfXheAm672njKk
mjkZ4q9EgIfylm7rpcaZYNSQdOj1Xwq5VeebO2CEke/q7w4kgbZdH3bJPStSGR7magMxGMPN7ULu
JUkP33LB0x+V1ZUQW0dHGrzSwCRLPoBU79i4BgO5zUyfUdIAjxtwyHHTLW4uN0Li5eIzRAwYw2EP
w0QU86G0pa0ATxN8afRQxJ/F1T3/5TYev8z2sTZsdoWwCx38uvwbe+mKIlD22gNfID8y2sqWjDqs
EVhUWFE4l4rK7iOHcxrfrnV0ghtfKb5pOZ+foTPgH0kwVkm+HP51Nu260/g8jWPln4tnTBKYnrwX
d8aDfvj8VC8Cxh+0F50XEVZhs8Wb8t0gYsgO2xvQaj0YZxFrrRhgv4gO2SWW/XbVrgwX8/F43Z5i
X/NQpJKtJa5rZ1ov+mVAD9RDYr3tjTdNer4lHrFlcAiRANlY74tbQFv5gIsuaWIbuFU0WfNnR0Sd
MjhUDYQ8nIOvzi54OaoN7VezpQGb72FPp3wysdF9mvh9EKk+hnP43C3JqxyW29via8WiyV0mYnai
RWVHRmNPRNEleT6rKiDectJ/L0klK3zJ5IsmQLlAWOSPG2BOjCmuOCtv0ZEuMLJd+AhJsaKoPd01
7ev1sIvWC/zLOyVhU7OYr+CE/Dis9M4zXVPYGVR71Ki4tuORQhDlc6wzA8ob/3uuk4cupQeRQu75
j0UbsC+AIi0uZgSyJZKO/NfjEEbsf2Q8/fn+vxdCWPwyEIeg9J/pxU/zehjaRHEpiiRqqm5Sg/wm
DzX+BZ1JQqkK7VrSmc3/znjC/kClerJ+uNwuAV5/pxCS/2xY++tDt/4wDomVNGqVaVLWptXAeFTP
P6hwtfKsGciG4oRwQDHVbGa9V00qPX18TbqN2T0mfbRO+aBIN/IWSJSoQmsXjjd9L079eDICyD9s
XcJ88w2zW9c9LaUWSZsqz+9uAaGGQX9sNQbaLcTPMGtXVoPfLNuRWJRb86Z94aN3n4/5ruiAzYWo
DanSFBtyMZZrJHv2H4ZEGswUupXIWL0c3Ap7ryx/DYeyPWkdYDkwxSmcW1IOcBAy8essOk8RrEOQ
HnQZuyte2pVYzH7RvwU0dgOTXz0pDybxH3gpmi12xnByraR9rYY+Oqv0dlmgEOicb40C+3ChJEAm
SHt0QhICq5DUeuQtncluY4bvjUi/njEkxR0xGstLFJWHJC42NYGobYz8YpRcq4uORm65ZoBrq6kf
eiO/zml/Fw9YN2XVWYjh9zSAzLXBLEK1WMo08dkCeixbTLXI8dPvJDNfz91HVM52MD+Vc30Q0km4
SD3S9ywbtt0IbqHTqBoasLXCQ/I0E7VOPw/XFFvzeRKPtcw8QTCu9W1CNVTSUwek1vZMSUcdJ9AY
/VckspEkhdsRLSRG7cWojK8iY/c0Evz7up1QH4dOIZRHToBPGkgEU696Wq8ySqhqbzQnXKnIaR01
FEmUbvqxraJTHlR3zRx/qjf5q2bYFBT9i0opVIbym9WADNRdneEB3+0qi521zTdFHzwkEbzVG3m/
J5kBk1CfErV1Z/rGth28TK4Z2y9Ok8WzokIviHKCSsNpL+fEOxkCb49AwFDZJ1tR2S9ZT0pVXcYb
M3+pX+nivawxXFK3U6lD4Zv9KIsgWjB+hsYeE0emezNiZmnpE4iXmsKXbH6KsdmDJG0vQUbDMK3l
JjoUEDbQHPoZDWwz38Bu8GGAMCFYS9wGOLNEvV+mnlCgOu2PCXOuQUU9HKLJFZuvlCDxsHFvEyVN
ieYHQL+R4Ta082Uo6IOVtHhPC4MaEKZbjzzNzMx/m2n/Eymr/yZMicT2MD6WZGNpVP8KLpbhOf25
k/31/r8v4Aj0cbz591z6F2nOwsVaSKeEF5n/nkz/toAvnayhwm9FBoqMn+n1fxfwH02utbCuzAVr
RtX6dxZwzeCR/2meDW/rt6duLdf/NM+ezHCWYzEmE+cEQ2d2hJVl+pH+lddOPN6hyGdkm19D9IhL
IuAsfVJElJSKOf8vM0iwyS85PWFFeBg9cZvNfnwBTVyGkbaKQeI2YZpRLQOLejoM3WfevlSQAg30
o2J90sgAlhG67dv8jnQrGF13xnBDQler0F4cYxGjakn20agtM1VmqUnsz0w7EnmTZdCRsgFNSrjg
YjALowF/Z8uPjPC7DVtkIw3hIUgVCcBgoLTqtx8r5Ig2bh0rie++WKjsZ/gwDNxAgFZvezx+V+sF
BF4mboIdYgG/ukM+ABMIJO+Z4WFhn9adR73toGdN0Lt/xRjJXtQVpl/CkYS37MALsKC2uGf3q9L/
UlcAfZvRRrwYr0s88qDl4xKe/H/uzmu5cWvruk8EF3K4RWJOEhVvUIrIORDA0/8D7c+n2/ZfrvKt
6/i0WhLJBgOw115rzjG9+iJ+lRdoN1vjQVagSC7/oTHt8TVpXm1tZZ3WFxsSbCRsxqz5opK1hGtT
ZOPJPy14dAShGXu36HMRM+UH9lHeG6FmDm28M6jQ1g36pyXUR+Yt5AJBojJ7o+4BcTwNWan2B/3K
hYtL8vCWSBsk84MjMjlorgM8w3aTQRm/ciHZm88zwjLDH6DoxLvc64gewnRhD2xgjbNl+S2Tdfpm
LyUQ8llwtPf8tbhvb96VQtlVOsjr1rSvalg/rAJ2q7Lcb9ihxxdsLvyMHXaSdm41IrO1AG9bySeY
CK7x8RorPYEbsf5A8U1Imy7f4TCY4Ct/JQ4kI0yHV+26JFWjMSbrzTU+xxjupAISgbHum/zab5dE
c3FFyhXQbfFJOIfoHVA7uPheDuYxOQAp+pSZxCrbBRcpbSfeXeVHNgz45KVxSQY79s9BveYtkwm/
NO6C4MFIN9M9bAEmcrd7ttQDs4cl6Rghs8ciusFBvQPYN3pACM6yW3jKi7FhcrBPVsyBSWNeyMIa
GxljnycIxdR7623RCCDMonn8EL/3BDs/m4EPZBvtF42CgrJ8pRAOOB3YSKLpYmN3z1d9bfWe2B7L
jmbqZ/05ZmzkXOh/rbtkUDJ+nchY2llfpPgs9CafLXN3QcFlrnG9jmeUKUjU4c/MryXPcqdbXvXB
loUklfBpPM0ndY+/rHkxEefNtjMcTV/Yii7mjvVwLF3N2aLLCu059M11d1eR+XQH8ZaxNhHQwadc
bbJ4GyErGaN18iqcsy9LuVeGww00/A0XkSOpNrvCMLya2qFpa1sq/E7ddkgZNqRA4JNpjgiwzlFL
HL2BdjJA6szJp2zK3azYHU2KnXy01stb/YOVU05uf9vLoJmO8r65M2WbjTkw4hV2pO9A++ZDIx/H
s7SZVjSHNtKLcAWo2bntk3aud/XuB905RKcNyhu1B0xBhq/RrrkrzyrLqLrSPo3r+CKdoxLLtslb
+fmoM3VY05Pq+VzRk5aQGYJccro7WjR702Yevm2cBzxoG2jY/dOIj93ahO5/dssE0g0lF3sT7Kow
GYgR/ucVVxdZAf/UO/77/f9YcQnvg4gDKo6VfLHDouD6Q+JMeB87NdAKio5ajJv83DKR0MePTEuj
8Wwt7eX/rbiy9RuCaHrRIONUg5X6X624kvy3ES0pzbhXeDA2aaYsL9CGX1ZcRQiEQS8ROZNlu23Q
ddk6kwWtu71EZBero7FWs6tFOEDfESkQPQfdtQYhSxhvA10/wDTZTzSE5SlazVkJNiVmeIdCQRe8
uLfuh768UYGKb7cuQ8/Ked7PXMCAs7fJ6I5Z/gjKajuGyHKFANurJeVuUPR3Upw7gyI9KQFwtboh
hEkeCL8cCnqmyh7JHhMQJXXnnotNwWrRW/4Y9+vIpM6XmhdhTDmT++HcJ4ziAhlHSzQ8F03lGQbI
LOqu11lpobPTjlWJH4zo4nta9WHU21ja5xNLAGLu6Ktk+zShahr7KXbCJj2n6L5y0Lpx3TOaGpEA
DYewa1dmczK7tTQPvI7qrlCo20m3a0YFxo3XYHRXI/O+YEs4UmgLIZhQoHuiRKESTvagx2fRmPZi
uJeC57Jfy1PtZEt8L+Sd0mI+PCaAiGvJE2Qym5M82FZUY5DsJNEZtL5b5VYuILvtasoHy4SUT+qS
YOakMsm9YUtmDt64RW6ViHQcC3vJ3vrPnu00SNhKiVS7ksln3lD/ub6mgfK3Bsnf7v/zbOfW1MGq
iIwCZSgP/fNsNxWGPSbait+VGj/bIzRNKMp1ePeLV/7/pKKy8RvnuGyYxCIZ8CONf1NZWyhIfi2s
fzxn2UQnQo2O9+yvnZFhzJSblsTk8MlOcOjI7rkI5WCPLEB+hZaz3IrH4aNCEu4t0TjNptm8n3Jv
pMdLsApbvWrcp4fkZCAUFMkubiRbrG2kD0zxafid5XvtUjxCauvU0dG2VE1M4KEansItnJaZaOId
/Ulgh166NV9MjNk2TW+oTPvum2ZJ1X2koFI0Y6fBscg/wHHLEmkWdFqNc/EB/2F4Fk4hroUQOJR8
kMj/NOIjDfbYh0+lpMj+KSGeCy+5YEuyFJvF8peL/Pl338evcUy0uf4/r+EvnxvzL5uTIhaSqG0i
YQUcrBZfoon+M1GQ4FPi0H+Eqr3rQey+f8bv4VPnW2zO8zd1O+8JEnglCvkpfxDukqf4UK76h2lE
dTrjbWo+kLH068JRdwlYr/V4uNHyfgmftAT91FU4DS69W8C/I9YElRG96pU7NOu+7A/f3TdmDe0b
tnjoUCNUUK5Dd4ewtd3WxCFHDLKY79RAHVdD5JUklgz7CqjG/HRr/egc+2rgVjD2N+lZWCW02dvN
kltkUszO92hx5I2JYARaJuw/hWCC/IycRi0+FNnpuwdJeupnFGw+CXzZeGy3NJjRHgfP/HpEvwIy
7Eh5M9/LF6ih/RaxjhugMIWP5syfAXUhFBbbuB8sm4tg02+gp/lIKZaW/PgMy5N/klY0FHB0LGv+
kbk5DbWbLAoCjxkCbd7shT+R9EPw1JUVixLHSgqfhZUDcbzKHmRwiJdfL6MvkwwAjTJ32pmvlalQ
PC8FMfJhP/2Y7lE60Nk5Kfe9gxOSdjoDsgbdLeLViodUAh9JLtoVZMMkxI6iv2BHEOyibPVRzRDV
6qLGRYbLb7MP8VBuaZFg9/P6VeqdtF13X2N9uLSvcbwm6IjTisQJ+UEkbMLGrAgYFGQmbsngkeUX
kCZMyc94ctPmbt7UWxyIgD2l63zlEGL5lKxIkb4xPjqQ5KcqK+ROJe9vE68KWoSf8kFGKkvv5ciT
FF/ZJPMGYlyuiaxZ+u4Ex76QQni7ICPCyyE7N93lLfjhNHbRNAGUWH6JOMrmkVF+I74YIIeqHkc4
wN5/6OeXLD/Fho1XMkKDZCAichT23Edt05zR+gL5JLUDCHPiJ9YFHl1Ub5ipDJr7DPzCkpkx0++x
xdV4qp7hpII0gFU3Hf3hZL6hSIHSjLxCjY7oMVCEoOFgE81PiNBgM+/yDQROgfaXj3ERBQnqCMYb
zQkpiNbavXJW+RAqB3I3yY7FzPgmX7kj7kYZog1BwPMOefJcvlp+mrnonufoKF2nYwuBFTT6s5V+
5c8jCZ/zyL6XParwON7xQSs85DHWF/ofaD82IEtYlFK+1gOfeR3OTmyoHSRRdoVnMtDphDkfwCqB
NzOAfKp1EkuHLY0xc5WRwRX5H3fIPc+t8Vas9T0pFN4i9+rOaKFUJ0uejdBvtsvX+QGSEefn2Xqb
yIt6Nd4SWhioV2ViC8isd+hhfA2vpc8ux69QseJsQa57qAtC15w8Otd+25xkN83uMLkwF3YH0UF0
K254eXF7qtEu7S9k2aK4QmxV4XvMpXtePM3jFbbe5mMZfvCuBJxOa159waaVyUuNrugBPQ3jSvUq
PPIFQY4G75ZI3/jC+8C3Y3TlECKiaIk8yNf0D7CU4oNBSJyu+mt5zbn6idtpPAsjwcdnpVxVbHu6
/STfV/JqJB0SlseH9aphm4qXcCkm2OtyNS5mZFd4s/j0x5v5rlhXsL0GBr7Xdk87kgbDdF7sszky
6MIr/cj+/mbcbz/Kh8/v9ffls/GjvfkQvhEywOWEeVIen/LSjZ+AT/SEMHsl8RNg+3Xkhp54Wa6o
xp5MT17/3H8wSGLJ/YBpNxErUIk5ZazL5C8NG4x9fGBWDzztdVOSJfMWVV9Wtzd7cSfMuGbZPMKJ
t3zLbs63VUbA0iTtIl/bgSR30GSovKMjm/eUt/zVeJd2RD8dq3cE19ZiOUgKEovwWTQfsBKGdDOC
0Ipgwd5TnwPUjx15ghepL3n3JCBk25g52anetRwJksvONaEpvNTsFiGHCflrtyn07+JMs4vpLJkD
RxNO2CZ9bImg2DSusTG2mciV90yyUQ/2Uim8lkjT0iMKdq9z/bIIq/+YGPo+Ix3eIm67b0if+6o+
Ivxg5gNB1SBo0TifxvnQ5F8tl1go+9/MpENImzAZUDutZaJarP/u2I76T0b4C+LIBJeKUPifx3ay
upQnf9qD/v3+f1SlGiLhZToHCmkZzS1F5h9V6ZKySSVMLqck/R+69SeQaSE4MbbTZITCP7an/1ea
0vWVYcRaloJx16Sj/K9cTEwc/1xY/e2pLy6nX/agVnebhFAs5rWkF3fi0Dz3qeT3E21BawCjGRoZ
+BVWFgPeWJ5uu54BPVyap0qvL7NlXW+zDKZpNwfkCGZs94YvQ073kpIy/4BWLaZLrw8DTlPDeM6c
JNBlpE5kqYFqCpvbsejo+FiTN0y9C5cZJCZKCNqJUUnnBz7hEAvobBTpvavGVTAg4TPLULMLKV5l
bYqlczpK6FyGG1Om1ABIUNDVBCU0CP2+A81U6dC8Oy4WCD6UUvUbVBGSQKyYgOdA7ZXDMJmePOHg
BLkXgB9iRvOQVdqDZgYIcIYJtQKFxcSoD0VgaVjoXfToy5KDBKll7zULbkpJhPOckFuKbqHpGBLS
oUuRE4sha0CExJhG9YDAdYqx5tOjNgEcRNlw7RIBJiyyAab4vTKi/TCTk7nkWVedF8XmQ9QaA4zP
7E0LW/9WWIdmrjQ7K6V7ZHiPRt7vByFTINwgo2pvBSx5yTqPZkr4HSq479Lgkq1UN/JG0hMzycAe
m/lOF6c3s+xiT+1OQxFiCJG8AC9XJAFDjHLBD+PY68bYaVLJNerSbU0D3UNi0tVqA9aoeCPl4a5Q
q/c47rdSC0ErMUNfqatDHpsgu6l+OnEto+nOWgh30fw8t9Vk4wspWPEbvUD8VSN1KLG6gvHtW0/X
tafZxEjUVBOOVwBAcpLeiVG2DYobCF7EUuq3ZCI/SW4vw5jemxqD4InSJMqMrzGhH1cL+YOZZVup
rMiW0WDgtLdN2hk74GaHEuEww927XhR8A2ZsJaPeCSvdm4r65mRBQX8v4zlkGXL1QGru9LA0X/Vi
MemM40Yt5p2cQTWyMGOnWXjuoZ4nxHCkGaBBbHEZJesc4LhO2FE1HU+kvgW1K3Thq1Jiz7B6KyIS
qUJinxcZT/fBQmmsWcVWUKQRcxyrj2k2+5zUtCZFZDEa2ETE+osPujtFWo10/0WtA/hb7YyLx3qf
+8qpNZ2eC33wIFIBBGbqTjF0P7lZe2VskMYpx0Km0h1p+eQzdpWyR6FBMxcLvFS01WpWxeCs1mPH
7mY4yaTCqkJA1QBXCWZkNAh+IeJnJ7ED0sitM2lX3jiCkcqnyH1wVA9T2u/LkNNqxB9QvYWJeOgW
v9hQ+GUWvqgxjChLEL1JYOSfxYxLjW2XxF6OBsswg1WQSV5kxk+DRZBBw2NX9HMK+VUP9zDaeg1V
4EjfRO88g+JPRPbV7QSogh3CnS45MGxzzUTeDCYe6rh9GtoPM2a8kBbld9cNLxHxR8q8+B66h6TF
EpV8mgywDFpXjcHEwZo2/dT7GE0vWXHbRpW8CSRxMxfpqbbinSDf7iUddVU1bvuOvHqT9nbfmtdh
UFayGk6eTDQ53PdtbH0aNehRrkIJGOURAksevbbIqEYh2yhcHRUpOXdwMQOgSBojM23G308quyBM
ONJFr2ISXKTiRrd2crINBeRBYbYqBCbnYp1sh3wRZJYkpAc4GptEfo5GpfAHLXqMAmSBEm62Pqkf
hTyTT01AE6sTIlpeoXaXaPO3xjNMRHSQIsP7Ok4tO1IHiEcpqNHMPLUMzUqtc41yoEmveMzPd43w
nquMUGYThXc19H4noepWB8u6ZJIlubHVf7BGkFwzyxQmEpUfAsz/bGvr99ExlERFE03MPfo/046g
C7MU/6mIWOjEf77/H0WE9Bv9YYViQNf/qBT+KCIYHZuqwlT5b43s30XQFAtUC2iR/kp11IBQWrSf
acNp/6q/pSt/ac789ZmbS5/7lxpCK1tLnSYjIdo+YGsu9PSOGDaNUL3CFmkpXNPWq16zS4pc8SY4
8i6AyLUT1+ya3Rl5rS3s2ONS3i6GJAra4tEcIQ8s22XK5uCtZAAMIufEzlrYoXkJvgQotlTwpCA4
nIHFhzi4y40JJKItkC1u6rah78Bcmv0zG3CmWCSM8Hcs2NyEn7CzpqCHBy4tOHnxFfc1gHNymYT1
eBJ2TME6nwmZn2zYCPk6SdTGia+rar+IKfXV4jJuCIFGIIjV8JLVV3GbRLQBkBOf6iPhTbfvgtE2
ImnCEcG5jmCdcpe8FX6KiYQfgb6bkgX1WnTb8FjsjduO2Sf6JnpMGeoY55k23sFES8PwyU5kojQQ
XxpkGZ+0+VzUB+KhTgZrNEbt/NE4sS2kg6g161zEid17nZtt1JW+AgUVbPvv/nu6AY1dZNb6ip0O
xUrCvvfZXBXkYW7UrQkNGUoQwdvRGWExxlpc1hkyzOgsIb1iRojfkNsl12bPIGFbLyps9uXt+kYg
tpiuUayf6kf07M0e7bi5qqtzcFGeyROnajRXyDuRVz2SrkRQ5YUajSVuuZnCIcy+vq021SY5wzHa
ix47o3l/whyG04r11yOJculiztfh0/LZ4RROd65e4CMiA1XOdGamI00iOh/aHqfXg04DKSfjG731
kn1CkgsbrNDORSxZ7Z2yxwRV4imJedzAdOU30XLqcvFNiR26bmlwzEcD6RRM6j3fIBel9xpvSep8
42bTkfuSWLjGri76IcktSPbpCJy5Mwll5/m65MRw7/yoPwpgTFxIitxjAHDs4P0ymKDr5o5IneXf
0R28Y4VbvYwBAS7KzmCOPHObvnA1CrarrjPEcSYaBtI6ZSKTA6VCu0aj0dW6tf7IdzoxY7SLEnov
lF7aC6ZZbsB/Eu6gwT7xEDcEzqLTfFaouD55vIiXIVLwc6uOtOeWI8QWyVX2gv0+bHq0HIvnbPkR
dny6eaabix7/RhhfBICVdK+vKSXnbC+/fOPBeQEJXNB4/rKnLMiX6rM+io8ErD6XzvWOBDdg3NFp
/N439sN+db6G9sciuyBDbZu8Nd/ZY++ne9QRnuSYz4SCfxsrfNEf4zbeTOgshAOv2yo6KoCaN913
xV4fYTONWRoUkVsPgAZcVAJq6ugli9HqhjY58yEnwkIZe78P3Ql/sHsX2pvVzEzfOuTYs43DgP5j
X+5Vv7L3gd2TsTxitCZEgaCveXvzy33r6vfh3kCKYYKWgRv99UMWcqDZIJ9kflXtLJhXa3mTvFe7
wMet5KgnBYM03JxTGhw4ZCGhZ4k5JDE/2zuZ+ZTqWvNdMF6QP6DEgo9Yh/Ii73LV8ka24OiYU74u
1eI7iUb7o/GmkNl4QrIs4GQFgLK+mfsvEne3vcJ0amEst8CWa4xsoJdbqFqAmKd6rQqXr47w7jfZ
Jr5y9tqDskZzg8sEPRsDwQCuM0B2NgrrTjy1+u1dVDHP4akmEQeMUvEOXOetyznUO8QzvYo7EX+K
rptcNbGojcWhaDGKWh0fLAYcZbdXdR48n9+z6nZse+E97OhDF0aQ+uEQrjtU7nJeg5yL/uN+KXCI
En5kmMXAEX8Zh/w9JY1S4a8zbwqFv9z/Z6mgy5SrIgu7iblJZRj1s1Rg5A3lmT8wUv1oRfzsN+Bh
lkz6DeoPstefVWZEp+kYu1QFExatj39hSyZejVrgr2Cvn4f+A93ya61QVJOkdH2FLuotPzab22M1
QChny/dZqlcRKc3sNJvB2iSfMvgq2e71azX6rNAIGRv9gY34yJIXs6nxohu7ZvNpGt3qXN4tkjXJ
hVDhmV52YHfxMkSfB5YeUrS0zCe9Xup2CdjCG35EEO/ZCm0+cBawjJZHnQ5kCZSg3L5RSizVBH7W
52hfe8Vl/qowWSQeo13Ls9r1jDmGAEj3tk02N+ezXBP6uKSJ0OVEw3+AuofL0CPI7WJQnny2kDE0
+7n1sH2tdo8FRgQCWxX7EkBdif1tYj98B8tYgP9p9g4fkPPMpo1FX13ReSCyjfa//fmNJBS5EMYK
N7XRSgOYsZALqzdGynTko6BzB7N/SWeuH9njAvWNmgGHCpaTeCbPRRaPcf8SjfmOjOCbulGVwbcE
xSsCgjTRuWlkb9eGXX+MpFJJxrPQRtuwPY+dDF0bNeARGVt1+1Ijgbdp8vXi5pjtp5ZgGI/ei6LY
hElMkmn+PSTpaqxpydSw4jtrZ+QAClGXBTSmCfTKy5d+TNxeeGPLGmRgIgFht3N0ktgS6maD0HgA
LHVXp+KuQ+KQ3fDVVPeEQxTdV8cxawc5iTGbho5FeiPbECSGhNaMZNIyWi+Iloa4oh8hO5HJKNGW
Mr3uoNOGpikPz42Kb6FyONjcGA7o5/SQotTLfBbXbb9qV4kbgMUAu70qjuRk763ZsQovsu7GE3Gw
i1WmcbkS0sydeP8WMBaDT6K9JGHR4aGn20CCZkJg7rK0cc1+pzwkDCGYiWpf4XO1HV5p0vanYovv
6qJ8ofqWcJah3a7c6mK24P7lu6m4VPVdsU0AK7Npd260Dih4g32TeYiamXaCO55Jy/4WGju6U74l
J7rjtZ2Q9i3ZxTRVOlYYRpN0rGcW9QxXM/5ZkRGm8FSdsf9xxJwb9WNLW6axpfv0PZcYNJ0hnCuI
TWifW2Td+MXk04EnNmzclQxYxtVE8Vc9JkT9nswSFT6xnXwcV/iuJ1rchCwtTEc8y8OI3NprP43v
0aP3op+S8GC8JtS6JDiY9hvGIlKOC7KC58fk0Jq+duZ4XYMSoz9HBzKlbk5UPSDozwFqkxEybOqn
tCUWDh2powRfsLWr5KgVTt7uWKlyWkR8g1abxF+kYY5xZQIK/uOJDzUbZblaadcObo+BI9l4TIr9
Qg3YxQUqUdwvwwsKvNtK8NVj4rSchJbLp9GAn3kr10H0cnu67W7vN/JMfLo+fezzRLPSKQ79tA/v
e3XTsrNpne+EfOLzjVH0kwDOuOIr92/knbCZ1vFJjP0cBll+IIPuphMjTA4HHim7S48FSsGQCTIt
kJW1WS5feJfad4qX0v9xReFr+yRKnvbC5D2AXkYo8vvNRnViMNA49E8mw2MGpHbPdI14WOvFernt
eNgzI4jYjU8L2sy8v02c7IwGSiNwRnOJmzRSXyxJL53IhYjb95RTl6w+AzK8l+3FLdsQqwgdhabQ
QlFjACT70YUHq8JNoyLXXH5WkhmNrnMl47l0xaf75ubl99mr+o5XLdsWJJC8EP2McBfFu3GmOyba
sJi27Snzpk2yS9YKMwph+x9uHph4d0xgm8sCrMDd/MeKAO3aX5sHf7//z4qAW2vScoO/TiCk30yN
YQItAtxB0o/F+A9ljPkbtmp+QVEg/54/9D9xjPmbroA1QdEiqvrCK/k3FYEk/q178OdDX1R6v1YE
dRZloTGDVOoAGbQ6JgtM9RVnfZXkgqcV3SG1GoLoJ+GrG0FgxfmhG4SzJaUYVaaTGUYYfISNHAUn
Md9HeVKt5YqT3Ixdo5OuWhw/igL18oLgrPAFZZ9ZLzDhNKAGMm1wIYtma23U8E1MKI1T/H0pcAYz
meGIz5/GBGRQNvvn8mZ4bHQ6IlFwJbnibX4UFW0jWJI3S8JO0+Ahob8dZeFthjeSNaZthcuQ70lG
uBy1kh9IM0Vw65A56dDcexxlfX3L9jhf3tWB7FQdH9GY+7dJNKHDx2Ah+t1sXYaU/Hq4ipk6b4xM
fGpigUE8ejVjF9XvNXMFvSLhsmqfWvBS3XOnvmpk0DOvbEoybhJ1rww9G4DkoZXbTW2dU8ifalUg
UlGCzokjdCEJyXsNaP+2o009l2mw761h/s7rvGL6qBJudMPQ3WICMIb/9Hm6VN4aNTKiMBXbzT+f
p1TufJr/2uT7y/1/nqc6MjSaaSL0ca4Efy7cFZnWn/ijpF+sdz8Ld5BBHAgg9N9lb//TsC3tPx4G
Casp/4hM/legA1C+/7/C/Y9nLokWx/fraRr30PAVhcJdx2wGM5YFQNsYoq3sEgQ1rdOupnjD9L4E
4U9bLiHP1ZWnNb0hmm++eki/4e3VnrDGLzzra1V3K8Hn7/qBO4kryETzSTr1jrAmBr5x+Y3bPPNg
lrEazVPzPOYv3ccNEkHOmM7d9awZIw5iB6kWj8Vj8NOEzGLaZ6dqQf3Yt61+cGc/IWfmFLd33FaB
XkIgCzjCu+Ch85dirnJlkCA2cxk6LOk6JKlxKw572jXKvtD2CX5w9g97TXXeF2UboR6J/TmDNrnq
d4GDgy46qAU55Xp3zpW1aFDWe9kKxPuuDCghjBfMB0eTEoS6kiwIVvfsEBwX0jYq0c4N7qRwrRN+
AxrtixID1Ti55zvj3BKEVq8oxZIvzMl8p+FdIchpY77RQVoAQm9WtF8yBK01pgNzZ7ghCV10mbDB
I+OTYAlcgH1b64Aii+ZptpcIarBPAQkrdJuCVdetYe12uL6P5QLtXVpcqGlG+D+3VyIfb2TD2e/m
W3emSwqzknSxxI5pTObxVqFVF3zCgEKudTvSOwpWIzQCIfeTBKThiU6S25yHjeZTcu7TdXP2eRnT
+GJqL+QGH5UDBusnpCw987VXWfdujK5c8w1ViU7vATVWfiZWZoOsqwfkgH/QF19zQitpMZEkvXTA
aL3SVTaQV1GtUmyCi/msMD5I7TGgL7omYnO853Xiq7UDBoUnLtoQQgH+sfsg6v3ezFbm69Cek/fi
maFzOjl8iIqP8BEhHKXU3nQX7ZDpGl7ufIAhpFVkbtQX1ZO9/m78nBpPd7td4Ibb9pB7dB7JvMKB
t3CcxnswjaizpKvQboLmsSzAU/jICJPs4QepGYUcwhcY6jhSkg3jT9rKYDT8Zs8qsdJBXqQHi/+j
XKLnxCjuPrxIT/1Xdm8cFh5hS5cpfxbeQCOpKN92U7wzP7UJeOFggwLy9Kt+pQsUO+mim5vDB2Ru
hnyHKC+kkaw/dKxI1q6P16x4S1ze57hFXAbogxVo4j7WG31PTO+3whkCD2fUbaKXZDmZrNohn8T2
do9rJzklboK+5VIexl3wErxEJ0jMww7tADgBwj+f0oM5EAED+aF7z1cD3TPkrPqLBE37aSoBhZj4
O0sf6ep7+DuJOdjkK6bQ6LPCbXno0yNEjhgEF7x/Kub4tcgPRbmRCHE5zWteenkHiXF8AlUZhs74
NM4ugXicRtAZoGlfBnUT3Q/Tvjzk+L1q5AS+Va8in6Hi+A4u+kmIXngAEorYQqwClyy5Ha6rY0h8
1Ep3by9AHw0vQeC0G1DFFXsVBwxAMzYS+lWpVgtfil3CU3uztaN5FZa3Q0XE9QRLsmBLotBDa3d8
UydHglvU4Av8pVJu+bN56oeNjM9etAvK5uphwvTmxYeoP5uKzXpukzwI9+kgPC8NcBrdnJI1JBXU
YzYKhuFDqA7MLQdb8onCovuagJbA6mraIQHqNZu/9bxrF6nXh+XjPLXKjXlRlsbe45xc9XGlZn5R
YqtiTzYjRQ4IabF7hH9cdPTDPBD/52Tv4wWFAIP3+IrFjN4qRUJ3FNlGSqLHf03ZcR3bR2w0OeKe
rEjTr/q99t29SVxTzuOjlrvp2eQFjdzuTQRTgzIeKRsv6FvwLPv8mEcV3dlLz7BVtxK2tdseQSwI
jLhaY1fGNQYQgzM7hUh6x6Zeq4Gzm15Id5ZzjHO6u3nyU/Y61DY3hqo7PsqcmePjIiYJlAf8vznI
dn7W8nu8iNmroh1b61JM/H20xXVKIBTkTmY1iLaqb7ap2eO8BRt+YhR+kD/UD6IBZ9o113pfbl7a
vYhNLDyz32YD3rylPaYAcN+nvLmq2id8O+EsJKQS77Pw+8ZbMS1UUxSprkFiF/q8vaKv08CbwLPJ
60jasaXtGYTrOI9VkDJcRMCmZuBTyWiY4S0gsIz8PhdwGqbhWmED1YlbqXso6vfCA3KJg+9uur5p
b5M95/h5SVlIj2w/FSiu4oJzRV/AQGXeMXZYOkZq5imwX2tjZRH7iI+Qi+58CbR1ILg9AlJYt0wX
HhbRZc4e2ZEexoV8sUnHbbqiXJRJjfJwlJGUzlyBaTbmN+mQPuPN03F5kvphHvIP4n7HFQcKMEVc
0ncL6F4IOE2fyFoXSaWJvnPFes5111I+kn1OlG7mCB0L2JplvQWgm/+nvRI/yFaqpjLbXQL6/nFP
uAAn/lRrLjAKusDo2n7e/49aE9akRUqOIQPFVGTKzZ/F5pIFCMHrh0uDlJylDv25J5RI1lkCxSUi
DLnN/4pN2fyNvY7M2J/IcXrP5r9Spf0Q3P3aJf7rof+wVPwyUR5mc4xmWZVXyNqZ1TINZnTL3LZ4
Nh9ul2lVE4G8xQq6Iy9gLWde+JhtdOBWS+HAaEtBKA1IcTpyxezvWAGrF20/nEtGeipju+78g4Ko
7bvze4wse43mPCLexh4/aRYHj4RJY5KNs6/KRdKtB88VqNxmJFTT2iYmrauXHs5D16/RvWeH2hwd
Znk5RuT2XFWw+zZT9ziGjz27wLLFGJptjKqC/YjowplBSnWfJ4qD26Ur/Khzi/7ShR/1tGHgXRaP
uv6id4/B/JAB9t4I69wGeW25s+Lpo8lBPfbFe03aTL0VqZY6ig4gzI7WrhgmIg8S9G10SrB+zIjC
YdM6hCxQaOS04ADhE6febkvyh0ZK2ITSiSbbQzfsbqUTpq70zlLNSZfdF/f1a3Ifjk5WuSy9ZW13
rAWQtFQ74xKET+ChPkSn/IuwcqZdvRsktgQFCzCiVzDqmmnJUxnM13yls6APZCuUry3C/NtdftE3
wSY9KC4XkS1StxN9U1zSJIARHVM6iV+u8i2rfroVZi5GTvQ83E9fpcFfRJm+G9NdDBUpa1t5gD84
gHs8V1d8lA3N3Wt3RjhlvffUIEJnT+aO8tcKjypJe+0FXSFioBbvHIgcMoisrXAw7f5abZHH3TXk
N9rG3tpHB3E3HvKrpkHrhGK6Fe44jhz+UW0HlJEfimgP7/WD9FRmHjQ1sJnqY40OkZxtm+UIbLm8
ooFWKY6q4Tl1huKFXUcNgYLOV2fTJbPoDJaGO6tOf0SHTGIwS4ETridv8sAwOsDJ7sGfJi61H1Ud
lOd5q+faNW4Yx74NW8TgXzjaNWWdUPCr9Bm6Ol0Z8CHqLHamuvU0QfiUZZ8d2oBcW8PTarwaZC5z
iJV1ihRcr4uzXDtkBqPnfCNd4n3f2zekPDUIxtkqibw07BSrQndAQS56+n7qDjKkkQVXgriYcbNs
QLCwM98cVnWknhuDdiH0u8ugn9p42yjeYMS++Hxj2oglAy1EaGyLAxgVgjNBXtEqhlk/IqoyrKM9
fwMrCwwEESvUAsaqxBN1RtVnp/+Pu/Nabtzaou0PXbiQwysRmElRVH5BKSLnjK+/A33t2+r2KVf5
1eU+3ToUA0QRG2uvNeeYQGQv8PV7KFKLcAk+0apSbif9vhtPZEeJNT4BDUN8MlBn4XU/jgZsS+mU
JRTakwfzWkKKXp6qUHRG6GbDcvtVqH034vcCv3xTT+JhqF1foXHsDKtyPSnu5Mw4p7FKxfWEuB7g
t7zR4+IpQa4uczILesUcAEnJKv0UW8khTnBP0EWdgg7zMX+nG6VBT57yIiv9frrVbzlVa/EBkBIz
GzDOqFX1DSscsyhUKBmKL+Y7bGxz/4W1jgZ86TCgyhmT+Idm2nTspneCZx2KfbX5CI/hMT7y6o/C
FpiaN+3LI6eFR6AF/zGrcqHcOoUj8fp0dBW36QirZ+ZLooa/z0avfUgxbdNXwvOVugRudABX2APQ
3D0v12mgqu29vqB31kq06dfECNKK/sQZfsF0ynrDKrBlbdiwF8NVnr2LLShqCA/DudnWtvCcrym2
8bVXmxG7O8sRyQgYrRfDu2+TD8BOYB2ctDOR16v5vACEg6/83f/0P+crGPuX0vHvHe0KUO0Lozxp
Jow2DovVplKOLX0p4zGgskMTJMIdg+yb8CGjIU1qdAjxsFxNt53hscry+xHW0LHR9Ks+n+49tFRq
GS4rGzVyeWcUixyS/pK8zy+LqwMTO1Mac99dl//M/fgyvgwf+E34nac4TdiOnpgxVekrqG05eOin
Y4I11OuVY6XcaOoueepHl/E4wPIaGxdUuRXvOxMPjPqt3ZKVpu4acsaX5r7LM0nK8qSi7ur+lpKL
cBXKKR18DXUevwBqMiozDhULYd7cYOfI0ltZOzQwHC7mZnwxN0XHRh6grdysg7i3Y215cgvaAXyu
TwPhMtJJflxAsnitBIv490ud73grIEcMoodJhRcd11xJ4TvzwaNurj2uumqzyKa0cNUPa5IrkEV4
zS2f9FWwMXc6/jvyH7Rb6UlhAkdS9iq6Ba3oewQRyFwEVJZY81STWGs8pyyELPw+5l5UKpJHU5Jh
mvgyX9FvDRdzvv9PN/8XcBhZXKomqyKS/n+CzkD/4g6/NBXBif/2+L8KPfkPkYmCjF2drGmJeu5n
oSf/IVMfYnnguxJ2Z771s9Bb0KkAqtAOypYk0gv8035AoQdPjK4/rFtRV1SsEv9CDgCI7Peu4m+H
vgwHvhV6iJ+NuVcAOiVVN7sxNvZVNUrFtm0xpHeWhbysL+eFFxl7PcGGalkTKT4vVmtKM3+E558P
M/ioVvSKVrUNiq0o5SyOpfeefXYtlk8xM2svSeq9VqTbVjXsgRN5NmfuhFSfRnrP09qFAGFPm7jS
hkllHCWGllZTlMiLNdzg3VChcRMBJCY90zO0+rjEid3Fgd/vxGBCU8taMyn6HiABvBQVuCfwhyF9
mERmmmpx8MXWtfTjVCkvk49hpxI14az6THSTxYSLKU8aWNfEhjyN+qTo+usgITbKIjdnfeqM8D0r
Zdxy2jbNkQLLofxcx7orFD4Kh1dhtt71WEDYKB3VbHydy0pAhoPPCF9sgE4sCbhvzz46jB99H7OW
P79KFhtYZCrvCgSBaeIdLno3pXMra4wF0BHKzRI/aFzRXacR2/cAtZ4Y01nCqGEY0lnpSriUg1e1
wjaufHeezMc6H29I2XyJ5ooLRNHtugjNRi8jvQfDqGirBMlAi/sgpcsqzW4tNcDfB3bKM1dB4aUn
JDiVzccUMBz1W7VL0yQna3c4wtRnWC43p0rfFiMbTvGc4GnskXf5ChBUpOOKNh/FyHgKA+PZT7t1
TPVgVtGT0gIeKIAYVG/RzKyotE76SOANXQSx6D1Z8128GGt9brbSFNxqCCYUktT8mTn3kqts4ppl
GzHggyuOPpSsXDgI3QJsi/ci+2ONj5+cdCydmZ3S7mZ05cwQacsGqHgwXquApAgRZnZDs5xpShq1
68kSaLTRWM3IAM8o4fODPr7GxnYWsOcGb6H82Ojw1TJqBJ1aYuiZL4n/3f3wnzJjE+cKimeGIexM
/5HNJf3KDvhfj/9rmURFrS2wAUhbbEaVX1VTqJ5UNrx4pzi7lq3yt+GLCEfLJKaK0AZzOaBvLi1U
2ZqlygitrH+5H/7hbv9dNMV6/NdPvvxg31dJS8c3IudqvAlnjQlmLiDdj2oSUrIyQlPdtcqtOWAz
HXZ9wiZISNwsIvpjKj7KyT+ARcDfh523k1RXTJgRBBbWbRPdbkR600j0zzTrxDbArJtOffgyzDg/
sNWG9W3McNCSb1nZbCToEKLYCOjnisXFr3r4dETvjDBsixm7UnQp5FkGrQgOti+AfinaOmZzUSOA
7gvgAWHik8to4Ywfx2s6vfsZDdd5WhdTQFKWhtK0GvVDag2O6A8bgtUA3cl7zYpotPEj+MZ7E/S6
LSbsNy2yTir1JCWobbqaM38ub3p9Z5rmnR8rpAOMJW/BYsDIkIhSxLTKvC6ZgwiSLWsRfCAWLE7O
+UwB6NOBrPopvvkv1yDkqRm4FgCj81Ez6e3888lFTfBrDfK3x38/uURw7JgN6A79MDN+kySKP6h2
P+adP88rGfiLBH5HBW6nL/XQz/OKmzlIKHmwc3T1Xw01Vek3NAfwoe9HbYm80vcTq2K3FY+CGG8Q
W8cBmYiIWa04fFMnfa11zCAiVfM4CgbwgxyS3l6hipLiuyrbTfXrbMwPkq/QG28AINQR7eNURYet
7WSfXjlEDiMCKFkTESUQ/gwq1/X9THGUF4n84lhcT8X0MpqPeXSnNCcdeRK7VgiQwmITOEz3Ldhs
GJScgblbVedaPkpUOrdV/xQlt0m/I4Wt0r/mV+WhL9Zsf+fRUUhZsRd2lfSQRQiiyQ1ebtkJJGvR
F4iA4OUOGDPU0jLjPbFfT5mXkA2GQgF/NUFiNjvgHUmoN4SKSoZTDKat2ffNFVL2nsx28aHcFzfi
oQnXMtGkuJKrM2CtEUaPATfNzHE476WSPZajGvERsOuJBeBVeu1PbeAhSCTzqT8ZD+2tCgPiztzQ
ve5vtfvupt6x5azAhTr9+oeZnh3JsfL0/X3mIB6yx2Nzbq6Zk4KlWLRyCr3m+7FcyUcrwpu6ScW9
dgfyy9cu/N1AVtcAzY/hDT02hO5u6NPkXpH5Nt4WzWmO9+C5fEoS4tnoxe379/G9p+ch7GqgnYaD
wyIMHWCsg7imM8d+8YBswjrn7+hFcwRpHu6I0WMhkeLGscbAjc1yNxdfRnbIFp/Uux+6PqUj5hWu
MHYOC8Bi8/t/NIP4qkGT483IPFjADCDa8rALILIjo9dhyAdus+bzgxq8AB2xxVZb0jQqPL/wYsFO
Dj62bTrz9Sp74iNDNTINKxHbLKaH2TFh14FSa+jQ2wwRktjaJpeadGjlTaDBZ+Iq3NEKIMu6GD1f
f5BD9HV3M226zag4E1YaDKtttfHrUwVmfnzL6TLyDoWP4QEt+3uFzNAWL9S0x86e1mAVnqY1QreL
fg8rhM5GgaduflbJQ4Oe1ywB2Mx3fVpLPl0E4YJeTII/AVGE3D9C8xi70wXTWhenEFtXdIlB/1l1
+VnDG9K/ZM9LTEs42fEeyNrRDA8kt/jigYsPWpSTrlJ6M2kHjwJQm99MiqGdGLDgyXxrNedL7z2D
gQiNTPSidXkId1XpzMmNj9fWVTf1ha09G1xlp3pjSi/Na4TzKb/NAy97zl0G68uNDgOO5r2MSAlY
TR+La4FsG7e0BWcmNTh6oJ9WxFtx4/P+jna8C6MdSTTM4JZmEJrWlYa7xPP3yXNMZKlKDp100r2s
3Uqv8wMkvf/+VUdmdiBy+fnnna8sLwv4/7rqfHv8t6sOeDWMCEjfUNV9h79R7cFTRb+2WN8YfvCq
3y498rLn5QqI6l5chPc/Lz148dnBsoEDVfdvZW+LUuj7iOP/X3r+PPTFLvj90vNzFUAYITyVH520
jTbiKVxXfECwO79qB8SSaNjMVYMPlKEYTTAv4qO1Y6bLqSxtFtfGdNavIp/CwEXXwVm1aMVpoTFw
hxDxBeoo4eO7bVhiXmcsu3d4Um+EYJ22m2BDsHLfudNLc9E2hMLzoskNuLeI5tQh43yhtW9mb0bv
YXrVHOstfNIghYSI0xFsVJsivJkWZx6noBmcQxvOknZIGFVkh+lEPMYhmoi0JBbrdXiR0PbVnNRh
/0mtpRCFTTJX7pJKT1Qy/uiJxQAtuouX+V3SLh2DSU42zmeaUTTwcAcO7X07P+fTFjoNmBf5brgx
bN8THuQ73wMQd+Dwzzr78FWMeKHd9SEz+FUG3bN8K4njyE5NtUlyxR7z93RiMDnpcDszSMvQ9HEw
R9lHzCBV3DFs5kSW3yrWzPgSs35WzGLBhjf2BB6qdyvU8JrNAGXkKgCPP6NXibaJOkCmK35EnWex
VHEJYxbNfHkD8VZjLecNWAswOs0ZOBG7PltCoESINH0DrgP/4TWA/ZFIA8uCmU8vakEx/nPlSY/o
lzXg74//uQZoNNQoPRG5Lv9S1P6sPMkOhqHBCsBJ/fu2TsJEQ7EqmjhoFrndtzWAQ2QnyLdhzanS
v+l+Id77fQ345dBhgPy6BgwNjRK1GeNNIe1oQWVfWVltmLdVhd3I3tCRxW6d5/BWQ3Q0uXmHl9O8
gIZZrsHgYaKVVG8jxmdP8bhf7mNdW0R3RMqEjpm5uFFV5klUpQhG6tpB2elfigeeiTqHhol1nuzk
VbjiOA0g5SCQmNzysLxEIG5DhHtfvE7yqi2X/OiVe0nvIYYcDANffNCZc9GQZ6OovsjH+Rwe5jOB
5Of5So+MVJEBwHJ0F9uYPnDIFIDRQJdvNFQ8NEFWPYUYQ58DaF4aOM9Uccp2jNZTue5kRHSedpfr
B1PecoOe77RhDYoyepQtQLp64Y7ddjhJH1RU8ql/Jq1QtPbWgX+J1guYeHzgOFO2lH08PUcjvpA/
SNYGA5Yi20OoI05sgZvhNGb4QktFYwERl/nBA1+1Ff6aWfTgkwVggeSl68061POLIXuONHPjtFiG
q82UAdEUP7sdEwj/Uxy3kWEv623qGtoW0pg5uEG0Eeo1WGQd+kGyHu57bQstZG8xAGQ4WTHjzGNP
e1Nkl6BDf0DvBBOAyDUb9DNw9ni4KV6S8DpozqBd6d7dsUg3qP0St77GkNksz3qD8DCWG3G0oZ6M
5BUd76Lq1nrU9HV77QXH2NfABLt1t9Y2BOyaN7DPoIBVvZPsh/nSn1OkRGcMwy/aIQRTaayJCibs
GC6XxIR2ct4Uh4yTJTzYcvmCRb3SiTpG5iayz2eUnm0M1jW7v2H9pHBM4ELD/QbwvAc9thR7IXGC
8LPJOOxhOLh4ZhnR+3Dd0ByyG+I/xvLYXjvmSA8L7QU+n+pyzWJKLjAJIWX+NX4qiyM7ll7fUpBK
zBiMBdm2DO0XHcrebB5icpmVdbRHovqqHDgEkd7qHmEelFPQcfzhALmi+g8L52zG5JDseW5eB2Mx
RDWTDFnxTuJ2Lmd17vFw3hCimxAnTh0dj/SDd2EqSWAmZDFfYpy0hX6s2HyE2CSFEJygeNvSUTqS
AYhJV3CsxwU2BlyB/4CPggi3cB31YJ6rJ51gyC8V69vro1SvzLOFuPU8PfG/xu2YtuCJjeTVo3U8
4FbVr7VbuofoQLv5rCB1RaxHpOcnX/YA5CQn4YnYNFDHp3bQrv1Nu+Ms/pJeCAmbQJ9yhQwOxXsG
5HspY8/s1xAE3LewidEJ8jXJ1DYZZEzL9v6Ghxj3DZlJ3JdBlPSSPcEO932vSDxekqe74Qh48Lt4
5SFDReAhbUsOAlD2EQ9pAoQNzWGygmLGHMmRXqSX5fiKo8TBgwq4QnFbnjMXSd9dAUb16x3hgWg8
xAtiKQBEwSFahqqM+27HC0+CMnS54UHcWvfCp3Fv8Pd4Ozwj6fogTBLaIb/Gt9D0amXbCCuFFGaQ
PJZTb0SiPqO9+BwcLZtW01GAkfvR78BWtLfsR8N9YE93LUGEN8jk+di9WuykX4FlF0zplNXOrHqC
d7knf3y463jLafaCOKB414kvwX1+l2abHsd2tGC2+Vv010BpKW54Pp6ivbX0VRc5Cqo1BscrGZZ0
Km+tB5By6oHh311ZM3qkFcc40mVOaPpkMB1w8WnMJutsM911B2MxTMEfvx1Pmp3AVjzxfdOrnoMb
qfXCPWIrm1v49EVu8UyK+c5kLCk7PLWBQBhJqvvjdQqHBwsFgm3XRA/z3MFPtC3T4bEZiVX75oYB
Ct7KD4Z2AILX5obQKlLp3eSptZHTuf4eQBqjbukIfb25wcjF4x/GExxc9LgeuYi3EI+mLZPSZQpO
Xad7O2EXbk6iY+2IHztZa2tdbXtX9OoH0ZOQrX2RO3LO+Onc6G5wsn4lesDn0BzWD/65wtux3EvZ
IRK4C/0Tdea6dwe2chtmKfVDdFfwbMpOuBRbY006vAJSMV8z4SYMedXAYfD4Nz0JlxGgAYNHr9iG
CXcVmYMLoD1R/OmryRt4/cnDUCi/y++CtHvkJk9bkwbr6Ggqj2mySTEHPgpH/1ociDwb0AciDgIq
VdwIR4U8Fi7D5x7kA3nOK7SVOvc6iBZXQ9JeOanHJatr3hWHOdnRVZ2MzTR55L3Ups3WtQXtFl50
ZXZnwr0CQBpUkMdhb92Y2O1RCfaekBYnOmTWqqvQ1CVT8u6nl/9s+UgbEH6vyh4PhRzKM/2fpwIK
88Zfysf/9fif5SP8X6amDDyhAeOE+l4+MhBgKAA2WPzNOWX8AdcY1q+ose1kgkpR92f5CFaY2xkY
oKBTTCgx/y5ySeNH+76F/NuhL8PVb8PTsBQyRZpoVea99dKDHBqHJ5XUtrD0b8wZtGKHRantbkOr
3RYC26heBVuo5e+S8tEPwrFI0UpIU+EMSsvniyk/YqZRN5zcZzwf0i9UJifXrZNI43wKQUbI1bnS
/UMxkL4q3wC/2kdJYtdqcY58pL+dfpeJzypO2F791IanRk3PRiHfFKwmssG8Ta1WRjTHExl176o6
27lAUzVAEaxaQ+sKao/4W7AefCPeWlJZu2S7qinSW9nvwrWA+pSoJzdoiHquh+ukgT2YpAmtSFaz
zRKkJayaiRoYmHCg2dMH5iaRKTRrGQhMhTPU6LtLOj4ULS20PjTtsRksBoY0wyZQlkqQuaUi9zfj
JK8rSyVMsBmIWcgK+b1hMNw0UL3bwL8keejVVYrAhfwBo+9x02aDM6lFdQ2oIrqS2mR6U8wCiyqR
Vn7xWOuAntZC1HpGyEZ0dsJJ9fwwAWyitEsSEIaWHuOmvNbldZ+DKo4u+ng7ReC3lmpadDOylYVE
zD2pidaRvNfjsHOTIAf+sSUQ60YNNWzN2VNTg3lLImgtuqavWr/e+k0PxLUsr3XWWWz6CQPOUqIg
4dA04nsnK58wpZw86j/NNJxW1lGpR5plNcHJgSpswC4fhmzcBOnkZkR2WfRD00phiLSAQJvZSxP1
pkC9y+/LH7EXgC7NGMnXZXnbKck+oZYdc3MvJDXm1sLca1Jm69Jk+9GwXcbwSo7OxUI8BcjelpVm
Hw3jVeHflpymZW4/Lfy5zkzrrYURJJTIQdRNeDT9uTJNp2gnbeW3AdfIuoavOxjdZtTY9nRysi5B
gWj92zQ10itig01V9/dK4r8ZTXrktCfnRVLoxMmfjUzI50SPJZHHU+IDWdZ0N6NKrRttl+YqWjtr
PlbtRHpl262DHuWgFuAUwayg7QtRFlFTG42tCspdmY92MTPVF5MEpJyUFGdNJaYDw3DPB282Uvoc
VNyTvDP78qgqraN3PT0Vy7ybDBTlYRlQj4V4jCejQdg4BKj+x/b0f8B5WWEjiPp6GszXMPZtIVfP
mvig9+O2pn06yUgbAMppIO0H0pCVdNjk5nBKovV/9hLxo9VmcJnAQwdv80e/7587DH8z14ryb4//
eYkAGLpw7Jl+/g23AbQQmYxqiYYsc7L90mVEPgO1ixkxrUiZ1/vWYSC4WMNgyBh6YdL/C3kNYNJf
rxC//+Tab03GOM9FhBvDMmogJQcgVEB7kMn6ytcUiNTvARQH9k8Rzgp8JMkXjn/9JZnQ2cmXkH0N
6PGrP7r6i3atA1c9yepTAoAHhuEHMv1OZfPfLoT4/EyuH4KYS8VQYoWnCKSAeQ5qj4xKKJaIM0bE
jPJLT5usXaIs2XhPF7RhGN7XeoqWjtTZNXwFyTzSu9QAcHUMB9ahdEB8hnKZ0fPC66o9+aX22Iij
j4yqN2t4UjZgCQcJ0W7QbVTNsJyKzp5iK5VODetmFNolI/OSIYYG6le9FokjpJeUsqlf6ieYsCDQ
s+LUE2nawExa+TfjPjtiEArNlUgRZlCMRZeOwoxImhn3GCyv0PHNie/aKFZRsHKr+q6wIzso1qn/
6g0n2WrW1T9bqN7Iys0clQRfvlihsyVWiEvdcbT1c+uSJLheNnbsB/FsEHY+E34rLoHsw03zzCaI
ePQBaiPpyQfg0BXNXdGByU0EO9Y5buFr3BhsirIDybbEQ3GXWd33uAAxvr0C6GbeBgUNk9JwmD7Q
z6Z7ZQbQjD26tGA4B8NC9Ub2i9K30u9FdvtAfnB0NBwPTzbekklP/rG0F3xHAWdoZ5fUyS7VS+MQ
q7UNqGolfvmD9CVFjJeaGUvI7MuoFeluBotgIWQ8Ki5z0omB6Vi/6tZW68O7HKwDKU5qqjspHQQ1
nYgczSHQK+NONPX/9IJF3QgwmOHE0oaUWB/+acHSF2vILy1R82+P/2vBkv/QlgRRCE2yJHOtZsX4
qyUq/wFUSDHQsUikzZnfxiI/gm9YyeANq1SdP/AEf9W01gI4pkxGuPjnMvdvVqwfY49fpC6/HvqP
mNFvNa2fxxFlNyl0s14da59EClUUV0JE+Fr8miiE0Sjpe10Y79GMVqoEFhoQOYnCXa+0i5S32rYd
mJZmsp6CjwGynSH+pUinb1d8BGZxl8S+YxizHUQ1cWPtVgRbE2NuF8ezOPpuYpUnvY9ciTLYVymX
8OozX/I0ozkbzOC1eZtb6LkL+Kpd51V9uJ2QC+YVnSfJ/Cos8S1Jyd1p6umr69HJScO0kifrrumW
14qps1ICLEnZEznzc//czZLdF19ixazdepugmk3MjlO/QacuDRhOGhgZlUS7weqbbRcNFJV97o4R
u1s1Th0kN41G6mfBBEdQwaYwvY76jxkptABfvcRuQhReLUqOz3mvavDAw5gJpKELjpZzGAybEpUo
DyzSXZPeqgN9xbIFWEoj2sgmi4h2c68oYE/iAjNtPzXjbgbEbxDJzWA4N4VTh4gylqzdGAHPDcwd
oGVuX4J/otATM2ldm1pIsziQ7vFKJHJ86KP2XovbdxJYiLFsyuc01ImLE5SvZCrbN91fICcjhj2l
eR7j0jPqEKGnjFmukLYqW50qG0NAClwnsi8RM3pgJg+GHJKOl26qXLoIsnnIjSxiDF4BW8F4agyn
OguGc9HJz/0cy3SzCBa1ivs49T8aadwbsXHXGBdqSywTOAy5ijQW9gdoaIn8EbGkTbQjjOatGTP9
uQny17Iv3hoV56UZ1zeSMX3kmbVPw8d0Iuq0Hie2YPW8bfQvXW2+si5u3BoXPdN8qPKVdJKF4FqR
bhqCCoz6+CVjf0CFLK0DDR6dgbcJTq1f0TYdX32sN61suYIhrBskXKNcuIOQLxHk8C+H+bPRmMB1
6CX0jyQ0z6UZ36dLjzbK9xSDTsdlStY+LTRPljk4ck5Yh248Zbnh+SUtrYRDIM3cIDJaprXaFDMU
XOOqloGIhQ+9V93rgd0gCB/q6CEulCOyh53oX/I5PU3IJISu0O0R/Uet4yaS43YzVMW14Xe4xC/G
ae5qhb5WOtmOk5JxRvuuNGSixcoFStw+hR1dJsqdhuDFX3TjYnyjgUFsVUJukJY38rwZs4bYW3om
aYhVJ5tu/BTcRYi0Uptoz/9n61tWZIMOiGIsyq0fg6t/vFyg3f61vv1fj//rciH+YZmIw38Mu37N
VJL+UGhxEEn9N10kbQ6N0CSmeYz0FCRfPwdofItBP3g61F2oGZfLz7+4WmhL7+a3DsgvP7n1mzCy
S/PCb/NKWncmKJQYe8csfuaoRSIzKVEOUiOJIU3pQIiCa68Ek61HIuVJcTfo3W3P2bmaxsxVSJ8I
6bRN1rA2pV2YV24hJCVztnhj0ctrQ7wbo3WQRHxWBgwrtdp0zGfwZHSAsLNaxtolBztJGzem0THN
TjlpiCtLIcEZzXXQB9fUsCeDbN5Zgm4H/imjky6R1UDeaRqRpAn3sR8/BTV1VKm4lSPz0ln5OsFP
HuJsryxocRM2XCLFwqJiU72cF2sDx8aYxZuJcbJZoMNBoVWkHxY6AKaDKniuxI/pcxNH6QsuUnQ7
6IqV0BNA2n0YRDe1MtrMgf5vu227eRNjH6xxZakpvIFOK1cChH59BvE27wQ8hAxHPdXQnFyaYZzN
51mInVkqnWJ5pSCENTHawzh6hZiTe/iAUh8F1WctaO8D/e9Y2kVp9Fz4r1mT4305JbXxaNT4xkNB
wKHyGjKb0uSW/A39AqyuAxABIR1i4FuJ4LrLCVwVChedu10khoxV8dJiRKvp9Zr+ranCiMWAGD/V
+t2YHJs4Q5BO+LLwlAWEMy32UZ98nyDedaSS5iBB9XLa9IH4LKKU6CEbWHQlxgh1RangEmCZFKcQ
SH9xqHmeUvhaou2GEBbqNN6HSoXtqEm3fa5vKuFaG+LBkAcmicLRKOn0hojJGkxjdeymLfjhbLit
YHwXkrhOGbGNOU4pgRZTJTo10zu9HbdjbuGeA23aQxfs9FPWF07I9FPKAaUG+l7rZS5LNV5UlP7y
PlGEVRY/WFG2jlsFuoiJYPFG54NVMkpTqsypLVLRlRFyF7xeAZogDlEJmh+wUDgBwzpsIgyS1ZV+
0DFn78O5jiPiQyeTt60fJe3VIutEbJRzqJ/nnpazCONFJkU7REXLdTKhYR8og0PV6Pqg52rYIIg6
V2GfOc3MLizJjoF508M4xgw4WAmQEk6PAG9Ez3SWNOCA/KbkPIt3BsoNVTZtHWpeAD9PoI1V1gCT
Ugi13b6v5j0hj2R+9odKefaXC7Nk3Jcaciw9ognHma6JbH0ip0iBlmaXxOeDR1BQbNARDOC7RBhi
JZjPIMt9HBStbGzCCleDT3CwEUAUEADvpo6UQcdlpBEEltvK911qwI1CRcnEVhahMYxXPWC3lO6H
bNrVEpH2EnyK6F4KnwxUnPrNxHRseXNjAYsWjl9QL8qwzmWIJc1TRKG4hC3KseAOQ3KXp5LTZbsi
wfsa8xaFvVMpJGJgUJ3Yw9FwtIg2h+E6RzRc/YkzFt9LjSlSlR40zKQS7FuWt1XFFrcMjiKilCDl
wkmMTVrQZySlrB/ivR59Ji0pzADnKitzZI65iPqT1dJgLVgVVXQDaNSgU6VCtk6nBRAgbyOL4aV8
JzIx8Q2GctptFGmr0Tp3Kr2mmNkEzokhlJ60+EwDZuVPlzLX1l3BaJFSjhUqlLNNjEiy0N4GfBw0
xOwquy3axp1bgskUAyIW6Rw5FjzO9KTb1r68a2klkl+P6ghQTgispYIwxMJlUs8nAOw0XLzB0hat
rh18TmR6QfXQ6pIXEi+h1Kmnq/2TFfaXprmPOmI1c7KfouReUJvstR6G8KaemhcWrx379UpT202s
vLQNrMNSOfpZdQmH1pvS/twZ+VMUa8ckw9eWENNbxKdQxHNNsdWQmJ4MhNpq1VGaa4TxMSKi2sU9
xF46fpNpdtAEor8NBrRnXfTTHsdIOd/rhcgQaUh38ihvikG56GkSXoh7exkin51Iry/JmhPsLjJE
JCWAMUaYbEA0s3EQZFoVk3zU9eAspMe+2k8smLPU3OWmSZRH0h6KlquKCKxYMc8hY6cAxIIwaIur
b0BoMaRsQnr1cYhNcdPO5lnwh7MxkcmrZda6Q6BR63zeNXGit+xX4MpKi5QFLmulhAU8GIarmtSn
MqWjkeonqyqfB8SrmgwQuhyQyrYW9Ewde2dXxBcuz48Bc3w5oCNN17OH/yHRhxrLKwvH48BehL2S
4MVymJ+bsnOkmivXSK9KD6iUy7m7TVLOTk3vg3Nh3QzRfFaExo365VTNE64CCgzCvBaqYx8ayZqQ
QMIMArV67cbKwm896OeSkb+oiJuAvAN3aAFu/oeLRQowS0HFiGFlGZj9s9wKXRbzq2+9BXKJ/vb4
n8UioTKKRgkK+GwRVv7sLQAjkxca2TIr+04elrU/cPOoZB0puB//X4X5V2eBb1FLMNz7wR3W9H/F
lNDM37T+vx04HVZqyW+dhUGwpmrOkEZML8l+OomFmz5JdM3MI91HSd8ayF5Y26SVtUET1NmkXv9p
TwUD8Z6/Y85GIsT2DcMqd2w4pUFToBhCTUSHk7svDXhYWXQsf+Cd8idrQwTBhW/yp7ObHd8R9iCG
mx33RnCo38/XtrjIyhNPXhJwwHePe2vTLcQLMh25bXFNd4AahD06icuPTmhnS1cIxea9/EIzlZvg
V0kHfObChiWHJipjsSy+JiODgU9uIWXB60q7V9z6WWausKh34tFLsf8DdYFS6I3XReqTOt1l3pKr
iImH8EX+r7pX2bDb3K3rHYQ/oPTRc9bdCtR+XW1gSSmOeGRXaqHosfbjlYeTFzW6/kPNJZI284N4
zDY8ngd0F2j9Nl+o9/5D7szb7hI/KUvo4s5/mH2PwGBw6KvlGEriFtP3EKmJg+QHEY4GS2K7vO52
3vZn9Z6W4x0WCuj+XKj4Gx0Oap1zuQiLnOnF/FyePSM8YLHeITxdsZRfJJhHKwqj7lL/yEikmcEN
E/YlncDe1XTiwJEr8Vw8hi53ttcO3UWg5LvlfssaBl5EWORJybSBBt+sjfsJPctEsNoePay2Z5oF
v8FULghUaczSd53O05kWLnKaIl7drNvV4RE9gPqk7CBD1XuLSD9xK9+pDrnv9Ft9b1GzTmcuuQQn
YvS+1w8k+/HY5vlmTflMBiMBguI23ecb31vKgNReHma90gD2aSaDo2cZ5g+sLRDAr+MteyCKItq4
tS29WK+6Q59YviOIcP1O5bBNMBxeNJe+7yCAsH3GliK8YlEnppAG2eTUgCkcMvPS/Y/GMT8WnWFU
QUj7hQfuYtzzl7gdb+cTIYPNs8Hx8PrciQY0L9wg9QMMBU72eT7x0xgrlG8fIsIP9lI738MZQaqh
9Wq98j7dpHueaCdeEZKsEDWj4wUO7TUIfNfLO6S51iviY7IoVWc68zL8WKLdPLPVOgG4Px1sV7iL
7HfCUF2AzgJ+GuEhWGsuFZmb8owH/Dj2IvP4v9yd127c6Nqlb2Uw59xgDgPMSZFFsnJSPiEkWWYu
5mK4+nno3j2W7f7d6NMG9jbalkpVIvml913rWYKn2ATXLxEx7aONiHEGLYbTbZtttVWaN/NgeDOp
WFvfHoal7I6O6k5LRMDbcYXl3sMrVBr24Em7uZOKi8COn0z2w0+VRBTs4A0vOGifMiKa3BS52k4Z
+NooA8V2aTqYG6hNT8GmgSHHD8PyoncXYiOFwU/f+Vv8xB8BoJWnwcsd6HZ5Rc4mu2maqzanstiV
VT9HHAgWsEa9BXH0DAqueS59ql6baPR5QTssazJWSzt9LwxOhrRSXe0eGkHlokjuQ3Q8WEo2YuB2
JojV9fACewAMBAwnaRcPLlJsZD+m9cL2KtiYPlvp9KkQF9rROAbyq4nVZFoo4ZqwsVzYJLptHY1n
DfwGDyXm4cW/don9ZjRFIixpsgxqny7gb+sxuBookHxaYv/q9X8usSQBUbgXWRbpHqJaxlXwZ/le
QlzCv/yhdP68xkICxewgE5wtq7BCze+ClJkRahJAiMYF9cw/DbQnZ+DHcszPH9z4qd2YxUGia1KR
+pVFlnDZl+cpr30tSpyMQKlMR2qn50fSr1xiETmUFcRdtIlbT5JzLYu1HCWXcaqWXZpqYIcUVHCK
5nLGdq5jkBMU36+Uouz21OhfJdnw2muPt73YxtO9qI8OoN+pQMKGDuJ6bZwcd83ECTOSPbVXmc06
nk7LuXUaR84r2kYlktZ6na+GyWQ5k1ELqFOBDDkiLDDj0D4S86szJlJjUPxyqN2+LdY5ewBOGps0
18ylOsBHitS8eRwjc1XnOR4EGV9SRRMrIxlNzQJX0tc3dtKWEF/KKgJUCXquhyCTSrBzpNA1JuaZ
2/WoQrYq610AfjHvniwlZTGP7S40V0iQ7Epl/SlT5qoRVF5JCWvgBIsrZISY0OZ7Q8aDpkDDV+8r
WV5fg4dx0hzZFLZmovuyBMU3Fh8HenVBbfi92LBWnSY2B1JCIHlqLXsjd7PuKW8kkKY5Hd06urup
0CQx2g51dd8oXyxqwxI+v1h+6CPcahj+ozo/62hBMrTBpEEux+G5MJrlyPE6NOV9V70EWCAol3hZ
Fy6DlKkn6V1LAaxzk3xBO8g9lB7LXNZVdG9FBApx01sl2+gVsGV5X+TZQbtmxz5Nl5mUH2qA+OAc
bMT+G6W1bHLKXLHa5ek+x/GmWGhus9AvQP7nacJpMF4GNBU7ot76DOsj+KOklk4iqlGurVWP1Lo1
PwmQnIQN7rFXYURoEaHUBvRcAMOMjWytG1+UIPZEM93m+SlWE1sq70WFKfWqOmaR2HrzmFF6iMuD
zJlNAJqk9WR7U1PKkfxyajQS7CsV6XNT/CUwS2SlMcoeZMt0WfIUibZ2JQa6Up8bDWPhNVEklJS0
Y3UJh2Iugc3sdE8sb89ix2E6NiK7S7vyXKIwn27nKSQ5JkMhnjx2Bt64KylSQerobUV+A5xqaVj2
nK2NSjqbaYWeGUOeqG6x1+7FSDqZcX3XKfrHqEobXQmIf7h6+o0tpMwGS9Z4ukhryOVnU6LG1+Qp
bqUJ93jeVQ+xiEK/YxNRdeYcKFixZz4G5EZkVvN16jV2IQ25NZFobP7diwFcF84wOrVqFoS/Wwww
ify8GPz0+u+LgcHPU3TIe5pCLf2HxcCiMylxdlIg/c2ps98dbhjiZv/af2nSHJO+a0/QsOB8gxeI
RBFb8z8pztN/+IvV4NMn1346cGW5xJFPDlJfxNbitkSF3gzKZ52bBCbPaYkvuW+6tzgM8QLfWx2M
SLPZZ5H5YELlGmg14fZne5hBfSP2Qe66d1UPMOZCzY3Tk9X0AEvjYYWUcRMN66zX7WzsKOXoCK/Y
P185tFhhTTKo2qx08ukQKk4H8TYcE2WbGtK6NerHZExXYhPd4xZalEZ+EjAclAYJL5irOw06R0u2
G4bOrh5eMlyq6bUi80ggZyqeUB62HT2FKCpepisnOs5ecf9VB4Rc0x4OhKPCQDMZcBYDz2QADgxE
iQEZMTANBii/hyMwYG8M3EJ+aBnGIsP5ZpxbZDe3eZQLCRpJkU6tqQ7PCE89OYCpGyvVMkyYIyga
Svt2njcGJpA6l6K76ormXGjzdZJGOjZ0DfLNJBJ5kyrUBiWN8Bctsno36A3RE/v2qR+rrQzbls7R
uIIJ/2hEhew04UACGn1YrQSE8nwrKwZ7BGCr0ZY6966eNDtIWYEiqV5McY5b10DcHD2Sv7rS2AeT
9UqmuXRoby8jBuhQOctisMsBLINTvPVvoiGdK+NDbF4VjcD2Yd2XEPEE5V9dnBGpcVMHEanR6ERB
/HayAL/EmPo0WVDj+OX1f04W4n8kVGiIOERNnqVl7Dn/3DkSKU2hRUOP/HmmkPX/oEAhaZqviTQW
ZwHbn6UZ/T9Iy5hZcMH9oRX5JzMFc9KPM8XPH/vnmSKuNUESmvTmgbvDmGUZLVJkCcnxY99QTLlt
qJ9gusJcJOlLbDfXQFkYtE2KkxJt+ub1doyTNV5yvoEqRfCApQf/TmYFqGadWPYpOgSha21qpKgC
J63hOO5Vxo9dmDzrWz39wOpOs1xdxmCgrw+ggOBIDfrKcrthab4OX8YXihi53/y3DECxgR0PtiFe
NHqWn2+uT2FyETZUuo2tfnWMrbHFDnek/ULZpq4cNGtEV8ar63ujO8wT1gz7Q+2W0ljfsKcc0SXv
p0OzpvLDV8QXZHA0tcm8xE/xIQzViZ9wfQoQBOcZIl0qI2NmU1ASGTA9lJaweH/IbpcYNYJyP2yT
Y0GhgkJG8hTCYBwr2R45LnLJzJG8mLncZPmz1+0KcxBZilTs0LR64lTsw3QXd25Gr1MNtlSYMN/K
lXnJrC8QCymNcSdChKeQE9K3EgAncIUGs8psjuMXeqDgz9RNeW2O6cor3alRwoIGiMtLYz7G7Dmx
01F4o3VJFRF19abSQZwCl+9ofgobpTw1MjmJild6HD2Tczb6nJnxbc10gcjEk7hoNgKAw+ADk9Vw
4QaDVF6S3iyTyktBfM/Nx2w2opAAsh6A05zLQpHNBSE3kmsioOsBCGGHsl8/z7Y0XGwGMrfl/F1o
rSOu1bI/46hsgHgueBx4jvg+3s7EidZjGpr5+HjleF5iykRlOfO3oWuAoQ838kPsR5i+uKoLijXk
fiJtxx493HF/KOX3Z4sOz5FGEt9XrWan3R0yiwklUb2vdbZt4kId3ETzAh0n2B26xCJpHAHRc/F+
xdZUOabbfZktPgiVJV07Ub0Z1RkSuzOfwN2QDjVGS9IR+Y/wCw3L6/7mm6in/fj+o/XZmEGYukcm
BYY8/oCzM8AZT/b4p2g3K1wzdZOAksUcKa3xsTAtIxsKKZBg5nPQEQZuuoEYwVEAwXoyHK5luhxN
IAf5IRcRndMfy5qvqXLWYZA8qs4M9SHoPFmVo61wj2jWoWShyRlB48+b3F4lrb6inEQ316DRYNWq
U2mhXxMzRLUqosmm9KKjPkuW070H5iHWm6/jUfwSI9VaZOI9MaYUhbSUCi3321LXFJ56hn9ZeiI9
LCyE6bqoOoGAso6qIUEU5jS38j2QJ5atdTUMjVL2E7RghoRNVi82Iqnycm/512b0WspXcc+jwR1X
2tFDd0Vz6gq6ftGO0Y5ih9wSEM0Dkn4xdJ4wzFIw22kiVmkCfhYS/V7sLtl0l0UhyTD3/9rtMFoT
+Aq6jITQNFSZlej3K5w+I3l+WOF+ff2fK5z8HxoJpkHlBbT1XBz5vsLxJfbffy5WPzKtRRZNqiYm
PQv4Ej9oVRBnw/CSNew6MyX7Hy1y5k/b4Z9+cxbPH/sPzII4ASLT8ig3S+QvxMklLy/Dl0CCektd
oF6wMmA5brMzHQXMykH5Bkd0JqNGyhk2IHkfubjQZX+e1TMbOTRrA5MxszILCMd8ZujZ9kNWHXOr
cjccpRXhZa/G9lsN0aCtLM4VdjH3WWRZUlm/xj0zJwsh02ElzrMeNX2+RSfJfZ4u5eUgupVBuWZ2
ArPCalsQD9ioZx9tgjVxxGi+H9pdS4pKeKCLgkxbB1Mrv5DANLdBmO7pPai7Xl4pd6wL00VnlpXc
amH400rbfpt2QQVf3ZY5tN+Cr7bf9FfeoTvRemD/SicSngSjanbwMjm3yjHpTta0oS+g0nmon1nu
+e9xb839Aqzaxwy6bUeaLyt2IPn4hfkyewD+ZDJmRR++8Dv150y6VPJBQ/++GZDA4AMmsJCt8wPS
6/rRat1ydBBG01/VTsMpDGbiBQpr67XqfEwu1L3hVDDTIFlz5yI2Uonj4qxxbhFYDHGqIriMcRBT
rJ5L14i4+VdtGXpUuqmJ54LHj5j/3up3iLybq1teH/oelhkVcgrlV2uupFMnF5UlPwcn7QNT9oZC
OlmNL9g5s+WRt2duhdQhgfF5m95ieuFLeN2FV9zfiFLe3B6Fs7lidsV9zKGF/4/HuY3QoDOwFQ/A
MSL02xqoZQUhYO5Z8FES0h3s5JE5Mnu8voEXSj1wk4/pPXI8FbDkY/4hwJRjpnyuPgqPtvD1kJ7K
Q30RHtUPIpafkaabN1sCgc4iy5NUQFeEYIvhDBEMTRdzQTUbNrGcAvtER+viNcU9Xa+NV9jC2Et5
9Av43BSjM7ynlhf3oDQGL6B0TjzB4KVPlOYanhnq6OKmegb2AdYDv+nolIabbPoDaVYdjTDEwzNn
t163aGLShfWg3fOy8WKCE7I+6J1P1Lv7w7ia5gJ4BfZnevnGBXbydz4HX9aITdHgAEA57g/TC4Pu
1B/qNUCPdeFYHyMcEcCYvkSiQeNQKH/vMNAWDu8CVvgs3o143p05/M5un9MFF5OWHML6Azwo8o5o
+TXr7Kl2hwPjhbCbQIFn6QIsmHuN8O0ZQiZpRWjS2M9GjCX15uSYsETvWq3mWWBRi6QP66E31O/m
eydwLDU2aISvg9MatCg1dxCOWtzbnB/dbA+cuqi8SV5gDfKU5x5F2Y23wfC8oj631Nu77iiYR5Sy
DpRhWvFatMcMpeC/bz6iZewSDCq+1SIxnc6/diHj/KOj+2bV0AwJPePM9/mdRt/4qY/+V6//cyGT
/gOpjiIMxfpv686nhYz6P0uSrMHHIy3sF2gvyb/f4/y+H9dI7DP0WahJlYh6EafGf6C6lOSfjms/
ffQ/XEefOumDUjdQEkzT61TFLdCCZ+G9MmDbQVbfSHcqEqFmRIPPNjDRX1o1xqX5Sr94NOFe45hR
FKN8Gscus+viOUUHn8nhRp2FSqPSba/xXHUpb5jrryudxpSRaXcaK19UdzsrGZdSeSWGFFlWCdU/
qguFgKPpmKqje5PbFao3seiRaoolOkzRRTCNcD97rgp9lWXDF4SRmAEyqvQtojiQvlAsjODaySxp
uPVvXy2lO+hBbU+GVC2od9KLp77EebCNAmQ4/W1dNZwOVGgiOKVaMtHw65MRqBSgFVShe1D16bZX
hiTyYgTvlfY1U+qV2klPvTJFbnMddhm6bnXKltYtPJXBMJyTNFi0Je3nG/UtCAMV9JEUMf0IHdwK
W4AUyLVwIS5DSbevpb6IELV1YqtRZieYCfZBK5/kFCu68q4i/2mYYxN6cQly0Sp4UafNNDyNTOfN
oB6HqUIL2+AHCDgJFRxJZBRygyu3ChIrocpdpekTggxftKy5LzpwhCoE4s5YSZP2b27rsX+krybC
zKaQSwLK70c8fb0ftq4Mm19e/33EEwWu8T9JnSeTudTyZ3FG+g/abkmRwG7/mtrNP2NPV3DezCUa
PtD3Ui5FXqw0uM3ZaeOW+kcj/hsH80dXzg8f3eI3+6ydKQxD77MK2MI1FQ6Mbd/sCvIwyhuRR9QJ
YrklcAGGbNeWQA3ku0y6InhkW2CK5X0oVdgUjKpwO5DJowaAQe5saoFgdPR2n5vGpUN2PNbHYGq9
MunWvWg8y9BdMQXPE4YjqhOYmfrLNGNgJSE8Jpa8mTi3SnBiS6Kfh8jQt2C+JUct4x0yDM+CLZuO
75U8XfpActo+oV40sTmocAZnYfwuKiFhdUAZZ1xtfRtdGhZ+U2n9IunEQ1T294FEbGguS85kHLJ+
ExQ5ko6baRxauWTrIYXaR29yuGzVTVwIxjrP8biUQYfQ2YyOqaHTEipoX/LZuyx/q5TSK0g01Yu7
sa/s6zSuoz7bTRZBKci6lyCG7aQt72jWssmK6kNtwCnMk10+igUxp0TIiH2HQ+nGDzTQwVKOQGyR
12tk1HSArOcgUrFdFwAxxXxZBVzkOmjtf/USzZo3C7+g2dPf5qn97RIt/0IXpE/y4+u/D1iJZvq3
Jsk3l+6n4aqodGN0CxHcj7hoTHSI44yZrsv0YQLk///DFaq+pTGxWIDKAE5gKP4nw1VWfrX9fv7g
yrfh/GmBnkoWPLEJTOwDGjapJqbw0NNntgYE6lFYOk2jHUxC45RQP6dKsYnmwmhOtVNpD2rU9Is4
hbajZPIFbsS6rEnjrNJqfyVYTAAMijjVJkjayemtm+HtrFMMErX4Syzxqtpkp3kzBS9u2WjW7S42
JW/sHnJ54mmVly2cJDWkSqqy8EdfhAzAnoQVGL2LJtnddNsIavSaIpdB+SRN1kOVyr5iBWTEMKKC
0k7Me30YF3UVkEGCZpfGI6yXBLV+F94l5ILrXRVg/oBCZI20cARhZPcuhwJpfdXoiI2Oj07s3sLb
cxdgvQ+HlRIGR7YDD8WkbWQxt9WCzGyYOrSk92EyhpfgepsuWie4piL4OgE/6QThsJBPeog5DYBF
kWQ+tYR1TVq7cLmC9RJiQjGhZARq8ZjSZlpg0HACHAia9SJL2SoqUA7As08zL+yqS1DRbW+zjorc
9b6W95FRugLNH2BuQK7yVKWJc+NAcEU5NWEX0DpxUajCAZfZm5JWoGOS0VzIZR86twgP42g+GWWy
bWqoUkp/36XVRVS11Qjvd2C/9HQVkSPRvd2ENYThJKEsm6O87ft6F8e1yP2OL2ojwaEi8SmQadkP
ovCmhXC1GjndGVWqLiSAEkfhCui2NbkpwI6z6w1yRHwnp7H5kpe5inSj3rSN5Yfq4JU64o4utZMr
YX29gJg9HHXbDFhPLD1xbrr5JVJ7C3BqMLlDEGKyEz7qCLyvVfl6uAnaXljFCjqrtvYrcZo/LgnI
SB3gu4mvbRgHPvazpUXZzWmCkBpFU6w1o6OfgNlMqns/aaZz3zav+O12Xb9U4GNpZFK2oXi5ldom
CEriWDt3IluxvAXM4GicOGOZmkzO1Jp7EkvvDVVXY3yNgsYW6itZt6Jd1iNwX2F4G/XOUc3sDZPt
hyQzZQsincn2LKjTO75brnJARFEMkSWpY2lvTtrlWsxLRVughpFidPHZs5mqBtJAEtavFfck1qBl
FjUxEGCnPHVku1YCw1C0WUf+b57eRZkwZnxks5yZg9jvp3d5Psd8KiXO+7GfX/99egcNS5DdjOtR
WT4+NctmeKwswWgwmeSlb4kq31vrM7Mc6RIJeroyb7o+78dwWZGlYtAvQ4n1T+Z3ZX77z7a3nz+5
wm/+eTvWVEEYjXINtrzCeZYI/UckWmhFdqrQgrqCI6mX1OanlP5UB9LHVekaH4Vb8TLiZtOb6sy8
UhDpWPTgVwBtDWcwOV9vEnmnFCA6+Inq10pf6MK+wF0ZqPagHIeb196h8cesWiJB3EhbLLRrxQW6
bxA0udC/EqFO7WCvbWvjYIFWOcDi28z5Zsmzclskz+LrC8A/Ui4WWVwsQN40r3TV6MwpWM7GF6t8
ojJPX4/uUbachb6ocs3WRfk0rao14ee+tQEy6+dr1EBu91Feuvu+dE1Spd6E5pKgJDMXbUrXwqaD
2KAPDu4CfF2J4KTDzky9mZ67jLqF9VhfLDf1Y7/aJ0dIhJlLirTh5MgyY9tE62PL5RGvVMiLbzin
FsKS/7z55NkehT0z39zeCZy52LaOT4kLHsEn3o7AE6TSu/6+OGnVssqO1bQG03iD+zD4/EsCEM0N
nmEWEmvikFHHFwmrKU7Fie8xquWIxTbFpO20F/7G+UwqwceuGjv0kkdzy8JskbeZQFqChubgL55P
fgbxBpuC8Fh0xo9Hku5RPGskYXMJWIhB/4DcdGi5sXWmQSVtMJXhISKltm73fU8QnlNXXqn4YkJi
jZ1AvcXwwuZ7rx9v9Jm0Y1+4ck+crR1QzEQ91PPnSTa20nWl9mi/VrDJR5UV3KFTpcKBmpx2cqSJ
UugG36KaeEDJb+IiHD3BmHPj+DNwzGe+O72PC77BERPvW12xfcP8yxtolJ9xcxHFxRzbuak3YgXc
t/7qbDqCzafmw6LXu9rA0Vvf2JNqseiNpaJ6veSWGCNh9ycbolPb+GB0rgAQHrAcrSGvSzcJmXX8
ygOx25ToQoCjS2vP3zQ85/ExazYEBxHWe4uJDV8Y4OVM9yMutj1yX2UlA3qUqKLW0hIelRpvLP2U
UJVUX/TujvuSFOxDVtHVP4bJcry6MoQgJWzchCpr8jSRUYRqW9cih9XBVQZ+X3xMlEUFBCRmtL/m
K7H3gHK0CC+iOxJ2LcVLo4eiX6PwDenGaU1DszGFjufEj6N8AHIath/1wn5FGUepsGucuCILZ9JQ
9KH6rTmgCSGJl4MROMFcU6eOIN/i27KZZN0e0+D4b15DDIpsKguBpONJniNcfndEwKXy8xryy+v/
XEPmjFVkE3MDaZbWfj7Tk7GKcRp/PRLaeX2hFfTfNYSTgAJUbi4ocmZRdZEv/Sm6MAnsmhcYUEQA
h3DS/JNFhF/vl0Xkx48+HyI+HRKMUKjDSI+gjUdQpDDTArH3zcotu1XRPdCL0pGlJ2sqzrV+r6BY
legUkMIZk6jimRYdKtsJWlfrET09BDta+EtANAu8Z4d0WXl0IXYmOZ+YKH1wE+dwOyGkYjeJs3WR
W7gAAJVSCgAMPnL6yAgVKBfMWaZz2zT3WPCemr1Mjqa4V3f0q51qT4OoM/ZDvMThe4lxfpDOSSwC
9E8aJuaWHhX2tjls4w5szfVrsQ2P9b5ftbgaPKU/VAdcs92ificmjzn5lQQ/513aZ8Vav4ODq/Gh
dnxA2i1EgzK9JNQkfGlfvffyFyVzsnxZUKe/HnXjQIaUz9F/Q59HElovFihkgIPdi/iG4KLiyaEh
oiOzXV+LiKCrSyR+hddQY0gIOzy6K1xCVB10EgXoeiCTxMcrLWVkcIsOOqzuww1h08lhBXkpxfnC
+GOb9z78n/CjOP5Ruflf147Qg/jaNv/3f0vzDuHHgs5883nAkJBzQLZ+2kGgvcOSqAQgSJzWaexm
UT8LjxVGif5oreN3ckqTXbL+NFj+4k2tX4+lvCkofhVyAE+9/NMTF1BYyRqBNw12IvUcprYLvcgr
t5K4rbeIFN7bfgq3Ee7Oa8PZcN/f5x8GO4i8ttsjjGQWy5mrmbzir5ffq9V2Gpc436eRlG8nelPv
SDqUKM3cXZlzbY1G5UV7znMPR6aY2APz8SJaqxSG3hSZhzY8EN2F1mY/Ps5NGUpYsgM+EKIhZaYr
9BP8NpLuIKjoLynu34RQywpua4duYaH76oEq0kV003frSFz1FUKwtsbs3yB1wM3uAIwBy8Sx6m9u
nvmLzJ7W+efrOHeaP43cW2bESixzHVHVdTXmKvZjSOgHIIccqdQliqDGnh71Z3rDi8bHtzU3CINw
zULO0oltt5SWLNL0B+V5J9W8IMfcUK1HeohferHuvuQ0+ZBELIIvpD6xLuLiybDoXwzicBA146GB
lNuiq0Bq6SCxpAlA6Vp54fyfcQOOsHbHtVGAUgD9sai+WF9jMlu0oyT41c3trbs8sHnkG8LrhoXx
dQ6FxDijbMiF/f1D9y1I6NdH/dNTN2+mP10tw5wCLWNL7pnrm2vS1bYrCHtH+T7byMfkwjUis+Og
b4NV/DLcqTbJposIJrLHVu8x90mQ63fg+Ca4XdN+WOuO5md38ildGsvsMKxaaDE+VwiXsSPemRiv
yq+CR/KNrx022kpZXXdE9q2LI9ifXb9SD9cN+77n60raGKdxtY6PyUmiaf8i+uUp8EklvCvs/pju
xHdmxUPqB0ToaEuMzPfh3e3cX+r1dR2AIzyiGHpSVskH4tazuQ52jV/em77wPH69CYvMo/vdLgbV
oW+6M/ek+Bxb5W+exL9qBf3wKCo/AThQKGpV0oWql205qJoP7aPih+vb0SJ2+I7W+3N54EAcHdJ1
JNBmT5eQJ9jUHwEsLYaILjUb9aT2jH30qi3VIyfx84JsFQnA/Tbb12faMjGGLv0oOc2r6lXszp3S
l9aaPX9lVfoZDZ6FvGrPtJG5R+W62yoPzaG6kD3skZf4dD31dMZ37LBwYSRzpEtgy4/Antvd168t
2bVbadutzd1o2pFX3l2P+UP0rD4MnHKeVc8JlnSysp1wqF6rTbS00D+BSWCoU/V24jdrpYuL6wfC
BL84GNzt3z+9szr8dw+vMn/908OLQC7vs5iHt6fBD0nceBQer5fhrupt83LdxO0M0cZYZ94hAWO7
qx9xBUJQFv3uTbvTz+Dvo/vhapceN99iw9j54nkwlp1fvQU0fgfb+psBp86Smd9+Zqqqnz8zCr1J
Io+SaT5Y9g84CIqFWGwKlmvhhUil6gF6pe4q7XKwPLn4UJPV0HqR6WfBojmb1gMbd/m2Y+/f8XXJ
kV0EYnK1qxAYy16nbWOFyX3cpqthA/uewlrXzTnh7OXBhBr0BjUornfWi3iMsRGle7bydQSqgtBa
sBp+c5AeiotZ2xnn0A812yW3RZbboDm459Pkls/WMrg7OGNOfMJC5Ofly7o48D5MBXW7wLip3rFd
CObK4jJniyOVK+tNNbfdfbiXAupHzIj09jgnOIRpAquiT9noC/VFeKd2lVTLRnOMYoXVn3kluujC
Ql3dcmRru6rfcaAldz3sVxUn9+h2NAJY+Ytb7Fxd7ZFpXbCh6enWti4Xmv/RCkc+h/4lenzWcJ5e
jEcOgoPoScUmjOCLgZe1tVd1GycL7RU6uLveV07mbpPzdmU9jvfsvLp3a7Ktk3Bmncvv1E3t3fBj
buUH9UTeFLnewNRIA12ZGpoBF4OgSG3UbqEOX6qPkLkpcEZQOEvrfrJv7MHuAqjjcCnIj+Iiq2yn
Frtm0XyYEAZGgL3INJf9snYanzTxCcWHttcpKc5rrvHevjfnxgSaNq8HaGWlFa2Sjpfn6ymCnbYk
cV3TDppgd19JpMAobdfsvxxTeeuq5wnGDZ8PVoKnXJftZFNmMDAUlYvzMV8BZlcSHwsV+oiz9pwN
PiOATknbLtEdp5ob3E/NUoKdb1COw/xIjsUuW412uGE64+BUvlElbSMMmdBkFqruQLCgBUwVN73k
tYc3gQU0T4Fp2XAzrlQFfXamE0FpTn6fPCYPRLN3wRzchV8VfP5MmwmZvBjMpeZm04o7IMyQc42t
6eTnS6xM+1CHa2/PjLGteIEniZqDkPLrPnjbc9ZP9uA/aly4a3MxYWxagLtdp8pShWJPbgXyMWgq
iIPh1HNVLRI/Tq9ptITUs1cudMKCF7n04mKfuz2pNoUbncTzHBTnmxvYCffQZKWdZj7NTPs1iexe
syPeeeJMjx6LiIbMHZApZQudYAXG+bjoz+VFit3Sb1zDg44P/TF5hUFcGriZFoR5vd4SV/6IHNa2
BWUa7MwndZGhHEbQ03Gy7/ZE7UQwYlirqV+BckH0XLv54rTeDl9BtaTFzuhPAQ9dtBiGxM7umYqj
D55Z9t1vxYFH52/m4Hm++mWvrH/rtGKdQV7443wG+OUqkR7KHFxvmcVML14chfsrQoRz+0jh/Yq3
+WzxQJfH5jRgARzW7B+u+N5oxKNIiqlT316F+1iBcJ+d02fOMW65zALbU07a+jJu9L2gOIiob8Yy
/bsl5C+KhSzRnz7+rOb4tIRoZSOEeDUUL9la78GanQLZn7dlq2Km9DuvOl2VZcp2nDPU12BONXZM
DmKHdAMESJBxi7vGpn8BdpTvkAres/+2ThYLTv6CULB5bQtS8CY49yfVA7VtJkQfUHVa1ITlEYj7
JafmVHG6nOtxHTw6zVF1RilYIlsYfToq7A+teFUg8JDrU/B+Y+lC++FZToo+n6mUwyMtnXRXIwI+
WM5QLaJgO8auxGGg3fXVmgxe5BeyRLzHMn8r/vCa/c9HJXG+v7+7/z+tZ33XNG2Dd8Ir2zkkBmuo
qqHPXlbjMmMCDyc/5G6q9pWLgON/DsfRzBU5OcFJA5OtrAOLvC5aM7aCujohr26VDDYgnuS2kwsH
3Uu71zf94zjuZNXFgQjCp9HQqLA4aK9aDT47uRvEVRg5usIF3sjYeD4ar20uw6PwgWiR/hZiu0yi
K2STE30q/XhLd2UobSaMsF2qyb3CDr5utmysphNiwPkAVO30Qy8jJbFhqbskOaz707hRHoJHPVpK
2B3eadVc6E0wJ5FHQj6C2C0CnpwEPQpphw4pyZr2R3/5f7zcs8Xlt1f7p5NpH9RDmoqm4nXjEsMp
a2iVYICcM2tMfZPFTqg7o7lEsNm88FSZgT8etDNVN9b/SWXKcxFu0qQvuS4w2y1iNS60McHgwJ8N
HJhTbPpECMKI43Q/IihtsJvtnBbp6U/tS2ysEZ5b3GPjlJou88/fzCbiX27pPo3Hn07BZZnS/Qx0
kLicSAjktfVlfFDu+nVPIqXdPSQXcZnuByp5tn4WnIIwngVyvkfhiU3o4gBngf6RXzsmk/FqC4/t
i3o0L7GnPyfHdJ1v+9V8CDHO1kZ8teZsF7h0TrpnnAqu5Kp2wJVd3FyNVBFbu8SvwcnSlowymCbw
TFzAIX60uj01Xw/1ncLpo/O6fbLtl8YmOVJXOWYu0kFmewgBm+I1OFYeYMyH9mjOcBE4aeFeO9Z3
LOzsATbhungJ1/kpOCoUfHbpevDrC1sxjoUHxKXHYn3bdMT+rMuVyBlH22Z8gGZHOJovOeFZ8sMP
g2S7Ycv0Cn+6PhrLyX8D6xmeJMd4Ir3YRbi05hTwSsLH9vYK9p6dPrr8XXk2EcsKy8opjoNtsOH3
1VW8DdfNs7AbD+bK3IYVV4o4RwNYROt3LoUfIkmezYV+yR4LO3oYTgZJOiziJA67Y7JQMO7Yg2+5
5l20F3b6SnXCpeQUD3MW+NbwoleOJaDSzumxu8Nhd6TXuZnPIsOD8TLsRCe+IzMELSoYkY/RY0u5
QlX1dLtT1ziajuMFoYer+t2q9eozoQpO/f+4O6/l1rFsy/5Lv6Ma3kT0vQ/wBL1oRPEFIVESQBKE
JWH49T1wqrIqz7nZmV2vFZlxnBwNsPdea8055lp2b5MZSVW7U70AUrIKorNLV6HwhkhaGVgbdhzw
g/z9eug4eczKnTDbgFlzcP1ukKghE1vl74+J/OrUizbAY+RlURc+lgIAwXmypO5fsWjMNffq348x
U3YqfccM5enZrZbd7OY3k3YdL/SQhrtfUmTyEb/ZWxtpY8CoCa8f5JaPmSU7c206VygZd6+anT+j
Ouim6eQi81AvW3me+A45tVE7FxdkcwW3hTIDA+BZb09fKu1y1y+UIH+9R9VMdePldSevGHBME94M
Bhfx0nvieia+88/vxrHT+qerzS+tFEltirgZ2NsJbYczQO8zbt5NIv3SjgQIZrDMVIhulzg+fRSa
d1+rx9u3ybjBPn/8+UORx17znz6W8bH+bqNOSYNILykrHwyi29NjutYD1vOlJEBU3TvEWiXj/I2J
mGC+mM+oQvSdbZc6E/Srx68ERLT5JDftWAhh2WmL1qZ9OaEHaswvCfhcpMfv7DY50WxQeBJXJhBy
ei4hhdvddz+Du7Nh+qJu46W271/4ysaO7RmFri2T7WpDwsFkX9Mh1AKjJujBvXMvQzYicZblV3Ez
5cisSd9cV/KHeZIRGJ/kLVz1Brk/7q6DxewRei35P97wel6yk1OUFmdfVCYiw54ls8xufXt8F48w
3WdaUCPlFmFA2M/HQsad3hM84Qi7RPUefdAqITektEbSjcxbeKsvLmcPTt8GZZVkS7pdfFo8SC/f
mcdMdS+KU148GT/xxYNkmG0Yw0ATkGkZM6pkRLJQQsjHy2pd0TVTFw1eM4CSsmdtrTCOruuhfcss
X2MlHEA5GRqVMyd/TqscPR/PF1KE0y99d7mi7AQ4Z70JD/qFs/N5mTnf39Hu/Y31MPu69tA/E5pF
0JVr0ofUAw1MRKakE8Wv5brH0Hb1sxryhJvnsyz5iwv+j3uw/9p9frhUfneRFbd70Z+vXPClW7va
AftUQsQ0BL6ahTtedTSb19fasRby7krd8JqAP6LCghR6dRmlShNzXa4wWondZOi87fkIvloLnzMi
BfGq2dRk1HFISNLZg/nulCcwMv7z6E6QCI0TUPY8PcFvBkeOiF2y2yko5dMzaJlLGRMSubhiCne4
BDgfONYUx3YphRn6GyeeWPre3Cb4CFz54Rm3sLhTc/lW5omSrXxbK0uArKN9mQiJdrRFrfLlTLc2
o7epsND/xSup/2GbQ4dxC/tcw3P0y9KRqHp76QRETGyiix8Gw7fb4hqaQRzlk57gxse7+L2nfBP3
zJM5Xsuaf7jtB+/xTZDJNPWpB8TEM96rScEiCzjQuQWjLyMOq0nnj4ViZEU330SzYveIo5123NfX
Zwrv8jUlccHm8LYeGIA64kc/Lypvk8+zvziPjSK5P1iV/vU0f2mf3jQ1N4SM8qH1Bwfboyu8cLIq
l0+GGO7Ns5zyG9w5kdOYTshYA9qU2cX32ROw5J3nuiOcWho3tJyX9SdKRzK9oHPuYGo/tsOq2+Vv
7Web2ixBaCo5pdGLMGH6BRpMRZxIYQ1sDX5rmBPp9dVt8q8U/fip84opvtjIWGMc2Qlju/PJDEUJ
r0Q4uAArWpDosQMU5tI5182T4pAZ/l9UBupYOf3PwuBfL80vC3av6+BDMKIF9wNvc/dkZOSlwvau
LTtWA/SrUuE+F5awIh4sBu8tuyCi8LHcv5Bmw/64qLa+yHeAWsqg3iUDVmIzJt0yIBNbuzv4Iy8c
tpZg346qxA1oI8KiAjZW0tuf7z2/GrARlIw14j+fifprG/dsdEZZ8ExkuGeYQsi7R+OAsZlON8sD
rmJ3iL/vNss43BQnRTjAw9/EMzBoJ3qpmHdwOZYR74TE/B5iKoUPa0bhsML/+WM1/mj6gY6SbGYD
UTIinZ+3SVOrxfiCvzCgRroNnpB45ansxqY+HehmL6chMB1IdU9HWprMdCw7p54lK1Fw8zlrs3RI
vi3XmPBiAyrFdfv8KFRX4DJsVhKDdIpidaPJXL7px8UE0+c0J4QUhBc9oQcf2YKQub0IGpffdXVd
kXAPNRCqKc2LmCakq9abwuQo7SKtfL1iWhaIyrN5k8Wn++cvhST9UWvi96/FL8VS8hS68ibyWgxr
g/MwD43wusE7wERX11e0FvjLNiXowX22ApKvgbOlG57XgdX6pWQ3V+/iK69PGi9WNs+vbL5v98FV
JE99u/yY8Uig18plykEk80XNY1EisP6prJ8muZYvF/jLyN6u38y+6GAYkg2Q1gAJfQlq+E4rxjuI
aKzTOTT3tOyueOLqCT02Or0siReVoGRb2nC5sP2L29tM2NfvNBjTUNiZJ2wjNVLqBY0UobF1TCGs
DqwnlQ04NXbIxqNlYL3lsL6ZwjJNtoWT6sGdPuUr7RDvaUZ06y7U6TS9qMQHygcavgVC1r+6ef5o
rMnEXlXRfWmQU355E0jxvRbWuEIO64dzfkHQAyaaligBuY2NubPCAB6Br/9IXy5hu64YMU3qp1O+
m5sSml5O0z6ZvAOimyOD6hpHj2lNB8Kn8hcPlGnNHy3m+H8UiaVJ4TH/spjrVWVdmjuOG8FYxl+c
JecZNvZ2ejHnVlLYcdd4JOhhR53r7yWgjjpStNB6TBUTkflLWoBYnd3w9DVtGiTwepULfRfM5nhw
YhyDKQD25qnyXrgC63QHWXiMS5UsIkkRnpn0puW7r6ZQvit2r7RycMDgxy6IC/YzlML9S6Ot77eZ
eYa3zFtNuw9Da/wsd80YpPV6qZeEE0i3nbnvKOhWAjZK2eR84bYCLL1vKz/2D5GKjCOMROtdTTmU
2lpsx7Fp558JW4yceFYzN264ty1uF+7dBwSjKdOq7Z0QN0UlcA1FDcJXaaY84TZituVQls3mY1RZ
GpC6JqAo+7giy8Eou8/Z7265y0iGX9oDW4BYxTbwVVfeS8kqwZL/dYE3+YmsB3UuIxdmjTfxGzMt
tk7pmFh2T3TITNuloMYOP2yN3bJb8jcU//yKBzG1Vs+jToaejPTO6ZbSHLfj9cBHrC9tR5xnv+iP
2A3jKZ/fwqPkxqD67XwLhG6Yh1X2EtOTFRLcR1FDfQGoaZ42k3ybhO2seWm3o6bI6x6FW3z2MUUD
8kH/ukwjtlJte15AiU8WlWcwyEycp8e52lwya2em6iYRw9MJhxNK9iZoAkhYxP+Rl4nYak8dGQ4w
0L/qIFszeJkXb1qU065j6MunFASYyT7I+g1K3eDJ+nAWDowrmN3lkcDsqrxUEAce7rP4ImvJv+ah
RGo89WL1ikTB5ET9VbyxLkjR45B+A/9JNHnS+LKfVJMKv2U+0jfk+eNbO/Szq+jJ++Kdq+3+Nkim
P2zJTsXWjF7kxIl8PGLt7y8qE8kbYz9logilBwWobQE/zhM0esUweRwJVIk721iUYTKx5uX+ti0X
UomdTDDWWVC+NLOHAo8EWYHOGFNfMMfozzXtKO+Bx/rBgGdKZPDIQ5ud3qKYSa40V2kr0uxGTmAP
9uc+td7LOtTgVjyRaHuNhy9UcwU3USddeHX7hTgTIiMak2p8lAiqT84VuAcaYNCW7BLm14yqqDQP
NzfxheQUe5abHc++4epoLiZ1gESlskJUfdN8/kCdvYTk5km7sxueXe1tCKvlrQLONGGdMni0NYEk
S8Lo6l2HbXeXv1j0T+iySZe5QTyve2cK1kAwLXOJFx84xYa1dkxTrT2V8RgZPibVEsOAhuZp1JyG
Uwcf7rNYKd5zLk5RTDhEN6ZBF/Vj1vgQ5QdhFi/MUEQrY6vL9F36vn72CzXM18xad8L2AWD0Fgx3
JhWO1kSNFJE1lksz647RwR6fzSXsCXJl17AYy4/CpSAVZpdhqS7vg8deflMFuGWR+MoZRRoioZtm
qJU0n0YtJwZe/lIPdaztpY1qSKGKbMNGDfATIuNxM664z+cjlFaJX/iC7sekqfACQKzrUfN88HTP
ZI7zW68GrQHUVQHO8SJvxIN+YCbz3h7ZiPIvBvQmlniQw5jTUeQiWHSVlKAxzMMXRyvggUPSfiun
kGIr00OBycDjoeFQbyPhSClPpd3a5ke9kzW4UueJ/gDCASt3Li9TlQxDgtwFRpC3xDWGoJqCMJS2
l6KeDNj3f2yOr4BNl+U99/PuAWDRSRfMoOoXCuuvx0doIIsRbWWbznvMW9WrHE9LhxXmm4DcRHb7
ZERfWJHqX9/a4uUSZAd5TZ/xPtNsZKfTZJntpFUfcy+8jlbuS9CbLty70w3hvfFSXRbsHxbtiBu9
tTezI8qaYenzmDMlrR/PMe3sXjeEEBF8L+9zbMzDXIfRQx+h3D8VY2qdEazIU/n21cMowcZwb5je
katev5TG4coETj6qGDhCAdFrRR+C4oTm8NkFnIUW6wyHZF2wPF4ikff9YU2HFwLafZrwxVxp3gtE
A8VBnzHy6D1aa6wflFwMRRGIOuarKXvMKsIilFjWr6jg2F2m92AY+4D3r+YtRzwH5Wsp8MbgWrG5
lBxljphUkrdGtWB9VwORlmMH9lVfQim/TNJ3QvDoLawqFfgCmRye5aVLsnra+hV/ih0jFutFD2yA
NK/r2Zl8hGKjLm+EO2HgierpbTfcQisl95qMjH4uVT56tlhcdX0Svs9oaA20k8zrahvXXmsu+mxa
mGnwHlhDORnqpViubU06Lx635XXCyuyl0XBfSNqC7Mvu8PZpdAfYFB1tCxpRLbfz4hbciXqLCtJi
QTcWO+PCbETb3HNm2zQnhfCmUvhCqJXohaziE000lhbyMPDrCG0eUvebS3WL+IMm4Gv9gQIEpTVc
Gjn3R03ehHNDtRVHxu6u5AM79oncUVbpDigN4uUKLmRI25JjY/3CqhgwSC92j5estLvFfaIjUAdi
ManW3S6J+g+dBnI+vUd65jSyuxDJnX/vJiUT9TToATekUwNuMO3SOsrql/tLrTP8B+Bw25VBaX1d
y7NXXZjYt3bRfFso59nGrt8caG6vrEnlSQjjdTtjlBwhVSGKS38GBXm551UN/gext0SQDMnVPJSM
LiunaTJWR8ocAB0aI3QgaysCziEiq0/87hhHyUtrBvXD63jFMp+KJWBW1360TUhZrTqJN+gzq0Jt
g/ohvmylJ3nu9aeq635jvJ+BNASzWH+/pJ8Dh59nYcFjpgYNMWR2XOh7HU1UfkpA6tf+JYJomkFd
cGVa+hmTlH23ru6jvZk71OQnuSxqIOMixMR7TG72Od9nhyJmKmC+UlY4JhhRlA606kUH1omP75Jl
JnaoQu6EKPpU5GyDmBZnfJ869tj2CtmEwszO5PGCWMyWXbp7qTSi2JVM9xkNeIglQa6LAc03wnay
LZakYJDPQQfVKrxhlupfdOv4/sr8ayk9XhFaMwy703Qc2/n9NYA1LeguQ5EX1ZIDdNVqjN7EqQJ1
dcX+BXrTZz4QNJNi4JPd6wyfTXCLcpaUx1F7vR7TZf2hLcjrosP+5DrlnRJozVsTaZn4baBlUQ7u
dvEKZ8IeNZkRQ2/3ujMn5yBhfGBurhMlwnM2yUJxC+/qfGrBOo9ZKPAZgkYCdmV+tSnqWWtARmc6
jWkn4kuOteGxsBgDPsqwKidyPLlcojifj12EOHhSXCQ+i5L6iBpOkt264ei1inm5mUnjaeVMwUGb
mxCAiGEPH/rHeGDyzrdjssJk4TYqssCAYT5ie4F/p7ZiBKKOR96IlEdn1cx6VSAiwyHotiWnQdMW
9zS6dJNcX+ndXn6s1AKyL3KZs2PY6CwYnsiuRFxb4GD0GzQgF0Bo0btwC15cmX5to4Z3FoS7XQZV
//2k0QBQtPgsC6f8ui5bxrj4r67LTNsMj2kTb6+PV4XaGg613wfWVwqpn4SZlkB1iR9EI1sBYv2j
qv7fP40gmx8AhFNRDvU5Se+//PW/t8WN///P+DX//Jz//vmvfMk/vqX7fn//6S9efj/fKfa+6uHl
q3lk999oC+Nn/v9+8B9Wpe1Qfv3X/yqL5v6eOcXn10/yc5hCJkhRE+W6qeuSPvZ1/kS+Tj4YzZTf
WaD+6Ov/JV+XUTsQ8aUYEjBCg6r2N0u6+DdVkYET/oBJE/PAT/1Nvk6+Fw8IBTvu2J9Q0yR/iYqI
lw5SKRxUNPH/lnpd+qXo/vWRq790X/v4KT5lM+6DIRfORVBVZ8HLn91WfFIw1lKjs0Wpr1VpvsX3
bV9ylFdQbIiQcB1dAbrf3g5mkbyWDDye6m3f9bdIxRwbK+bqckk/yixZFNnVJTzM167H6vbRIzRR
GJckLZd/NRdakqiv72ayrEsQRcyoBwlXaBZ7RMw8gP5WLaE74tWTxGouXpU34zwQE8HxoVOCVCfA
TzNZoqddJs8JpY4uhHpJF63hCHQ5pNK+UW8+l9n75YmntNFZLqmtu1SlLC3TCWAtBq1qy+HvrO/u
GsPxSxP3MMjKq/tQ8r2YtQQ49m6ecL7EA/SsjNlgyE4aQxvMde9OcmAiXjj0iofHg9adjlzlQbph
ed0+GC+WsdZTblphlaYTMuY/Cuv8Jpp5VGkIqIRb/JkKMelV18EgUrgljkB4NN9ii0ZBaFt4O8lE
O8v1BH72LNNKi80rjidDuiw6aW4OQiicQ6OKe6Yx5bvc7gUOKPalfxDtI2VzvlL0nzf1/T/5ziY5
b8xDwT5icqdx+/3JnQ0Mnhvg5zv7f3z9b3e2/Lfx8lAJrsb38jMJVCbUb3Q3GvxGi3XsH/12Z+t/
w7zIrEPEvv7jBv6XMUUnqAWoJ4sEIAqDG/zfurXhafzcV+fe/umxa+PHfzejsuqs1mJxwLQYdF66
QlwknDjsLo6VLbwaviLbWN4kG7qv/YE24JVGBG5h+4NDJ71WR7MfnsWfEKdNx+GlGVk+u+R79869
MKVHvLi8ZSv+TL+CcNdIWKrONl7lPl4+PnxxUU0oHx2iRfwnHv0vP3eb3dfThnK50KbJVHEFfma1
Qx4xiF+Avjlv3A6WgzBl9ejsF5ESFImOl9EG/jpHjbESSd2kxamOIij+cFOm5wyTjP5W05q+0Lzk
jlNW/ApV0uj8XMfvaFnhtb+HfIZf1eJ6ULFGomwgYZ5ON0qAa1AdLQ63iv/089ndtbbDxUl6BnBg
pQhaNbYF7dqyP+AqKbwW4ZGK1p64XNBq9icsCyusTcY159c2N3GH5VS9h+Lmaeb7OUNwGciocRn1
aAJ1V+k9OvesH86sE1nmlT3NgIq5INoLM/9qu3k+ZHj0WEiQh+kTcwfzxn7OsvZwQ0b60sgYb5pt
R5XEb4iDbZlJQy/Qtk/XVQF2FA1l9fXMxLDJh2Vcsyo/IqKurDi698U2AWJASauHEEA5SUtnr2SS
+PAqhLGeukcgWzEVt4W7dykxl3oJskp0k7M40jhR3reco7F6FgC6voES0HW2kHKn8M4CSQa7Z9eT
djbmzW27vZGiXPEqcSmKIe7Ys47BlSNZuSV6kzRF9Cdk4xGWWk71794d9ldhw4fTTw73aGsI5eXK
BJWggo9+t6xAsAKRQ2cbNGxSdvxdTg3IOuJMn0iXB8rLp6c6uE85brXoo0VXr4cRFJeWm7oMsgJh
/bR+ZKSvNE0cDXo3QYI6QvhUDyrfu7S9TonJMUDf1mO0inEOuwkleYC5jxPeBVK+jBLmZlc+oZgF
rSMlPlwp5tG0A1ulK1KiSy336e176IA0eHzq6aTdVs/e05C0YEolGy40wu0EHe+bqJyGJXnidh3O
fX+53G5fJi/2y4yolLfFIopSWo7PSFknk2TyJIpGnz1faIiYs5KUm5gYlzaydo8TWiX3HHyVU3ly
Cngk9sp785xFtIk2307VvF0JzhzItQzSK2mZs9fG7XHe42OdVtayfsIvDe6da9zABVOcuWS65OL8
zgxIuUgORNYGGZWDy8TB2uTpAY6wSKQxD1g11LhhrqGcu9lj0siT7BykmnOd6uzcIB2EUL2fJ1ed
yABoqilW2KzBnqY56CjIGLz7z+NTN3YktRA2n+iTTvFu+iQ+UKeI0V2eFBdf9zFyue1imMCccBTP
DOMpBDuNDiFzInkOrzFvVrX5imiXnnT31OBcCY4MqVWwFjFPHb0Jd7iYrISg3iueehCOzcyILnYe
IPKlpba8TXRb2kOyOHXjO+ooEUrI6dXhJnWbiRUYqJaa2R0BIvURnbm7F8PO49pCozSqbjVQuHaU
Bt+X8A3x5W7wR3NxnGKooK2MrMk+KYthE09vwP7pH1T+7URE3N2n/1xHT8XLT9mYWNWtn5/YxeNz
CN43YxB29UF1kEMYf/VLQMHIya7dXqF8BCGcJHTWmf171yvu6gx9G5rvmlcmjcnCQES9K3Kf/vOb
3AR0sXsGJ/JKrTSnnj5R99+5aG5h8vgUF8/mjRpyTHwU0gNdEDgdJg5vK3rGs/rdvH3e5ChhelUs
ihjvCarMo/yaYDpAJI1F+evsUn8wOA/xdmCZuW6G+3R0iUciGqc6yCNzSjYObamcAMYVS9Fe2/Ir
IXp4I7cNMJJNPrM2V+7wSPrs7PB7p6cfCXMGRlDf9JT95MQzQm3/I1NI7jfJKltA4x1RZrwRwySP
srU4FVbIr160lbVNSCIKaNVO9Nf26+pWaii/9v38ygs0L/LDPQ3LepcfG65ND9UP10u1xlyDIvJ6
Qu+jvNajONIpIsac9+Wwy/zkKH1c1ySoL7d0wZf58rG7sL/dp5ik2aLy19tcCmlJTMqt+q12bs6q
x3bKDNGG6MtSxN7XTrhzvPSk7rhnvK8OmsB++1It6JTti4Xs5StGLJk/6rgQsMEC6H1aYNbZvU31
F2mlZoExYxA4r9doh11tJ3kGonz6h0ZEXBfKnOeufLnrdrvgFvEw+TM4cmXmBlzVgbLPvJtPLxPZ
5mhCtZtXslIKRwyRzOEg36I15Jhp6wiyv1Hjx8Hg3VflRPPbz4EtDqeIPUxFu9tePHJQA35qEK1L
93sHgZdUVZsanugW+pSXCZpeZ/d+XjFKoZ0rA5ukQGYfJYAxavGRDv51lbzxHXq7mizMKW8PXc9R
qNcHOANdxFVX1N+uPk0jtkda9Jdj9hXzR1RXx5tL2c12s7pU9uN1AHEzRaiSuFTmxYeICCkonejh
Vq7NJU6TsFsqDEV0H4nWKymqYCyHGUeGTUdOu3tzd+OMIPbOo/q2e81gMGIwu9jGFjnPW8v5x87X
9Q449vQGylJVHVjmdC356iiLyjUsU1SCN5ex7JauMO+6HO2hAfB+0LBfEHvjPOzve+KoU5iWMEEZ
ozvskRuLwCx6mI5Aq4afEa0VngPWFkQBU9yqbBaOPueP8+jtZLK6HMWpHJ79NWYLt3S1CbfPDB2G
KnlJGSHTaF5Jn9z9xx7wkVyMSYkKuiGA/KL4lyFRMrP/3x3w/+jrfzvgw4+kNNOwlqv/CNn+Z+kO
P5I8bkkkNwS28e+d52MWFNWANJ77fzjWkcH/iyZHjrc5Ei9/C2n8raOx+rse5u/9k/+H95ii4OcD
/q+P3RiFNb874N+z8v6QBA4r0q2wH83LrcVmGuZoRooFXc7yivgOxLp6DttlrkADCXDfiPGMmW/q
SHb1g9TerjpccVS/QIYlpOncU7o6kwfpaKTH+9kjAqreXp902R1RfbvKxB5yQ59tZG2cAePM/sjd
K2piTunp5rpGvnC2QVRV1Vf+2W/FXb9lvtujUeh6gkMYkOj+c9oXV8d8Hs7KK9FEdNlSH31jFruA
JQkfEDQVQ9CkLeb128C+1nMC6A6N4bQrUL7kBk5hEbd0t8A1dz+iF4UR92g/0tdhUT5CQMY3qMgf
7H1m4Tzz7W0N64Qx6BvdYNwW2ozXoa09aTv+Bc/++I/qDiz9sOJ0wSj5garS74+XwWEiqFJGGBU9
6veuYsZU2eTAJTLy6HppoP3PFlZ0mSb9ojKCkZbbbUaJkepLwTNg16fP7yuR7D8mVvSY3FZMhUIs
lbkZ4BsqyHZy4L5wzI2fzqMfI6dkm/dKvfvDgkEzHOFs+lygu7RWZr+SYVgyZk+8Ey8TClaMw4Rw
Ft5LFTToB6ug49E5WOMo9m7A8SbZdj5HTsd2gzZ8dQ2H20qoUHaKweVwQYgMciVdfl1/ONbbIrxl
C4wjcrqARFYaARkRPRF4krF8EgvGSkoTVYL1lWb5lMSRjnTNcXy8KaMuHxVpaQcqg3S/Y3biHdJm
l5OKzHOnV/D+1f2FPRNEFNgCQhxIXFB9S9uklseilwePafFBGjzw7DVRJ1iwv1MWzvuLlU7Kc8BR
NJ3ouNF2xtfF+z77livMFAwYbZj41qRv3yr+7WvEBRO0wOYIL/nigAFY8xthlCZZoZ/u2gk3HEBY
bdHw7C5T6qxRjQ2Jd2462YEIUCjckAMkjotsZhmhE030cEgucKhDXeyfDrkz5pwPclK7IYoi+pKQ
CrToRrDH/DasBe6W3jd7UMP8M3VadgeV6JoQmkvscJCHl9LmyrQRPD7pzF23ZJzRYc+gYD4Y4E8+
mtviKc40TnfpId+QaFXdVmW+rZ/fVrbUU+BvRpSLpicnrwP6evxmF2Op3GuPgrdZq1+t+Gkm2EzI
PlilTP3oRacMwZgAZxiJyAQORWKGLQagHQgzjnDn+r58wo3169V5XrXz9hUcD9YqcXmOo4uiOXII
C9bGxvb+Nns1q0kfMQxOM/s8aw4qw7jGpc5lg+NERYvZLZC38t8H2er85zOi4D9jVJU9iCMaHOPY
HB7l/NZN+V4EexsG0wD/OkNJ/TjxJ3NYaQQtcB9OqoMsAbl2Y3Pe+KQmpN/PYWLsiGs0NkSCEjKq
TpOZVpFrKeu7ZFYcFAIfzbnWApt0gEYSrxzAZ2qPGqpKrCAfqeJfOcGTKr1QSp+oAq8+In8NO67j
UZdt8z9aAEn3xRZFwBUv86JRZzee3x4sbwKxyQqfvavsa0wV4GdV5567leI+Pu+FBwchNVCUsIiM
whUyV7APcM5XG+dSj5cyqiuyLVlp1ymnMSuiKlI8Y5T/2N3G1EL+d8q58AzQp3CRtms9RDYPDgP1
AwGriYsg4j5qtaU5S9HzSHgmn4aKBXrlqtvcTgnKblLFTpQYjGm1nbVHBbxhUVqOYZnSfJjQuS1O
9COQ/MSQRO0OjDkLKYmms0cXlAR/n9dPdUpkqfZuOCdo6hWVCCduNMIsSLf4+AwIn4BxnjJbv63i
zHRQ4DSQ6320pkqDhHHJvMiP+1VlRfwkqFjbepiIcG9teO/Z7bN/YWG81ONj4PP1OpK3jFiF8iP2
WeESwU5fiVKdEKyKqWp1YgS4wrT5bjA0at74jhKeOfeMeZ0CLQc/ulETouToQzgn9BTVg/4GVxLr
pgFR7gXWvBlP6Fzjf33rVky/n+DMq3PAz1K63FaMBY9MpMlqn4Hu537/crYAaTVipLiWOEtfH8X8
BsYcCXHGAbwhSOfiKOyUd9JyNO/WL4RueRUCYc9jE77OzviD2TV+JLhyVkvGfwcRKOwDrkrOq+Mz
4FmaaGD8bArSPiyHMLdcnhf1HD0eA7oh1wUFI8Xt3SHNdC3NGTLNrR4gmYt1eBTk1WtDtZ1yPeah
fzAL85nHZV6/qzZN56uVVx45POdHYYDWtLx4aCWATASS6RHqJ08fI+bQ7XfPLxw1dublEb9TPmD+
/gLczkQsq53r2xWzKajKWbPFEXR+q4tA+JbeH1vGbelUno11WBZepkwQJmC5PGUHBX6THPTwfsw8
fdoG1RIz9LHYWFQMpuXfD223mTMGM4+tj4PgfjgTKgKm7MSDYySJUKKfV6KrafRdJoMeEDxOdLpd
H1EtDvi+vba3ZVQnRB3PJaQfKFDSZmfghT4qqCUNMXigTlzyC9EieK7rI7WPorn8TQ2T6xvfQ7gG
Ch48uott4vGne8I0Paip1gBZLKUlafUAYgm2yRfsPNKmQUoDSrpfPTeoqa4PHz2L9InmpEdaQUOw
WaQIvB6TNnc0V3OHwYXLgZgT+3Cnr1N8c7jb0/39vBhuE7UMAAyMLqzzokmx59p3dC4f7VuN/puV
mtCljm6mG8OiLwOmMMTvrqwZn8e352d27KFMX2DNMAfEjf96m8bvJReY4VA3mqQTjelG1+pDSY+X
khz5dir3KPvWXLy5VS+ZLas4nWK3lhxGsOyiHdJjUZ1aj9eOblYJ6OpZhXtlbABVaHTq+Chlb5eE
RYwoRwwO38N9N26QevgU1vEXqdlsdAQgdTSX1kinJFp3gw3LpcKczaoL8R9DJ744pNmRsdFLp7c4
OXLtdebxHEt+WjJZsYfGQW+eXBqbMG+T7dJii370+6ROpn3+IS3VeXbgBIGmR0STm4x6YISyyeY/
tvoBOcQsUCERXpZU0Ph/MbhUqBh+qn7+6Ot/q37EvxHVIpN6pMljztnPg0tmmroJVUuXfmY3yiSa
McjUgfMC1Aa/z8zhN+6W/jeFJF/FQi7L2OTfjEVUfzhsfuca+PWha7+4Bs5W29QXQ35AQaqIDEHg
A9eDqQRJJzUoB+LPOBwXJLM8J7l7C8lbQU1FAtXNRnUipUH++ZxxZFUdIkzpXo/N55uPXwyGhbB8
3OggI7TztFN3mWjwsJsZiVND7d8bj2OU3gCZmiV0r5L5BSGbTHtuiXEZ6XY2Syc3aAgwGORj+7Ar
zS5iTuVet1ZaFJf5nrQxjpUgwCCmOJbiTasUOQgrYnuKL5xIxNTJavc2UsKPZ03e49o9e3ozIzmJ
Owg6QKYyMLSpEEonYw5hIQ7hdoQlRnoLe1YdUcidoVqeJ8qyc5K9LMx6yVUSzidf8eDkM55QkgCb
AGlkTM5EwgPJQulXja1GTrYEbTw/kdyziNV3F/N4bzRB2YZl/FJN70BbOPGUwVXEeAluYwZhhEZ0
6kzLU/JNitWhxoQ5s4iv0WY6PcqAss0v6F4uaiMgNmYkUVJwIaQhQefux3sO6LX4haaWTzIVnxCb
dsUf7xy2jLE+I2tuWFDIlu2U4JrHME+7iBwavvOPJLElkyXkGZYDSYxgXrqAlKCZVoz5OuNXmy+K
FSIqobuFcld0Hi9n8rNcfgxjqdl1rChJuyLSRt2luPWMYDiivKbAwpuDWqZdcdmMUfU0B985E/z9
x1qoZvx2ie5VXMT/l7uzWpLc2rr1q5wXkEMMt5lKJXNVFtwoCsXMevrzqez+mxze4VtHdxQlKUFr
zTnmgBcJLw+IcOFGhhG06i45gI++pgcil4f2jANh76RfWL+SD88QbZGjgJsOeq7t6FAsR7rDuWD+
lV82ta68Nly9fGrOI9zx/nR00RKbezhpTn9VF9ylteWZqPdE9HSs3PIFj08eUQidVLwNxoFXYwj3
3IrD/3pmtP3tyZleO/gRuAiAAMjJiecLG5dWOMFqjYwirVoK06SOe+PguSh7y2Ehu5B0g518VJbS
UuFfgmuMsPfurHOyLsh6N98IloHFMuN/O+KqUb6EOAlla+BjB2QSVnNha/XNlN9yUiCIiJsxVgI9
d4HL4Ih53YaqpzmqzYPZoFTH9xOQrORiEoe/OgsVCE3fkfsjvmPFdKLYopKkAqQQ+7Og+vPr8D79
m2rHE6lrTIPQqfCvmjOhIKvIn9P4uzeev3tDZS3d9e/Tq92/x2/tSbGnhML+qu34cPI+FhvePIWl
g6sPB/b6dzMWKJkgXeFZkcprbFqjcJ0065E927K8Z1d4jqWnBEtu0lW1lyjgzO01DPa8UpXvRyj8
FqV+2kK1zBrsVZD1TdMMeJCDAcIa5MJKg4wj7QXAb1n1VmZEQI8ZbcRyo+cLOur3/+xW9wV2wbwB
7MPxjvhN1vt/mOTLzOZ/2ur+7vbftjrpDwbl1jR7/yu68xtDBwRQIWRN1TRN11F2fWfoAPNh/Ccq
FhSd30MjcDEhLsICASRaVP9XoRHyRAP6RR6naCo7rYzcVDbQx/yM8nVhpedlmoer9C2FLNOzqyXb
Qd0mQHxeqqNBmunjvUlvNF4Z7xD8NtNM3IYMOt1zgGdfSTi6w0RTMljcy3tTpIzTq1t9beDJWPWH
HGsXb5/X4zYUx01aYgUBn68vnwx9fOsZlQc9S04X4vjDdM/cVCFDV8Sh0cfE46U1TYRz+kzCdzsn
jIX5lr8K1gQJ1utUtNaoU5TmxWe7Ed0Nbn7rDkeyCuLnenSvZTWd34ntX2rjseWan6wg4UX7hNwa
6k5UnYWl7ChI1jVjhxFR/oItz0kzbPJaglOtOzQkhxC2sL9BwDSS/ABDIMYOkyg2VpYLmxOk5Yy9
qX9DUwvi1tIMiDjrJ4Z5NfHvk0Go0qzHoeIaiweeKDRShvaoqwxrVglkgM11Bim2vslgJtz8R/lD
vFehRnP+quAkArICG74NjlgxzD98zTh7B/wgH5U3DbpF8jI6IlMCdWFlOyGEo9itPoP+1uCM9Frq
81WGod/eb4/5kumMuC334XO+b4eluGK00q0Sc1OOZ7Ix7oPHxFjStwKHbCGN6qFT1XMJJ7Pwg8Dg
3l9r5UtiN/6OaSCXQOkzPqAzs8CAaeTstymG8ff98T+7hECIIb7JNLF+laHmfBHu/mkJsThzf5wV
/N3tvy0hLAdE2chkz1D7sj5xy2+LiPgHgVFTaCIl+uREy/n7jQxk/DHpRYla/Ba2+L1aNkgNNiHw
cDtxiiWX/hUZyPplEfn10OVfFGtZLteFKUXSUpWBXtO6zSmWxexEyHV3yP0KpoeWsekNrTGs+sxP
Z1kBHi/GSuJYuh8srBGto9E2yIZbj2lA6zHNxOoGsLwNR5o8dCwJrjAQPQh3oeaIhIWRG7o9xcZY
Lrp4yS9ix5j0Rp3Q7Qga4IPZCieUZPAUQqSWaddra1fypDkYvgvrpYp3Y1cLsFlVs3tIR1QSfptQ
NQj+Rc8EQN5CSz3oDRxE2pEZHCuwYgwI9FZVwilIIm3X9Dh2+RbkcRMLuEqON2FrHWFVP3ahcKXx
WcZd96F58G6k0t1FljofXf/ZUHsSARtlAQdx34ftOsnMfRf0903IepuCrQ/tUhSwuVYATiUBPYGP
yEnoKveB17m9K+NGWmTj4+gP2TWXu341dpCoBebhalMsdT2BMil4Y0DqVrgw4/zq9jFscWshehEc
ItXELRPhXtsePJN6m7pALrKtagFdeJIT66bdCCzzIkIRIhD2Wj2s8/S9o/0AFMs/whp7cWwkVGyk
dK11Mh8W97gfxYtOxLg65J+9vhmFdk1wls3+YYnUy7iQiSExWrBtxqZcZuwu2L1b0GfkBp0vAbim
vswJq40x26FQjOkdXGOnobiQ31T3TkmOlv4s6tm6cuNtFCu3vMuuSG5yqZBtX+Qu4ROFmXHvGRW9
TwdTZxCMdYXHQ1FoByWpd2n+MPbrSJDmKiaDMWrK6NRKU+8FliVYe33EwS3X1mL9ZAmNXVaNY5So
yawAzVT83JUDvqr5zoyqdxLeURipLPRheZ+I5rCPCgn2dMd8yMpE7Gczjem1mLNXDG7qCFWtvjey
d2cOAUqj//JCqSusPhQ2+kSe/B+1liqJ0Cp/GKqy2vx2+28LpfSHMSXX6liFm1MYLADBt4WSi5iY
itNcFZ9ZEoO+L5T6H7Ap9a9R69ffv2MK5HwxbAVOkEj3Yln7FxNV7Vcbm1+P+8uS84eBahWngyDk
LmKTBZoZrJlU+jB9lhyMx/SEVRabOGP4bj4wFRrWqgnLyonA0FNw0+qCEJYRG4KLZj4iMfGQ7glf
rEuBtBNoN8uE7KA63IlnPtXwiM8jtpEudVuAKKM/eTkyNtC7JHkPGBCZ99VmWPZHIMeYwViOnxCC
BAAwfspFXFup7HxmNYxLc0DfYyduou65wUc7wXsqWMvVS1EQXeWMSE/KrpwN54n+l96mNHICFj5B
MlUsjqdxjfiBuBA5axufe3FWmLu0v5XtKcp2qvSoyJiUPSMcO2nVg7RlwugZgHXBp4a4RDceAt3I
4U9f0TbuBLo3wXoOeGB9vCsZbnowp55zhziGzjgw4vJ3xMUO6VtS7giL74NXAg2TdJOzlEnuujzl
T0SVujPNyet2nlNCmm8DIb8HcQP2UZpL65hN9lWrBC5futIW4wGgH9fzrt4zoKDDeiGbFfKFQnVo
G/fpCtQfJyTRBqLXeHVVuycfEF0NsOuMAFhDhXk5o40UzT09ZMe7ITATGS/yWjqo2KTg5f2E2CV8
6C/dE8YN1ssUwj3YJcPAwRY+pnaUO8PeAQmpzePtZQSqzAyhAK31XX+JWISJqxXYIIFZ3+kXOaS8
Oo3igoP2rEu6cqHm8dt0P91peB8JfSdaNl0xJUHBW+t33Df3J65lFF5cyt/pfZlUMEToThy8cBve
4XPikhnurResjx1mxIxCuJyH95P1cJTvGHdMcbdDuVCkmQK2L34yC6meUDgRbsgNDOOANq9hzmnZ
HmRDtoK4RwHpMOFAWp3x+bPGl8qCCm/zYvNst38+UYR04+ErrDZlyIGNbotqzuGFdBts64mdlWDb
wK0HL+KcYq4lUlfbhdNx3kj79twyVGeYpSOsZaCKN+hDPVfaZ3OlwYlD3GTHwBPJ27jvW1I1ppYD
83l3YojFc1iElLgulKV+GoSFxrXK9nHCfJoBWGM2ThDBRiJzgjHgmfsXSEneIANfuXXGIcTmg3If
PZpbgnIVELR7HqJf9s/dcTooCADUFkyMmUVvp0p6z2MzoyEI190yjkvepOAc9RxJSloSmsaaWAi0
vVyVdF2TQb+5Uu45Sqh4jAO5L27MUDCd5Of9M9FR9VlDCg4La5Jwzox3dLfGzmRqSaJUsB6zPUJB
96N8tN6sZIPPZ0OC7IuCutceaXMwbmVosdVxf2aWDcgIEMRsXF7hGYoTAuNw8ufvrJ1hf0YOh4AR
wB1fRmSYUbPgZRgu/hIeWHSs8akvClxL2B2xgTKe3Hnx+q5j1avCVBpPwip43Rr22VpjvoQHxTHj
SaPYfcNo7C25a9aTsiianattN4c/cSDQZCm1i+ZP25L/oqroC3HQpAmdNxTZIGvifyAWE3r/wy76
d7f/vosiVSD6Atjf/BmbB7JgA2VTFAEnJuHD/22iEzPJAq8wNVMhsgDNwv91G1+kJXAOE6Tja/f9
V5kYgCd/A1n88MyNXyALqy01oSyTcFUs1I2EitOQbeTbC+ydgPk2pQRfTlxWKoO3SzPMkW3TQdCX
lG8ZoDDkR2yMIbwR5cw30AoLV06IPhgMS++ZlsPAn6SQjACR9LtzKLRByGq2LA9GYHO+5Cw8xRaZ
jpA/yu5OfJY3+lKzzfsovDLxYroE3dZn5sdZeEYWOZYLDY2CcXB74qTTN/AV/lRt3A/OP8Zlnupk
w6qECKOvh/FJXPoWqiG6fMi5SCphrDJldNjFOVE9mwMhu70gCPuIBLUizcj9AJ4PvUX/SKL7HnXr
VrqClyMlZ2CGFjvmxBGnbGg5A1gkbuhY4OsXPYX5o8fwebwzvYfKeChEfaVp9/zSwl7JH0PvXq7u
/bdC4BFr+aNTzaVeBW8D9Yt2DZmodVm/CPy7oRo3TZefY0z5oi13MxOzcyMyy8BHGuy/CZb9RaSx
quv7HpWDpeI5HjourBB/G6J2YCexXsZDlN5n+H2HM+QVgTEZ2ZkfubKo63kVL7A0SRmavAw+gdu4
Fn3IxgOXGNyPCuMKnw40uwAYj6+Nuq3Gc2puvB7fefizvBD76LnaS9uUycAyaI/FPs/tNXotJLqs
bcwAeVUY3hIRn+1w6I6wtl3Ij8omfglfdgDUjrdM9p5m4xWMCpwoecII0sUnA2FGyQq7y7304T0O
d506L9YSe6Dt4RfHrky5liwqwalZLgf45Uxyr2PQwdFuF1XKdijp1yrHHLqGKUOy4Kf1vMzwvdvm
K+qoi4ywA/MZIKcIEiwAFGjZplkqu/Q0vOREF1+8CJLLIrrU2Ab76lw3dhB8bHdZrkXlLHhLqhvI
P1iIoKSBHN9gTfIU3yml3S2EwREKPC1N8jZO2cHcoJRPt9aIasR6qYmmioQ11t6lM2zqdSs6xH0V
tDZ4habCmTIRigbn0YdvRPPKgKC3CaiMWr1dWdImK85BiRX5rRm2LT1ZQUsrwQjEa4tZwDAzRuvN
hEqjSuNz6G/qIX0VA3wPxq0Qy3dkvEoeUZcUpUDx3XZs42WpYohc43uOJcdAyFLlK0csshdBhDOD
qa4UIpc1GB9kb8+HoNh3oY8XTTJPgu69FOI1u2RIgEFs01izGMxF2LKJk+GwufA5Qf6z3Rj7AAgQ
0JVusX5jjfS/kO8JIf55H/nt9t/3EbioEqnmXxjTF8D9vRsziVWSCefTta+t5MeNBMBFxcNbNKDf
glH9uJFM1t5oWtn3NLSt/0qeCjX2t43kx0M3xAnW+qEh043ON8MmjVYQDARgzDL2nchTIWSMUwEZ
KTsN52JYe1AV6G40fS2jjKjateVvqVIYW8rosRm7VvAYsM1mwWVhHmqGwKLgjCgAMqvDSZoYNWvR
F+EjqnsTxqmRljtdUK4e4Tes3X2drs3G3zcls9/R/NSgr+FPxSC3K+ddfJU3TY8xYYLpEvR1GVcI
R7JwZRKWXsZQskG2gcZNPyfJ2h3w32BtUfAHKMTupMPVcBVHfA4xn9b2DUtDZofmAlojIVDNSTJe
1NbOSaxjCsvI8DRc1GXvKNsGSf0CO7Y3M9ti5Gu6V/WThaKqDjhSBeu2sKsN0DJeAxuoHDRPqbAc
rzlW0DQl/gl9AcMCK1gEZOC9VxtpralY4zzgjGFac7RuqEvgV0jNoqlOMumF7VtaHcxk16qfQlVu
/MFH5QRZnn0a8tcsX2QdYrGF9eIfEMZIG4kIOQxS+WrDEJOyUyAjj9gq8qZELPNsPC8hddFtLVHL
a/kCEW1eHeL+whoLT9KfGQu+19jTn/SqgmSHzwftlnbmq36XiFuMK92AmSDpOvIdgHxxtnI7CVap
XV8Rb+wxw5ml9ivuJg5OTjQ8du50S94Ky8G5nUDFi3sb7wZaprV+8wacp9Kn8mQlKGJmRL7Rib4L
3mvGyqtvujHeY06lDdvI3JZaxix9K2E6xk6aSEfQ0WR4QZhWHbJLtq3ucB8ttuaivr5Kdlfyaoqm
bW4SlFPtjtKZwaS+qzdlOzdxtUd1g09EBTWmt+FGl8TOiTh8JnBY50eM5Pmf4+Sc2v5TiYENv5Iw
gLyD7+2SAJz3gnElcj1TYQADce0RnTZBFx4d21HDYi+wWWMhgvf3mb+boMTRHi7whrQ7uTokwV1c
PA6a+AyDtccbuHyT60qh0FlMe0BK/ncB+mpnLfEeDoHaAVJB687Fl+GDDTHaR/tc31gHsEzvQ1iU
D1yFRCRhbj4xjJ7HrzTMxA8r5FAiqvoiDkrViyduXf2mBxNpkAZS3/Ejvav1kq5k6YHm3HX0HV1t
Peumaera/yQsgvdVJTkIUV8l3uh+aaL5QfZRXMirzH0WbvEWOROV1DrTV9YLbf6fre/UkA7xEzDA
wgdXcZ1XMishjJyhscOacNeKu0N2+oI9Nb094zI0lEtEcfTfXTO12rh/EWvkCLfuREcM13E8AAHQ
A3PAg+1JO0bRhX0CPdAWfKjpuaEP9pc3fjbYUx2eYlvfm3h5fuiTulCEGKhSgLIY8GZ3m3jbCWdu
pey5Zj0Tbtycn8bDiScgYGGyg9tIi+062oL7VW1rDiohr90darMdMZWk1jyZ71jd+CvMM2f9wXoR
1zwQCAiHb1ZLOvHqSUpAkWZL4IOvzKD6OuyLM/56ujqRMLnoNB1YvBVTTD9RwlhzcT0e3iYkIpjz
GldPX5euAQp6MAtKQ4i7B1icFplDPA780WbG0/iiOOq7DrtOyiTKA+KTLvqONzCh7J3eNw3TSaZY
jrw2zuK6O/EecF3gDOEG0MGRsIhgdoW13HGcPiDCjReCa5QGNJJjd7JeMBbigYFg+GsKt4PnZr3w
EpGOB3SX4og2A+0wFskjd1hveMMwG04dHpsgZO6IaQeXAWvoO7CKSVRJfIiNsVZXTDbllEm8LzzC
dEwffKrmHBSe2gqkBGRng82nkI8pHxwos5ijf0CI/SJ7KnvhNmE+Io7mpXGtN9PzqJa8f9BBZZ2p
6FvRO6BREgxlZGHAHMxcjCXWWrBQuVduls9xAwtIBsCzrp6ziBq0MPhzoFyc5J8iHc4uKtaU8NwV
n3Jede6kKSb6K/9hxmZv08mj2zxgFDmgHtXSdDrY5uUxl49WeUA6mfinwHoPirWSvuk9dicU+TI+
KnMErqVu58Na6OhT3N2X4NVcwanfAF8AbCBeQKa4yOv7DQjIWDhhepvs9K5ee1XipYZbo7sN+gNi
Qndr+jucWv3k3a8+CxTa0SNaryOmrOfcmACDHtu6plxYH4A/TDYhvuq4ro1n2M48WtiS0M3S9QyJ
OsSmaiI7D6hCJ38/osk/cFx7JVhHr+bidtiWH+Qw4ZqS5rsc21WkEccBk3UWbQcRB4Up/C6wnXKT
2ZO81HsK3hk1b8hUXRhLpQT748MXC8s4vhOxlH/QpoiV8gpjiTDxzRRUy8DJQpdb7Nr25C2ErlvW
A/oV/6E0WCOJXvIeRSTXqNDZrYEZzTtTm8fpDUUCz4+HxxyoN3HlW0bvcrUHEpN7XPxYv2Xjxky8
NGbQHkWWxHdg4fQhfeW+5Kccm869eJps2toZI/Xo3cI0aaVFa9qVVcJS775qzc6VTtKtWW9EaCuL
FhgL8xoSMdplOceonBb5P1tCA+xP0IeG/4PKD6r5zyW0Srn9Uwn9d7f/VkLLf0DBFA2dlFJJxuKF
4vtbCY0NBLgPzBHsZX6xgWC8qxiTuoyYUl0xdcgq32YaeL+IBmNqbFBVNF/wWP7FTIMhyc8l9C+H
zkTn5xJaluJsaFJs4DOt69+MIDO2Zi3gxOsFZiUuCrgv4mLAiJSpLzhA0s3EKn3NsPDXC9YVIyx3
hp6a2ASN/sYQwR3Npv6sa6eJG9y7QHa6uKy2jT+ew7L8FLOjOtWEjGOxmwzIqnptDJSjmAXgMPNq
RUz7yKZOgXWVIn8RqWO8Fji0rRE9Kf5CFKiOcKTNqOswbMGfPN5LorCtzIEEsoaFU0e46tteXbKr
UyEw0a25952GdKEKsg0Dzw0PvoCG+qHHsmMUr8J4aer0oPX1PTY3D9JY35JaXlpIUiQjPOacKEYs
3SJfeswlCCSG5ARui/GqV0GqSZYxwDDrnKoPOhAqxUmrYvXartr2YuFPJuZPCgtnXd6EItnlCbVo
KQZnLRtJC1QSTMcE4Ouuds9GCpwekiuWZMUIIaN6UKhcUxAVlZGQFR40rLhEgZ4CMKnDcIPwVTP+
1MULcScrKbXWDWtdyKwdTQ9zau1oZcbKY5aX0iu4BmiTb+dFsxbHbpPD+Yh9lE4KodCe5mQ9JqD8
vS2pBthZ8qEhHfseko9yHGWmOpVrPQVCSD5TjT61UZiahAHgulFt6na4pHFJE9ES3VQPmSOp2Icg
LBpjzHp5/0K1hU0e48L34isHPz8FPZB95i0w3ZKxfBwqcTX0bbuM3cyFf6hMqsDiPa+f+8GjsKp9
qyUrboykxVil5e0/u1Z9tfsGLlQYyxgYRP0PTjfss9+IbsxWf779t7UK2SpJyYDDQAp/TVi/rVXS
HzqLDo5TCizxn1gqgMPQtlmkvpZP7atJ/2ut4qJpKquRz8xhKHhW/Zu1StV+9yT/6dCNXzjdelOZ
ejZCXR4BWF9AeI1y04lLilQy6fUb/sSWhUO8Fr63mQndEmYHbG0C1ICPY6WYi/MMKSqSgJwe76Of
TpWZb87WfGPM6VvOqK59tBm30PFlGlb6BvwAr7529KXXXgfomvnFAhixDxzv7EXbkWVTna35Nm6j
bh9ES7y+q26dRNtO3iouslO7+Oi8qyhvSV8fNjlNz9HKcbKbSQ+yvE0iW9oarWPhORstSnnB14Zs
52wdTN+5WoHnv9J9ZpotPeD2tM8eMQfpqcAW9B1UhBFJYqn6kuHfNranJpH3KcKNrj9HHQzxnLVD
2hZM8JSpcJ6qWuREzGV3pMoCqKMVKXdaTCBCvLX2lIpM/FgsQnFJncgMDxENRNkDdiTanDWB4pOy
M3k0cJz4mjheexRYkaP1x4CZNd58BKejRE3QmB3jT+05e5SJLYNUq7y9Vd7CLR5hcaCgPBfEzS3G
czV5qc/lY7sh9Kp4zPH1epMwrfAJzCXVkBlvob8KmrKAF0Dv49s9fsZ1RUUP00QlAS6lvtNigs4S
Q6ADjHVbuWSE0wV+aoGWDhS8vZbPvKzXHKvwHC/XllrnvghlNiPSPaWM92+EwYiwrv07Zt4CLMUO
GcDa8A8uYfEt7qQK4fFy/yoSJa8RKQ8GMtQIA8JHwBGZ0Hn2vllPKxAsbl66Gpt1wOgQ2KK5S1QE
LFtTPyvBNuw3BQ4UmF7PJdwBlHXbL/1s916YDgM7HYl2cGzx78vQ7VPMnsh07DLbPIx4aZKVhWUB
9wr8LWFDAit9HUAWbBcueEfjVMGRCaEQbHXfyYplK8EPxhKXyXxJ+EG1ipBNwe9bjsijujlu+fZ5
Va1wJsVke+k2TlLBQ7czRKEwIyeHl1n1yu6DtChcKqHtIxq+B2Yxniy0fmz6M74K/bIRZwZYVYiA
DkxoK46XarSLEXtvm2sXrt1P6QxORAheNxcJ4zV2unHmAXTUOxrRxNODtYxFtVNjOtrJPITqIdD2
wWiTJM3BZsqKp1yTNIGHUX3gOWBhjH+2L23FBPeWmYmpZU+MZQhxch7gkqBBvaB9W9+SB5dUoY5c
lW1lQEKbxFiUJ7wviLHQSaGiMnbBg0BEl5ktRNYGwhP5czoXyzmfAt5N3mgALkZLknyoMOzHIJ/P
xtigtpiQPeWOS+snHvDLvyQUt7V0pYnBO+UdIAWQLMuvqTuZDq/TjMENTTCoRLcjMiB2V8HUupB/
BC9g0lfJcz5C/KKJzJXnEW6YGH526JgwG3lSyGEbMBJyOuZk2YJr9tWwQNU1XGpmqwgq+Fz+l/dE
2NaWPI06ZYpi8X+NUif+5c8Q+G+3/74nYrEIYxPVkiF9kYt+2BLhJ1G4c4Wfy/dpS4STaYkTjRT8
e0Lcf9gS2VtVU7OmaA3z3xE3/yYd56cDl3jiPwLgflRUVte0WNn6HkVftnet7BS76IjzQSanCb2e
HuGaLvWgk8Fn3qiXdBTv/D6Ha9g0V70XM7DmCq6yIWj6oyuLz66nzlTMDBW06QZOg2Umn10xeC3w
FVSVCKBWP42R4i7BISTMpXtIo/PRK44YSGgJNo1xlhqrImqwdjSzVdr53q0rKXaLRixsWPH4hXfq
UjHBXKz+MIgoiLxAaTZ+8eirj4GigO6xg6gRE0TXx3IYriRxunq+sgao1G2kzyLogYYHPNIhdY8h
jshdM/dkvMa8hvUN6YxS4TMR6/Wjm0ljsviPnxuUbtNpQWWn07r+E6sZ35K/OTd+vv0P54bxvUVl
svO9t6VehEEwGZEylflKi/+L1DzVhKY2ffBFkzqUs+rncwNxIHzov8rPf9HZGlOd+4swgnPj24HT
507Dox+GQ10mhEXZDCgbklcFlcN4RaMbRSjvoMcxrTeMGl4wUFirazYm9C3W/Zr04XpYXnj+RqnM
+6CpoaYdrFJ8yJUEO/tGnY2uzPg6t70IMr9n4ofCL9k99WCnbrxo2Uvqwb8SQ6Jby1rr9lk+7vAx
P3mI6K18LZCkg9/fTciTg58psS239YfXu/PeIGwSrb1L8hYpdNLZql+oNgU1XlG1esCq2X22JM9M
eq1A2RlnZyiItVN10ONVUk8iDiz5wvJtl6z7heqIO/y1nX6RcHbofX7sMtBt6SHmBDWb12IfX9V6
Rz5IHzzU4SqpynW29M40hK076RabmTFg3seQymTDNZ8zzK3zDM4iEdn1LQBZnKY3mK/TDHaPCo4G
7EAGVSZ6JzznUesOiwFIlc3KoIh0aizwsUF4stjPGAVVjIbJqwfOQytBPZVOHSO2pF+/dDAk0Ga7
K+D2utsZKH5xk2IHDYR1xn6a51ewWBAE8V064DDf4JkhbiugtQq3guZJxnjhrieuucKwZiF2S5Wd
mwOQ5QP4BZfyiLCqPdLeS3Df6XrgahIqrWwBJj5PiMkkA0yf6ZgqX9GGY/JM9hC/IRInHOEcgZfB
zQJCtLti82k9JU6A/Qku6f2Kq3BZPm7yGGO1RXpu7/EGxMMEuG0vrkTcmvyzsAZ/hCc492wkKe7B
OIX7ZiUQwoKlPEQChx/h0svu0SS+DLgB85pFJttPpbCQnfQw7HRnskArruYDbxUO8sHGiJZhvyel
22rVWePelRwxlFFpXkXzAi9rmBbVVX01hmWbO/V9dq0/Irzn44068dC2+spc5RuiRND4Fw6+Ag1m
NQh2UCHiMQeDP3/snzMqQ6wHIMvVBDhuo6nep/vams4hesL0opopt/Yg78oNIR5HLDMKEnCwAcgv
1mfwDiUNO/hizbBnDd97izVAgpniHAv7/FJny0E5xZE67/xFIR0GmfAKGVMB38K7pjYxFZLJrQNu
DeHhEFjbBdY2TS6Ux7qIByG+RhZpcHgVdpA8piCqpUXQ82i3ISnMtoE/1r68H0guxD9iJmHxxu6C
az90OHklCe/ZsPN4T5/zMxoEam+qR3Sze+MKI5eCsgaucmp1lrNW4HeG4clH9iq9ozdHZ08e8mv5
kW7I51zpgLjkVawGGqWX/nE8Vq+k4JCkHUY2VbAfQHU1HUpf0pWooittKQmzlhKWOPKtuKS6fsMF
E2dVDvKd1kW7U5/LN/FZOaV7a51/UHOjbeeCmjiEqeydMb8WabEgEj2Ha/0502Y2jCN5jwuB8U7f
oPGxsphbO9TOMexMVFoFZfGsfSwfm4168VnzZvFHsdWJcKFhkD/hBr+Mb+Y9z06/H+bxuty104jy
wNc5woezewnJwLNWw9k8k1tDpggexiuJweaD9JSt3JduYwcHJFXJp3Kn3VUb64pgmmE0M5MXDZrh
xT27z9qVKIsLR8gTonbnP2LZD8wcWJjp91roi1g0AqA/DS/RZJeKpw4EreHCBNV9gQjm7uOdcmy2
4tbcZtfpzHmFJYmVgHxOs1n5CBglHEnlamfJzbh6n8KWXmFE6fAUfOIxgJK6GZhZ0oJ8ZRXfzPts
5R1xkKswGxpP3oPKeMucczfaly2RuleumBbIe5otZu3da3AVZ1f7ur21byrj/xkjfz43eGSSqYzN
A8FgvD/hzjuI+CLc8kfxQqIl3vHyK8FaWot3FNZIa4nO0IRPNTU0PsRJzHdgl9OfvGcPzYP6ar42
x3RT7vO9d7V23TnhRTaeuAeitvgUm8m+ZiSZTw55fMIsJmLUQCKf8RnODd37+IwVys4jRQ3m6n1w
FPJZ+DH1zR8Bz3IfbpO79CI/uIeAUqufZ/JcxEeKN+mpfVZw2euJj3BI/a6+Pnm4+ckPxVWDbA5r
jXVt3z2AbmyjfIZtCrAfnWx7IQP3PjuWm+rUXsYX1nAxsVuIY1K2LzJbgM4uTlYQJbFy+D3yuRSW
fI1eJ1zzgJkk2nV/KT8TlODpuh0iM2f2oUGHY/zdnQTUKv/lik6WcFAwLZmWBNyNwucfKjoVx4Vf
K7rfbv+topNRtBoSalbDkNU/Yb5v7Y5MRYdE7U/NKjLb78xR2UJ+ocnTkfylwvi/ko6LRMRtukXl
OQ0r/p3YVZo4sb/UdBy6wsxEtL7wxl+mFWXYu0WQU9PFGHeGTezEhTBvYpjPU5ZiegtFYZ3QFus9
OgydBmiEG4cDk2GqOwxgz1XyZiQtA9rUA4FrNfp5XK7YaUHCYQBhaDZMYX4G/sN86iXBUXNkBaSn
xXA5mpgM6l62oxJj2FpaSuUxSceFrFO8FHi0ZO6LmlCZYNkWBaeeiVqND7TvE/3Ao2jSc9QbdkY6
ovGU+oWOEZJ4b8icqG2GwZ3Q2sCvduLfiWrrFNIx1xkny73d4kgVgDiOuYnRVMycoViKAxYSzACz
TqMc68mZAnXrIM/y95TVvE36dYahjziYBUFs7KVB1ac3X3OZsUoSZV9bN/7N84T3QapLu8mhIph1
sZxm2E2hY5LgghJ/VEr23EP1A7rnjM6bhTu5r/Lc3d7faUL0qdSIByrvUEbVRgjJQCfPztAgipuh
o5nBa6RpN2GoH0axfJYb9bmIEN37o617Wfzoko0Wy5hyuHSIOXXCkOz7xvAXjdJCfxQPHQWxCDtB
lJuV3NRrrUTg0o9Onw12XZNg1K9kPd+66iiw6tfKpoxepM699+XDKDXxadCE+D5hyuPK2pPaTfiW
lc1LBlBaxIAWLz1s/vP/9FJicL5L0MEZJyi6zvn2D0uJbP2umv/t9t+WEvEPQ0PRqqlfFEBV+aE5
FJG8Tr6cFiTAPzMvvilezT80SZ3cMb8r6r/NPc1JQotqnoZTn6Rc/0rxqv7eHP504MZEUf+hOUxc
04+kMaX4snTcpX0XfNEDDdUtpC4DoeotSWxqrtyPZjfLZPQpI+55qnfq9LsWoWnY0kkROdOArPaW
G25Uq8LgL5dJQtxVIcIVxVcwSZeZUiCQZV80SUg2YLSNYQIBJEyoNnWI5HlXzAUhpAL1qFejkyFP
sRkyU7OSqkXWr94gQ3dravZ6QdCIOKqVnVT6B6MjFisfV0XX5me3QZj6w3v7l6Ho/0ub/8/deSw5
bm5d9l163LgBbwY9IQjQ+yTTTBBp4QHCm6fvhdJffxkpdENThUpSVjJJgEzgM+fsvTZBOWFWV//v
/0zNlJ8AOtzdfEKM6bLJJlqkYfTrJyRZXqz4d19bdLBoqpbeHrDe/A7DnvGFvU1YEMUdLP/N0zCV
DVM0dRmRLLMb4tO/u3fkCUH0a9HxT8//fu9MLg3Co7jODdpnisRLf5+GKaxAjkCVy/xPGXEqLf5U
WaE2RnIop6ORKcMd96PqCPt2mojh4JrfikD/oLSCw/xP18Yvpz6JGn6+e2rZk9uS62HZNyrYmrv2
IISD7JZyDc999GnldiEWjljJiQ6iw68kL1ELnV/1IwLXu4LQtn5YGHeQdcaQ2n5DnLgUoUuRq/qQ
WKzso/ZCIjbraJG9t8Sas23b4LPumON6Q8h2bfrmhyzkJTIS6lCqwBJSHx/UtRpEqzy+GRmuAqt4
tDrM0I23qqkm1FCwqxqtYMcc5xXHEOhl4eUs7yub37M9WjQ/Era/OcmUtUCn/LGS9ZlaEr2UKADb
QteMXvoKmEV+jMm2yGBB4DkQqN/3iOQVuOdVQSJGT+bWgMyR8aQU0hdFDAanteQGmL5E2H3iA7Pr
quoc4MxIB43+Tpdfh+ZOs7JVbooMNTcsEwWtFP6BOjadJi1zKkNsi4Ka2NqaYqeR4n3p6fHJabAS
iSuILHFxl5XnKFTeq9IobdQNLKLpix1GkQ1B2PULWXn9196vVABxFoNZsNA76AQI/30hlEmGyfCn
+/Wvnv/9fpWhMVDpJLBFIpCNG/bH/cqyGdgMt6RGsIvFYf/3fpXN/zDvIpWnNjvdk5ON+vtkZ/xn
okXwYrJIQ32aPP/B/apy+J+H8m9nblgimcnM8JzF9PhPkx2ImLEd09IDV3sDCLVu55BQ3HQH9dLV
7ch7uYOYJT1QW1Iwo0s+aWGR58zA1HoultfamXa23mxEAlvu2dQdrhOhHKSJbTzQ6fppYPyricf6
bXL+7ZNmtPv1fHW6KoHZ5t6iVZ1kFQGRwU95q8uDZa1IQrEcJd2mtI3pY5980daaiwhGBh1z/mpB
YJa2wmG4ZQoenk1zgyP53AKeYNGHBvEDRmy0jl7rW0eWavUZ69caMd+xUA5G6HCD8QLghfELUIZI
tiocNWsRx6t+Gy7NHE1s6GCBzhr4VG/JJT8Jb94t3oTWXCX3k0l/qs1G2CVJTYD/tM2/AC2DZ4aM
igZ0ikzG17UXJ1oUPGAqyurgRFBv4scW4QG0/3ycofSvyq3XA0frKdshWcfu1jCazlaq0+t8Evf6
ARqaQTxKRTILOTw1pHxAjOzrnzwEEIvsAE1071+zDQW64SCuymW/seKHNHZEgKOdLTjE2HaaDYZn
1Wyb+Tv4HXA1a/J5CYoc9xaKxuFTB5aHfPnmE6MZnRkKGZjEG94khmwKC3ttK9/qBzOdR0e52HS8
qxAXVyC6MeULIMLWN+MVWCGc8d6NuF7KNzRhd5OgiXhn3R7xy/E648py32JIW9q2fGZ189CcW6JX
KD6DQbNc3jNgbgKnZfS5RLKStArCw8Vtjz56U07pPsTLryIQP8asUXZesqqPMQ9AX+M3AxYU7uwc
gNrrsNdrF5DXDS44L8l5JIcY9h/AtxbAFydHZglGfgGjFm+BxMqZEs5zqmDEZKu8D91uTtH7W44O
FTp6YIMGo/o3zCHO8ZIEIPHr6/jl1tKjYC2V+sHyoMJxuvEGZxsHr5QdpLpujyi/fObB+3PdQJnD
l2VxYoa1VLM5b7P/4Dv8jIp1gA9v2L+Z35IhPvOXlEyKYiFtqCOiOtXR9M6Ec3z1ib3BLrHTsORS
HuvUOVr8ae2q21WDVw5KypmpmoiZh+wiLZN5d5VP8eAYyIMvd/+dpCJtlT+CzV4NZyyT40HfoZHA
/ieMG9hPwOvqg1+ch91d3gv1aTpjQ5nnSEKa/ikqOjtGE39/ttwGiiGFQCpp3jJWzhL0s6Rh11ys
siVdDNQniN5R43mAoLyN/kbkJ6kczRsBitkJ87KN6Wzb3gL/FD+0giPZEA/nlmnvCfy2BEcPXw0f
Va1eLb3BVRVbRw6fU0eFijZHKhyDZhuLvQwmN4GZzpRZxGz7kllBsE12KPuXAD5UMM9uqXausy8W
unYpFQ5xsWUcvMSg6rwZ3lkkh3cAD/NCP3cgXQhyu89eGwYNVOZGPbOefZfaghOTMBkBsmXFX5+6
S3siexsZ4Fb4Av03N9b3fXSW4ESt9Nwt9yo0FbFZ+8eCQY041XRKJ80PFURcTKRceosLg6xEDmN2
X/CLzW0ScTAZdfSSSASilNY8BAd6Pztv2RNObGB3uFP+9dYKvZgViy6h2rZfQkpcJUX/+2LwF+P9
KH0F6POGa5asObAXvHaAC9KLcf8i0yL25nQbIvlToksisjYytnlwkAzo7TgNTMMVUHJSwU0xaWLH
M93kfvVNYjFCJH4oPGbdyqfGwX4bVUhnjwyNO0KlaQwsTNxC8WkwXfk8Evg3l7z1qDobY9ir5/jg
h07Qn/0pwafpeL1yoUDPlriK7483eLbkImshUBnxqW4fDKU7sCsEtZ/sqircNHaDn5T4I5oKof7Q
B5v6o/KihQZ5vJce9QBJEA8J8TM1BJg8Edgz/zaAXzjJPsHuX1h+CdOgVORaFJoRIo37jjeqQyvn
snLtHiLiibI5GtVt4/ib5EjO8aJ2KevkktO9gSKeQyNLRETeEOM3vb0YYT277RmR1Dduh8S4h6eL
yrvdEMoCzwZdE/XSfA46f6Ze8LTQ15KANZJo3gF6dNBHoj0fkZkwjmx8VyJTtaeSlM/k/QCDmUCF
WYzuvaAk+oUC3Ok+ENtPaSJWgYmyoSxui/j6WwcocmInykssIC+ZQIneirF502Bts1CVWXOi4EEA
eBeztlMFZPQRl+xsYrT1C5o9Hglj0A6OwMDd0TaShWoiPpqr7l3ZlevUUB3QCPcFXSHgSTMizngx
l+xUx2TtzrAHxEMEfFbOh4U3vupQtGMgp0rK75Zhier0QqaRMDo3iE50mJpVR6Kp5tbJbFwzeIw4
j0eyojUVALkHlvG9dHB3YWOr5liAN01fORWfDwHNdri1aPKRRjuFriIno33nUgHsc2sunn0E/aMt
XuI8cLSdD57jM6fz6ISPIVewHDxk+Bbgt63hV+h8LrQHSTaGJTmjWzjj0ixcljqJjZhMWgFysQNo
E1i34X2bNnwTY1ssAydxBCpyrlovCJZqWSxJVyTNpNWYZ7Dnn9jTiw03gbIqn7Jtte9wMje7+oiM
jSZahglYXCPhd5Vn3EnpXHLZOoFzMmbBSVwGS8n26icBjzosBS87iAQzLDuwco5InlNCLNWwDZYt
ITSEuMsMhRS55PmwpbWWH+A1aHQ8joQViMMsHmm36WfpCRkSVjxxQ4eI3gj5Pr08a1kL7PR19kDd
3e5uRebcR1eV6WZKKx1o+L7nJ91oO/Usk7UQd7aKBS1DWNK9ouAmeOsECN6uXW3VLU17UzndMEU3
rYL7lR0LdfsphT3DeyWl+A4riLn5Q7fs6njdVDbWjJjedn8/D+kpWv9rdymUXSbVBGmUMl4EEQXR
T4vnKdj2f7Yk+9eUwFrgkpOg/6ddyl89//su5RvHUhSJuoSJJFLl/7FLoeCAdkqXREXj+z/V9pFr
oNvFvaCoRE6yvfnfPcr0iKhTbCCyBnUvMLp/skchvfbXTcrvJ25Mpf+fNilKLZp1KyHuvVdrCmOs
8mtpPmio9os3WGVbpHHc1ojignrOin0jv/SH5GlYjNjuO8NGx0S7yyXm4XG8xNZxYO1mLWV1QwsJ
TAPbBWYA3PPpwcBPz1qfiOw1MzFL8OnVFK57FBaAkmg62uOR1ta3/w8LWBB0VLHIEqF+FV/oP3rj
CSMeCN+DTFIO3WZ5Z17Hi34lGITGa3/InQJ6+YHxIev3TX3lLKxqAdQIaPyj5r80w3Nd2/VFI1KC
sXjTeiPA3jshW03hyoL45QsiqixH1x1p/44MFz9bmrGYnoyDp2QjveD5WyW3Vp+cbMNHRdEeI52y
Ax6UDUscZah2hw/MZ5qDsw2qEaKNgQUX1J2IlrOL37GVVxjh8LPxPZQXeNWGD3GFE5OpbII5NDQ8
+8kXx7fwOXZHTgDPWIvsMTyh/GJlJ16I4nQBOD3r2jaJnjLQasWGAggmO5MjHjmRKLJR2Kisjjrx
kzgI3gzrQ7ZDnAeaYnF1J9tgjm+YkddjOGFLx9C/vzv87z6g5EK6O1Neoi8Mvj1NblzV4qkk4dNF
oUmYx7KkHTuT5zia+nmD8CXHqEf0Ybsn527YBISXdDKCWRowJopSH+/EMmAObUj1ZoOGQwH1LOh6
5Ugh1/BZVYgfymd50kE8EJoSGoeYCJV/8XDEmGCif0RJNWXkTlv1vytyakj8fx2O/vz878ORDm9G
MpF60aGc+gAMLd+LnMZ/RKhyGvUUGpHg5X8pcqJkm+xalFIMnFA/j0cqewkF7IAiMcqZ/4ir+628
/Uv5mxMXGYUp6lA1EU1KsD8PR6Mk9rkulcZSXrAQ6aFpHO+U8R11Va1iQi1nrJ1Z3Iuz8fmnj+wv
yh9/anFOB6YoRGOEN0nL5dcDN7kW6rGHglLPSOwxq1s56mezSnd/f5ipRPun9/fTYX57f2Z9l/R7
dsceJDOKZNA4w9vfH+G/vZHpDH4a0HMjucdJyRG6lKW0gFdLwtic+Iu/P4xs/alT8cs1pvzeqbgn
sjcksqot2yFb1Y3gKFqgHq0yY81xn3eIW1eGea+Pvn4fFopsOWqObl7XWALz+cJlSM93KXGbtPi0
lOozZRCWNOmi6P7VCNWFNcgv1GS/ynY4pUmkoElFWzq08k627qjXDEF2tVTGVj0WK1kE7m/UgnaW
ApGIC1+U6etCCigLifhLnK8KqcKItz9BWFf7IYjPyR2V+mj4sJmT5hoSh6qk8ZcHkiUdtW2gyKsW
NHioDT2+Up98RBOFRkrTttT6TaVnIVFUIRqne+OvekuqdnknC3hCWpIcRVrjerT1anHT1URweVGy
NKJqq5bqOjbHNzEhy1AutXXZNK6ViG7E4eQuBogRvOt3eWdldLH6EpRSE4TNYhwL8RJKvgfimdAO
Q4GZWrOXzxS8b0owwHHyO2mWC83oppqB8aIqqBB1xVerZJPHAPGVzPbBHmKYOGWormW5HNlhUmhr
9GJZ53jW5WZIVkVEV83VCyppgQ/eQMgE9RqFfu5k/SSm5y5516MSZJTRdSS8ymHjpCMaykRhQRDn
IfHGLbslUWbf3MoncjJW8EEvfacRjNWcVCk6B/oAj7+CTiBp4UeWCU9C0TWuNwxEIASLMQFOJw1w
3+K93pjhLBugroFVyCwEMVpKunESR2hm7sFjN3ZvajAssko7eqnoyhHOBXOcXMOV22Qe3G2gbdb9
IRXKeVXz2VmlCo5g/PDo9pdZT1itOZdNSAyhNx6DuPzyyeeza0Vb8zT0zJJyHaqQfcK9Wjbkx3lF
zG+6h3IiOpoJ17UczkPXsp3Kkoe7llyNwjj2d/k0iIU5jzJrobfhUQx6BWOG4XQGInG9V4mCUdub
F5rGssZ5OTPL3LR7CjxhHODDs8rn3iQegegq1q3rUA/3EcUTMdGuY1u6XTQEhEz7O2NUQvRUGLAF
yE1ZaaAOD/YtpRbLiD5D2VvragvYo5y2eK13NvR6aaBocK2mvdTFhC0MGWZz6zlpFWBfBT7tPNn4
RUtpMb3VXUaR714ipairHG0cZ1rwkySAc8hIaS5+wsvLQ4VZo5HZa0fBW5MJ28TSN3EzbltIhU0u
noMyPJpB+Wx6qWWXPf4uyehOCHOJd8ufdTOAVyk+qXr3OsbdV6iOS7mMblE0rPooXfm1tyut4aZm
gsuNtzYrXNzYzoLIArfLJshTkJ8pkFw09FFqTwFKIYLRzgMTq/ggai+m1fnn3NcDRwgz4LZl48bR
gF4iAkRj5FRv/dG/adl9TvpK90gzR1/VfnFJ4kwE4p2bsLv13T3S2ScK+luhdOsyjIjy87PnuFGQ
LSrRIUcJfzB8dUR8wqcFO57fcpgcknK8aGJC4qLufBuE/43cPboLCgBaKESmqaiw8P5bH2jqfv60
w/qr539f0iCfwn7Cq+qTQGHaRn1f0fAIh2K9QhPGUBEx/WgDTb0ejX7uj97sz20gkkuRPCC8muT7
/6wNNC2Ofp7zfz9z87cZuaGjete0gVoipebWxYQs+lx+O0/YJ8h4qxTqhHCtIVRmBvPFrR4IFMDA
7aMtBrsp7mMkmmW70JFew26VymUQzIEZRanLKhkWiQ2tjHz4dJeXR5baDFuk4WkfIS7H0BVg6YAr
6OGqjpsGyxIInrceb4otsRz3icFepLQ68hxT2CSf2MTlmYp5umyP/SXe+BtaJwhFpRPxgtmyKVaG
3a+NF1GCYOOkmFzsKyxx9Z1pDo6/ky+0Eznppk0ugCmstZwUt6U55Y/v2y9lkW+nF6YhQCWfqr3l
VoupGdYeaSvQdXgZWPvjuHMo/pv0DcINvZcLtf0KMQTkNJ16fYXseGo9BPbUkqB3RptqpEcTcqYp
r0IvASOK9MBOlC4BwmXVMV+jp5iXGlfKfNhT/1fm9EBexhW1fs6iOxveKl1OfQaMYhwm3OT3hbYd
9hK1Yaf9QKBG++CPyBjSc8hSILIEr+aM9BL+S+MBua9HaBj0tulUlQ//DVr6CCyD/Zu0w1bPxou9
Iqmw1mdHjhb8GHykc3MrvOLEXg1HlSA3J7TO1qjMUuuD/SR7TCgoVCvT2GWDxn7O+jTkZUYfjL3r
sIN6M3FtCa4ZcAlxNLbWyTkIXLgmbPbYSTZMyel7dr+EyrlFb5uB0ZpXgCgC8S1cR27oaNUnHBM2
vHqwHyjnRTuYNkffOjbnQif22nLp9HzAcmnxE8zU53zRL4VhdifSlLes2Bp6VgFUKll3xPRRwCNs
HEKAvxbus0GWANCsNWlDuII/btFbU7UXJvjOdW1RHkxOwbXOt/yYrh6E525dL6S1LT4Kl9AEhgp5
I8Dj0cbzXt7URGvifST2Es00Rsk5JWchcwoffdlo1/6nni/v1CEsEjdJMHzsd6SfokiGhVdLLxg9
O4EdODUHnIRUMrigL2v78mHNiQCdccvYl2FGY/Wzkchp5avBei66T+EYDWtD3ZMhYUUL4Zhu0elS
zfhCFXQHswKBjGYC7i9Xu4WBaySU6IqDltbQX3EAeJKdPvpo1k3ueqlYh6RPWmgbsfGSYnefqxQH
k+65zd4q4IVqu68irtGWVPhPREqLVHEEUs0p4A5/LN7/jfOGarEVhNRB7YzwFhY7/0XvwyTzy7zx
V8//Pm+oCGhlpo7/Ecn+XJnjITr3msa8Ykw011+2wqiEaOfjokIZiu7g572wwumaeAylyWzIs/6B
fsA0fhMQ/M+pizooE10lpW2aWH7ayilmmlY4qltyUO34pmqwxufGBTSVW/S7/FQt3iLPhV6eJwsr
O8nZO0OjxyqJy5v0rSlC6khYkrChV5AAOc2Bp0JQFYS5WL1Sb7vSbyypYbX8m5ZneHeV+RiguA2t
I3ljiOqprWG5obVAIalPnjGA0P2k80KTr5inJP7F3ktMkOGW0GBjXoP5ANnEPAa5Uojm9CeUwPXi
T+DIlQawy4cMpZTHFppTri0RFoiJTnqFzfHEwo3lJZVDwh4Q+gPTdruTwua1WkwtX4Y0TXkap9yn
7iw9lM/d2Xxtj+ard4PUtP822AMMXUjLeG2QlGXQjmrCbe89EdMaZlezo3zvLymLUVRjNKdkKGUP
cYVZxYRrFZJaeHctceatsZ1Vjrnw6nNJVb9ZEr9Fl5nTYA/LWKdyMrX0gV1TcX04GryXMjjyUaXR
2rwxlzDlhO070zJaef2WPCMQiJ4VAEGQTRAF3PSvfJ/vdUwdJatvUCf0UG8v8b665a80BdBJ6fQc
Z5rx1iRE4dxiDfLQIr6jYsBPTXvOvzsjQ+/K3E/Jx/Ks3t/jx5AfJW+TiKBzKDj4THx96i/o+Di+
avqFuDSxYuFsSmZTpvGHiqkDigz6Bap4r/IrEEbpIV6Ku7jbEk9GK1x6oPnOpcSH1R7r2I1Bp56o
5bb9Xq2vkrG4S9tphqX7j2BFcJpnSomW3S4B7i0aZjTAqKObbbt1CGYKcMQj+PeZMIf8BEl+mwzL
ybYA3Vu80aefsrWbamr8y4Qm1S6p5ra60K9pS6IsxC1lYZGfvo+2dBLDtw9owfCqrHCvuf4yPMvr
6ivYkqjJM5lnmXJbGm6DCNgNnBfuNoiJZyhOgmhHQKMQQPBfkAa5rbxJbwLchqmtug6NvfkZL8Po
KV0CmSDdz9be/LUJtewbO96g0Tdxd31lD0Fd/5DAFgC5AxKw9z8L7Si2PE1GP7aNMIfXNO2muGuu
CdYKWTAFvun+AQUJgpa63iXGazJ2mGxX0kPYny2Ebw4GxmWK/ccB4sBtVrrWSNfVyaunqtjVpq2X
K4uie+PT14n9XRYTUIxqRBcJ40MQR2KrD7TQmckseXw0DO69mxvhiqZ8KhDk7qhzVhTd0QunQrEa
LmLWawj1lKUQuL2EymWtRnuT3yN59eGzwPqwoJMYbQD7dEvkDuBo0PfREXj0ow3Mh3QVvenNkt6d
RNMXuj8ctOIdMkVUvnnS1g/O5gUUTs0Y1XFx00HL0of7V0fvkkTTL0mjZ7w2oYTke2vHdw2mxu24
ThzUCLbqrSl9+DJ30ioZnKCbV90GXwAfSKHQcJx5PdtIfd6fpL1EQcSfiyt+9Uo1i5sToDjq7HzN
r24KKj6+vxdcrUQrAgikkcmikARKLi5aBFOoIEWXGWl0UfWlq29gM3WuUHiQE73o+YioJtnIDyyw
oAOCI0ufqMd3E1rQevUJ1DY/hQBfTvTEd4hxpa8PEjFCTVl9dR9JMm8aR1KeCmApDwBJwY6hSVhD
zL8GxqyAdzrx2+hkL6T0SBq1DM++cIfswUPrpa+g0NP0nRKOW24Cl6WktyFa+6nU5/wAG1aYbF8t
gdy6wy1xg+tGU7Gd0+iAM69c0UF/Fs9A3GIdfT9o/BizxRzNwyKfl1Twu6V4JrNCe6ApCRCUhbWw
uncz5UHcCxvxRbo0DGwoOVrApbf+0C+MBWUuyHLw8lnecjiLhrDOBYKIZyZMaJOJB8fNzTfTd5ra
4oNEEsbLcIG9D9kuY22Pl2/Oe5ZIPZv3e3/hTbGLa799FOJPPl/jdXpn8gE/VGJtAnnJX6NuW3QL
cNCoXQy36kD4y7yJVtkNwT5zStQu9IVRbBPSzFKUtgUrwWl1dmQUGZbJ09RKWpSud39j+qJHVLqV
4WbsH44JPXNII6hHcuhKmFJ45alLf+VrRAG5ButTWRS0bpnXgNFRaJu/ti8pmth+5gHCdvS3/hNF
hk7Lh78SG2CszfG9BsJUkLvJAvZTf9PUWepOvk4oWi6pF1fttTnmH1NYGioXaaLGUbwoF/j8Fur+
/5Z+YcV9UTH5Eyq39OnbDOieGFBCeclQgnBQXKgvyXZunqobMto7kwcKvHJbz+kB29QpmYC5LgCm
11MWA96y5RSWnUsz/3mA1WvVD9SL+CT4IxGLPcy7S7mmE8ZHQbZCYz5ay86mBziLdiQsbIpV8ZAf
tdu6OJrTpUz/iDz6VkSyNwWAclr12nOhQaKROXMdfEMUkpM+WVunrLOE+zPZeOxZieWAsSmupg3M
t9sIRihKrxtwvn9tfYRGLFBnlo4IVkVWlSalir9r+ZDk+9s698/P/77OpQMt0e4hrxDQFAp3Xvp7
gYSHIGWgeUcqy+ra+rHORSermfLUCzd1cBvfVp/fdbI8NAEGcMKhw4fL948KJLSvfy2Q/PbWtckO
8/M6lyV64mWdSELWsBQN1jS0jYMtlqo5eFkw9hPcHm2jfNNYoc41a5GzSafYuMka+Lx2KyCsTA55
j9By/m0+T1z05ZQyG7q8/ap/GL1ZuOz0GcVBFEBfnjFP0aTnGxYVeYijXl01lGBNQkmWYfHeUlDR
NgqizeUJ00Xh2aa8Upt0RjwxejsM4AcZO3m2MB2EisR7CM1jxWTfYIfGN0YQ0YmhBi+0GS0pTUMI
tdZdxMay33MDi5gxX5rxWXWaU6c8sWQfgAsw983acnVfjQ9qS/LNE2xRz+396xTEQ2OgUZk751DY
34J5uJCD/Wc/e0AqvB7PI60DkJsg6hrkPsvoqT00qG4lYz+tgvKMJsfF2zJAIi1RT2Noy3P0LdFa
6w6ZM1yYTQw+tjXsd614xyheahQz7Ov+9bVfI3Sl3LNgXhM/Mqb4ekp8WVqPobo3/NmU94MgkTGp
v6RO5C56bvSjsS8g3FsIoAIonfOGxRQ2a7YM7NwHmxu9P2XwdjAQAPzREfqiorJJjARCC6//KLvo
/tb4+1JbuVUfzcc0H4K190m/3ArooJlhZkwSVrg02he+GEg8YyFRAjqZ0lwgkPuECRB3z3eBmDLb
QPmUjQOzkmTBNIXeeqCuzs+ZlGDeu9PdWpMX0Z1YpQriFgtEI9rxLKaSs87e70/qjiAosjD8ubos
7YmdfwGCP7/5TyNvv93Qa4O+ahREGh87Ig8Iv7HQbn3g7NfQot6I1WnQhi3gepNB/Y7FH/y3zbTd
098/ddlad1jjly5Z7zIz9rFLadrDILNRJP+bh0Mqr7qI4VSWqdEq7H3/djj8C4vc78//MRzKKHhU
nYHvDwnNL8OhJorYrv6kyGE4VDVKyX9wQf9AEv0YDqk9T1Y++t+MlfI/kuR8i2n7uV7McPjLW58q
Hr8Mh0ZP8ILQ6Ys4k+pDqXvWYpDN96lV6Sm5uelKFGD53UASN8jPcUnORFooyyYf3FZBEtiaeuUk
XvmUcIEFQNGioa+Xkl5vsT2Yh0DGoRojMh59FfwJRDohbalvEkJRQtXsqhv9vV0bhuy6kdTCZdE0
bWWMSGKjfCAQ5TgSAVmxBTLL11JEVtmv21BjToeD0QxHr9f2lekvW4s8lKR+FKM7GSEosSOWZrEn
2DUKoIB+rZXD5uzrVRUOB0sslxJmV69CD6cHVyGj9N2MIFY87S1k25qKW0tniTPoqyatXivkiSn8
AI3bMhhhCybWZ+aVl6ECt1ywAMJonMTgKej48aNAwoqWdZxcIPHztXXXJ7OsVN2qRINDOoyBmjck
E+ZeGLCMvixGjFz5JPgQezPPyMRqHgXZh5oprpGyhJfOoxo9l2V6QUqhzP61t6kmkgAoYTHH4TKF
Lv8X3ZwiTY7PX7o6f37+99sUoZtC2YtbzjR/a+vwkKmLKtbZ7w2f705W7T949LC4yjj0J3LYD+Gc
rP3H0E2ZNZAk/YEU+we1OV2fmjY/CTl+e+NUAn+9SVMxzBIlEqoF0rMJyEFmJjMG+47hNK0EGspu
sI8OVLReYHksyHiYly7esYa5aFcy2zAFvAwLvkOJjbUC3+cPCx+W7MA06BhScpOo28kv7FeQwtEN
Zkc5VfJ42FqKL7XLAx3pbJbD9MXP9geuZCSn8JYsRNKJA0mEgxBkNF467jr0dn605HyrtfzipXu0
dLweRb2S/aWdPY0XNisuf0/0JSfCYe79vuzZXjJRFk72zk+l4rSwqXD4sP1Mj5wm1PGEWiLdXJwF
cCXmFCiQIb+MxZIH+FOtm2GlX9Wd/JI76q7l3Tj3gnwc8tS6k2Acan8Cp3BcyvM5m5zDcJqkf98E
gHwh7yq2Dsg52Jbyov1BunBqnPn9nQdfxgOfu4Bg7WuiVuTvPKAozv2dtGcXXA2Hu79zsrwGj/Ae
qD2wb2nnbnMSd91CmXcv7Cs5KX1O+WtDkS+I3SnFwI6eVAdk6S1lTUVCPaR848JyjKAkFSEemzLM
KuPKfCVtlZ+RS/BoxzKjc6Ztx5W4o7GMuJv6ZHemp1WxdLD/6C4BFaQBFVBJnDphU9y99ECLiy7Y
YWpAEffwbL5OuffDC3s+75a8C+ZMhpH4LPEx+bbFsiKcjyxJyrX5iSi9OY0rHmqPYvzZf9Av44qj
lCDMY3CNexagxrItHZl96d5Vr7zDCNr9bfK30EifXGco5mHZJU5KOt6n+ao6uuLyHgtxrVWLUuJd
TidiHvkpEKvnyQ+Fd4jCTrHkgTiZj9oKsePwQeKh6CpUYLppiYb3akoZoChDb0u4FXMCm2gJHTVX
fipZ8636txChPF4WAmQmwWHpyg/CTVw97pO2XNTexiW2Ir8DktBfyCdp0P3Lp27jXzywJAtxZl+p
As0kXpXNIykbAFYBUWGEaQhCIPJiCl1YQK83zOMEtwerxKZUZAtKMaY+YRqZ39f6ltUtp7ywKhhI
R7RSsMDIfdS7p6lph1qSN5N0U5wEX/CHMhCqzinxQbi9Tx7zOQ8l1b4/cyBCGIiUIFhiXPUXttft
AQdP9CSPJ4xJqQWNdM9vEDSWM24CYohnlMaMjXplLzMv1tNVgWCf60rhKuI7DCWoSQsot7MxeKTv
p03tQZaGpJFmV94pH2yhXzH5JBsUoxH2nk13mPwwiUNKYy6c5GDLipNEkyeCF2F49S4VEsaJ/gBg
DBH9VIriZ8D9leQ7ph9U8Ah+GD74UMhS4A+H5lfJqjt/Z+3eHflA+EsVEKMY7To6EyKEqvgzRO1k
Cw8KH5cw1+iXmU6cGBPCqwwu+iOKMP6vhZ/6o/5mUi5Rcjv5DBRXLBziwLK1TUJVHm9bbU6hiHwB
YkwuqcTCGguuoSDsiWf+onuOHqM3yo3R2/DsL8qlOTf2UjrTV+YKG5bCQlxf129UbAXPJnTMPxVX
QkB5qhOe+Jd/AFCdrI3aQ3Z1yuBlqJdtR0bsMvSUGfIu+85VU9bX5oJYVt/KD9mS5AyqabhmpFfj
ZH1yBdX4EeMpMZNUSilZyOWaqhyxmO0Lm43u0DyyuSlyUjyOIkOoI2nFAs/Si9a0dqOuDW9xp95V
PwQoqG/Bh/5134qLp/Yp+ozvjvlmdLSKWz5GjssmS/hSkKEVK+HuBhusWOtAXpBeo1z15jLI9tA8
8lv/dy9AUGvi10dbTy/vv8hKJA269e8LkN+e/2MBAoWC6GN6ehaZWZN45HvZZIJv42imRUjRRsXj
/0NXwgoE5rbC+ZBnL/Ho/7YHWYGYCggh1kz0BlH2/pPuIOvIv1iB/DhzOoS/rkAE9JBlkg4V+YbZ
EwYPkhWHE1aWF5Mh/oXplOitaWpOFv4XUx9zJnPhk9g7rA8ENqbTqmM44R+KXQtS8TSv94eYaYnb
5Yu/fFuCCEtj+y3vkcXCtO4QubdXPNe8ynTswhUTN39jBmZIYQnEZByiBWVTv56mcMX5tmoZD6yT
htNAPi0KDtxKrylTH/NR8o6wMpvT41JZdfhU5pmnNEbE5bAHlnfAfIuyC4D+6a09GEtkwFf1yvP4
w0/V0oxnMp0xok76jmF/MNxxZbgGLbtpZv7EK4hbtr8MLxyHQ/AMP1rzpG4Rn+64zqi88LFcpvn4
7r7xUi1eAvjAl+ih2Ve0l7Jjurwforf+wkzrzzgpiXaOzQkU6+RddVg48HI8whdMwRxmYDmhPtbm
LptLG+kheY+evs3jvCzPoq+0ak7Fq4aEpF+hKElKh/xFz+XJzL7ZvHzm9VihYNw9BKyffJoYC74Y
Xoo175M0NWIB7G+zvbYs0ZVty+yBqX5IiBC78tuzu/RYGfsKRVCcErN1d43J0iruODrrCOCuvE0W
D5xqhMInK+a8peGFFRHvfXjhU9Kai7XhICwO+BZy/HfTHO3JGYB5CwZ5Yr/TUGunnJwEFHP6FIG4
VM2dxJTo/3/uzqu5cWuL0v9lnge3kMNUzQsBEsxBJJVeUGoF5Jzx6+dD+/a4u+8dT/nV5XZblkiR
oohzzt57rW/to/TcbOONfkoeQZrT9xk//L23VsOrNB7OTEU645plWOfu1n0iMRTbDG9Tp7ko90rd
8acQ2ZDeOBhzZJtemwsJvikLMKG/7FMNTRJ2q2Bv4s5rOFeKe/IN0R094bnAuvUtRwiFke+hP9NN
piOkyw+s2Bleg8K59ItrQJ9vQa2rig7rpnTVsV4cOK3COBwPiIY5q8qv8quhbzq33sgLLLUrg9d9
XI/XaKe8SW/07LF8raytljoj3DWkqINruQk5OJxPHobH4Y0bSEtcd+NGe2PGw46mHdsdiOvF/c5m
TAOLsVHhL+L3usSIcRiv1kSNT6ctQvVO/OiCKxYI9UpZ+rZmk+komou7vqv4DgmuV+KUjU8GMOCj
Omap1T5/FtjROFhcdN4KvFiL8Jk+fu0269A1+yNMOmQuC8hVG2TQ0iIcVvq6vzKDUoINORHmutp2
r+0p9p0a+8UzWafSwvjkVNB0Tg/x38ewxwvn7Ypt+MyBor/Oj3atXhmJLv7B8pTvdSACFUlH8KGA
7vnrPhXL/6/Gsf92/z/3HxVMBVsQuArl+37x0/7DJqOia0QUo7BDsev9WQHP2xUbAzmP32vdn/cf
sFA/97f+zgZk/rcK+Kef3JxjI97fHkKupf/9P6T/mQu5VNZl1rhRYoQfotdQY3r+PR/ziz6iMwkG
Aha0dquMgfSho7S/kAq5T4L81JT+cOj80FsKtYp3XMzHW+pjBk/j4ikQkHznZcsBiA+8IKNJVahY
uMxtkYcrJOM0R+WZss2Z0lI6Wq/1+D6JI/DtNkowVHrSvVMQFaTi97SB7KvNqDhH6Sj3uFS7/GEc
GW8KqP7KYOmXmJ2KMNAXlabjYdCDr96nFz1I6YNfwnjLcuVCNwmZWvJqeePL6BmgDcQ2XRYeVlAS
QrVvYw59rp6MsyEQoCxAbPK9qHTbJioXjTJxDWneIJ+bYJD7TdB0WDwR2mdLgdhkkKFSVckPUZUm
2yjOVTCknT84Wefp8VXUVRx4vR6gYI+oDdMik++F5sW1o2oBQ14dObjqi+pX1Mng2f7BB0FJZ8o1
g6HwN2Gc+mudGLMrWkO/HAT/8/4/LsQ5oIVEYYyh9IH+SO/+cRCU/mXSZ5J/SMF+vhD1f8GS4rwJ
yQuXJkriPy9EPFgq4JkZpvhv4+ff6UX9fg5ES20aOLYIkZHmXtmv12EZaaVX5LXkaua3iDlx2h+M
ghmacv7+Zngf/pf/mZ//6G39TCb7bUqHjPnXx/mtLa0GaiQZGRBCZFixQcAFSS5TBn0AB8VfP9J8
Rv61ufbbQ81f/2lpiRQ9zUW9ktwifNO8r4gYpsR6lRhS4ewfkpNE1FRg1E4XSruh/eYFd228/fVz
+I/T9fwUaMSbeN7I3rF+W906WJLFIGaSi5FnIaIk0HCVFJqxF4pHNY3+GFT/P1/b71T0X9qJvz3c
LAX86Sf2ykYfJpj5rooUy9PyQ5GLrugTsCd9TCXVYPRqRNnK7KJ1PqEm6wdCqAW0Fyi8tGzZxdIu
nR6n4P2vXwWqmv/8Vfx8WWm/vbvaUkmE2CfuhwLAy4buJtZRudTiQUA8PtYc6kX9ijdF3kngSBd+
08ocIznWCZPp9nrROGmW4pqRCH93xRZgRCGLh4rDkZTukwlqroakoxY+pFw7xS2SK2+kp/ri8VN2
vbgBrnTRSOcVpy+tCQ6ZGMHZFeAC4XHD45rtM9IVE9mAmRLGAGsqMnYtDuVVstcnP121sX4wIu+u
tJBEB33diiBnmrDA1IUiRP+GDWQhwsgQAEiL9aYhOawYHiX/MkofXlSUjiDFjwP2lbBMXMEXGUVU
onmNTDTSIgPGJqUlgqHEViWVg6ohXTOR+KBAfwhkaRdJVyUj2FQxqY5ouYzyJonRS08lFqp4VIgy
0sDDy8+93z94aPL94I2hO7NuYXrEViyinK8S/dBl/bqOhI2X0y+SUgDPnbmIZikfqjApuQneuPVU
SDLBm8rEZmD7NEB6e8rTxMtTcAaNwgcV/pKHNs6Abe7HpDrO1RB9VaNeytJTU3ioD69RfUpxXIbZ
BJDi3eo4I4+lm+ih084XQJzRCFIsZj0XK0G20r/4gukEMepo7Zs3D6MzJiVYcsqneWIe1xUt3RoF
970Wg6Wa1HS5K/T7qh3PfPH0gcS2Re+TM4GE3GeQY4oW53zX60+x9J6CspayQyYdO7zpGkdiPZQX
I7XRIK8kWofgMki6ULZ+soXodQlDmqcKLT46wTFJ9rHmdKLynrJtawbOpJiYSs1fi/kmGYRDo6Zr
Sfzq5fTc5tFywJ5RaxRwOe9NDufErOOEXXVzJaJQ48zjr2+SR1VhKnYymZuIEKvCC3hoOYcJr570
mQ/B0Bo3mDZpdhF2OOvgNvneqihgXQ/QvZhDq6u4qgq64hNEKLlUHpsMskrphdbm+9X7T5V5s9wy
n9EBukEaRgPyV/NeRWT7+Wn7nrXSv9//x/aNlltD48LZwJBkFDZsbD+2b/VfqL85M/xwQ7PR/Il1
ZPosSui7/5DN8IT+Pe8FwYCYxsIpzdfpD/2tKEiczb+usL89c0P9bek3eS8LrYXQK0x0byFY5SVt
8mFh0CFXcX8QdoPmohyhcY8b06Jvn6bI9wz/3nftMs7rNWdggpqLTSmiAxu2g7IuWiTT3b6dkFrB
CauC+NH01a8WplQ1gSmJJug8elU/FnW5a/JxqRnZ0uuYLiQHz6gO+QSet9SJMi4CisVJ4MLr1csw
ZcdESqrFZNFiFXWUcOWAyiIZEZBoMb665nE0BC5kKADNGB3Jbh/dvgzXUoqet+eyPQ9SlANFoXma
dfq3SVB2mH73k4bAGyZTZAkIZquDFaarDPdKLaVbow1WQk0iMnJRKZW+SqVb8QSWhsVzUNHfqWCV
KiHaGOSFT9VAf/xeTKhFa3Q8SH3KiUx3SDK9Wa56ThJlBstxAMLmE4U249O7WxnOnazKrslIT5EC
ycIAHMG3cz9djxo4zLg9yQE4F4SR4jxsZhrR2lnxJZc9tCg0lm28TNtbPpUseTnOyNrGm4sWiJg5
pd5q8kkaQ8gK+GeKch+FzbZWYNxBtc7Ll3rAzFnSWsHIKovnMKCTAJQiiBBJ1q9kguz0AUFN9MRr
b6tU9MNHpRiEYmgbIeS7NalbR4YTsfh1OCatkZVVivyNWRP8MLwXqITlaTdWwiqNNDftUrs3XWG8
BGj3OsxnakLnrzedMIJsk99EqVv18X7sYnoa73L6ZWqbTC/skoKlH3aa+qRrpjMl71P2qReIFcev
ia6SDvo/iy++gaCQ/IBM0FaTUF+y6Cr3LyJNQhZJglPg14gT9PmjVlwt6VnQDSdMUjspcjsMGTyN
xZJXzA6Dk6hr9tCQXC18pcC6N/JhAtOn6m/TLB4mmJinm6iTkw3bjC0tFTFpFa8Z70wlP4RD5nZB
gyX66pVPnOMOeSavtQbzeTgkRK6NIJtSk6wvjZZUH0zIvGYFM2Ob0nIn/wvYmd2F6LsUwpfDd4EM
hEqWDrGB20gj1s3r1p7eOFpPsWfW+aGTs2zVT/5K7LtTSfay4kEhjVZ9updkOjopwSDswh0yobS5
xgQkMUxritPYnPN4YM+sH8PCDfvXKq0AvOpXyTCPvmYsJpVjfUoWjSDx2nXwIMOxcP+xG8XcMKHG
06mrifHVIYv+5UahQLT4ZaP4b/f/sVGQkUSymC7JBsgNrKos+T82ijlS00KOwBckMEE/G0l1eKL/
hm3P9/ghCtL+BUcCm5AGxZnYYJb9v1Hjobf8dZf47Wl/38R+LhD45StZ5NFHZ6q9b+3kGa1zzsBv
npujLCCK90tbPPpPmeDOU3xm6uoDpopkiZ6Amw4oEdptWdjTlTvIr/UWDvywwObzx2hAdDmIfx/C
c85n+M/gALmBNY/wlUVwgHl7mlVrNLAXFv0bh+5+XcyjAkJvbaoj8y7sGCRw+kWwwDgCIhhTAAQQ
wR59A5MD8bW1H6PN9IGuYZZGiK+o6tacrYgHwbw9LOclmDBz9dlc5rPUgWnCo3qYrrOKYmaPJi8S
NGCS0uycRsiAWHSYbZ/3ADQ9PsB5IMAHfNJ7pE/OVJxPMPrmE0yyaZAzWeBjM7wy6CfqGB4Fp0T+
7k7cXA+vf3yCbjc3LLc0yPluQn9k5kDQOJ/jK3xTXDQ0rIyTTotpSfYl9+K7xjtuiVOUD/94mPYy
Px20/c29ghPaLqdb+N3XCv4SNibuVhWN4FzWXeXpZd7LL7z6HE/5M90SMokYEvYuf8+fYG6y0Bei
U2VzSx0lQKmwEC6VPbJrTAt5tsVwE7HXe8QkzyaN6Mwj9EfhE+Sjt0IMmq0XwqO/BwMURVfhkZpA
+GTS64d7ThgAhJJoy0w79bbZmqxjPqciz2bsCzJ9wwAY4Tao9dAJ7c5utqNw0eo3YESCygD6e5wp
mfZzLuqIu1Y8ZKGLVgIVRO+iDpjQN8zgTmXFbwOFxYhjlxdSMBd5tUdLwSiDP1gx+Jub8ze/HSSl
abWn+kJWy5ZMDs45sraMTubXmqkJNhbmswwgYOTx/FJOEDgOGKd3cBCbk3yrVzwxVvbpOKsLRixm
i2aLplb4/OMj5uXnYlxnsyVMvWVzipX4wQBhwEG3lm/6nmxWnbFFf24W7+LVZCwF+5HMUTf6erfu
zDMwibwTULMUN7y+ImYDe4ZrrkPbuPvEvKIGuPMU0mceT9xMR0YmrndCIXDnCaXPqsOTi+MVCTNo
d14pgY1PsqaEyY1e82u0VD7VCEjDBlBt5RQ8WLkL27WkENdCPSduI3lTU/4xb/ZatgrflQ5czsMJ
69zaf5JBFVDDANN6ROS8t/Ye3mDa9OZ6lve/ZcvBHTe5I6MLyJbzjGN2iyTLWQ6BSHgbbZWlvO4X
vvMxowZNSHz94itYvPm2uvIBfCHHk+acWtG3PWwGBHs229I/Imdi6HVDh2ILa1hzS1wB69rWN/N8
/narEWHTt50FTmsPrYCwVaZlhvNixbzfARGBQ/okmctoYgxHVu/SfGbcaLe4c6APOkgddEYRqdwt
p8Qtg9eufuNYcZ/tXj0ld4Krobuo7ZMRIdoWLrH4yMt61+65E3bXKSreUHmkXmKTCubJD3JWrvTa
lbV1f2IBa7fep+jONDP6C2v1kL0PJ2WBTAKMYGo5w7lwlAXeZmE3S7Lmfz34j//YbfiPqgUFnmyR
/Sn9/4R/MrypX7bh/3b/H9sw9Ro5hco8UyHlHsTdn9sw9RotTt3EwwDce06j+KleY7YBz8FEiUiQ
zozM+qlek+fWKPg98TtM72/sxBJxir9uxb89dahXfP2nXp1ipdHkC023Zvctww0zdKSzK9ZiiSHa
Gd7HsML8H+lHK/wYsm/JZdpXcGetY5a/pPE60cVtoiyKFxFlPFE4OoDe0Vre6td0G1/qQ3ASlqiN
F118gArrEZh3UOk1bQcJMICDnqbbReVG3DIXQIXvoAFcfKFQ4jIlbtHZMW7Eh1A5qosj3plDwYhL
hhbOvB4x4iFaxqeRBpkoYkSiPqTX1GR75dZlK9naVVDkXhScYQAnxIXVHHODCak7qjv06km8ygmz
mbnOxUt3Zitjo8jf64wJM3iE2HKi5xnigHwJLkLvoopLHODMHB70DTeYGFQzkEfihMktZbAu7dkU
sX5aK5AMZNYwHS/YMgGocki+c1vvGfw034TdLBC/kC9wTe6Ccju2Tnko0eGQJGBH/r4ljbRgS0Hw
1QR2K68SumNO6hNJsDPS5/IQreJgzSeh23arDP7ft6Jy41dNgiHhtIfspMdLMn38yTUFlAKxiwdD
646JSEcIC+zCH0juAXhrx3Z8Fx60Yhl/4iRZnEuHcO94lezG+iWzHERa6TNoPz50Pxef/uLhdrsx
Lb4Du7acseIYs6yYMN/YwKaj0nz0BR5CGQdAxjdKdvwn2dH3k6JDUcBYONQvzZZlix0p2LGNlZzS
kB4ANdAdbiOKq/qlWKPHSgVXgAG6BP79ab3VLxrODXmDJXdy583+EdfHzVjKioOiWd7we7PeiBrv
u930Knc2hSD1tYPqTXjE3LqPviGq0rK1fp7/zyP7aFOSNycfDWgbuOe6RQHbOwdo4jZwssyVxPnr
kG6qI4aaD3GlwnHFe8eD9Odq+EYO5WyTTB5M/Rkbt3jtthmO11fe2E6OqH2VA3lqsMmgXl3oL3l6
al8k8Af7MJ1BzAHMfJriL4IduorybO08VHWY0ukhgxU/9cvXyeGMd2LvWaCXghWngknxxR3Y9GdC
iNjl6ithSNT7aOXGYVNe4goTjG+3r2RILU7ptj+cClSVE/u5/AEWMWj5lbYvCOwGqCdIyqmkn0dC
q02C6NZjTHZabqNYTOHOQ6S8wEj09xI3jdYtVOd+Rc8cHizWaEo/35lwsSKCACj/3YPSX4XBZitj
vB4+M/bH54hxZTqEz9g6twCiZEhMzNpFzkIHFdkeFep7SjYNht7oyUOv89qPx34VTeuKM9G74vZE
AuCFWepIOYjRY9qvktVIXXtFWoqdB21l63pjgYvexl2OcD6Dh0WyKiRyjoUQL4InACOI7vr56Adg
3HuFC2mgZuxsnDaJduJG2OTBTQ0bUiEl3H83/YYHQUaQqu7jZiV1i5B8gskx8QYbS8Gmz8Jb15M/
hcdqDR0FEPXk8HURpS+QAWktQhZuVtlHfJTq5XPN++maQNusHlR1W1ow9VcEJrRu8Q4HUGLJmnnI
z0PgJCJaFvyOUnyQ2xcjOHXtqs/2YrirFeBXvOm1rQEoPTiVEVl/e8hQJmdSktZ5Wu2jDpVNPRvG
S97bMiRKwU0jpybu6hwSUArE2Sl2xa7VbH7IGvQM5jPmA+hvcetq2AWIbrBLYaNj6S6Z1wBUiFze
3BrQgrF9kGaHkr4rrx4rrLlAUohHtsZcCwEcXbi8UE9GzJSajFQELAuyXqtjxLzZtAU01wbLQnwn
5ACLxoH14GK4wdpSZ7YKRqmcSQot5h7Tr5P2FEKuvLFe2336Er5L5QJrJ1C8Nj4VOKgzB91sTeun
XhKSgus3KGwkoMSY6gsBn3WEfXuh31gsnkd8FHfjTdAWwDk5DcNBQPRJema/oL9VP9PSSaYFjDSa
bYO57GuY2nZ7Upb8NKWxloVVXm1EzNSbdK/7Sw8RibGOike5wA8Ss1+c1eks5Ud/2A0Z5V/xSCfH
NiOEOCWgGjISemcMoFa4HP3azvWNEF2sa0DvUTcazgxItNm7KrqEjeKUa786p2pdHZqPBZZi1T17
d33OiF/Ql0MZNtD6c3L43VQH1AA23arxmvJqx0u6S0K7DvNtoBwDKhYi7rP+BoN0VF3GFVOLkr/F
R3yNH7lG9N6RMCcbsHDnq0aG+jPOUnyMYt/nGgsdqbuwCkjHRl5MoxQ4QF0QkUuII3jTnMMr/JnO
qvf4acFo07TCCp7V8Iq8vXSAc62j3iSH7X2srNkXHsns6d5Koa4yposUXsZrJW77U1FwKc6eaglj
zE26BnuBRXO0kdr3NIXv0hVNPCmqFEzD9NRcM2ZZTt7AlFoh3YfDO89FmBZqtvUhPqD184h0aF7M
5Wx5w0CJAZqhDCgphluDI2rLBmc1+uYb+as57dDwZLZfDGITO8Ab13WcHLqN/tDlq8JAOMEanrnJ
XU4OM3n+qD8ML9I5wpu9GJixcR5fBHfhVlJd0aJT+EXZ8HfgwhIWBJl9/BZ9JmB2Ije6wwiSMFFq
dr5Du08Tw0LfjNabHJ2Gsw4wa+2ms3lx3F8hCKP3bLwRm6t86oToItMdyOxZEHVu2hlIca7t+ivd
ZQTidha6bNZU/TZl9xwXvyMGN82/e+rs/fNZrecdxZJm87j4CoWEw45yww2x3FFKYcZD+SghXgeI
uIhBen/pr5lKbMjmEGwMiiRxfmwWbXRiJPa5wmHcVJU9consYadIygrr9W46YBfkAYKNd9DexXSp
vOSq21GSUPLONm+eCYVv4ii8cenVzHAWHTQlguhVs+rHAyLLCJI3T6EiOnHbY+iI7YbVQ6J/0C1b
IqBrfFZHD8v8bJIf4Yg8TlcS5TE20qzp6E0PWKGqXRys6P3QGOL4x2snOXxY+wvcod4dAPTQHDg1
ajJsES58reVINK/rDd0kXkRLd31V26ZTTjN3iS2D1jkDtSVCHzgqbhcSoeT8TzUUw9Hw2m5drKNv
rKIjr2JlZ9IyB9/UnJUH9axv4oMwe0XnVJzoKj3NWKpkFW/x1eB3bS/GnO3BBaPt6ZbMySUBOYaz
aJ617VLbBgvKXPYba+JDInDwdC7o2i/ahxPhHeORCQldB1ojcnhBtsndUdV9tqQ0vc25NpjQVVc5
cwZWlKPKS6IcG2llxs99vpX2JB52ghtzznOHd6t4kaqD4H9wPeS17V/Jj0qO+Y1gRi61VbwS8O0z
9wOBQWmbPmln8zi9li8goLDZ3OVFUcE/mZEtvp3RzXlHn2GJF1VJiacCG3oBkc+RCTYXqwfwK9lZ
viF0H18sW/8wOd1tiwd9xfZD7Y7afHq9b2v8rou3I+CG7J122qv3ySVtwc431/hqzTXZm5c58Vlw
3+BWLoalsZ3s4CG8BUcC+BBwLNpnJBazdnfmWy/+0cUsCm+cehrUJ3RAzBb/evhISfjb8PH3+/9Z
zIKYQkHO3M/8t1LvR0+ZYpa5pGGgW5f0P8Dwfw4fqakpYpEWfa+uqXP/LGZlZIboUlRFw3NKvN3f
qWbN/zJ9/OWpz8XuT8UsrGBDxfnYrjMTIl3Y5SwNA/DuJ9Pz/YWVqg9FYAnsSsk558TMEAMV2lBe
xmDcgA24FDKnyFDZZMFwUKvKidoa+kvHYQlQSOPf+sra5LX8orRWjhe8eAhYz5WJ4lVslBvFt6tH
SFRHYS2kMlLXnpBXI9yFaclW3rDWlyqhD5O2Fpti2aX+WpmLvTxBLYG8MBG2iR5t28Tc1FZ4Y3S2
RSmwGcLipUj9nRgRnSJXI7a7QrjLXXgoalNYZAYnpdhrlF2bKXdpysdDNurXJo0urQAzquSYWY3h
cZQuvQFWJlOxkQXLUWXhqEjkmCb2HXVy5SJ1rFSGka/Ox9/4YhHqoo7IJCIMQj4ncbNJLmY1LZsS
KbYch8uIU2KJpb4DJAVEJuRCzUFE6T11eebtsOS6Wj04SmIeC7qkaiNfDfVQg12Mk8HV+2QXQDII
WkqKT1/pnGyytr4V6GerC0H7TDSEM0LRC3/bCtExKPKX0hC+oWphDxIYFjCR8qz6pNTJDffia5nB
FaIIN0TS18eRMZ4q1q7hvQsR3MOiRfrAJm3SehTG/NiV3ZOsBiRUJGvVU06B2Tv9UK2LvnCSgIwM
DfRM73XERc3dTX5pWmw8JCSMhEYCvFFTD5Lan6M8YysKGOdOtHo4Amds+0VaUGAnE9QjyJY5rBKl
fOtihMr0thOKs0y2Bqar+rQvM3M59To4Bz1wChrgsqx9WGogAOB706XBVkMOk8QP5WHsjk3EZpt4
L1GxEVA8T710zzn5ttqbWDyVkYkiVFRPvDdAqEidov2Tl0EdASUREcpMakVZ+tejNdDeOGJ+WQb/
8/4/lsF5Gqbi52c10/89P/uxDCKGpJdHaq38f8Ovf1oGZZDsoPZQH85EvV+WQVTO2H50JoEGQRh/
ZxlU9Lln95P+bs7m/PlH/z5++2kZbMVskJtOkNZjYU4rzAVvHlpDOpC0umMUgKrU1y9pphqOHOuP
rOlvQxJRtBtDf5B7ed9bxWvVQKA09ZcgZxiCjqgDrs0AN5bnOXz3oDY6pgIOi0MsvPFm7rCfzCqK
YGloRBmFEHbUh9CbVR+Q1zgFjjQXQoKbq2qnAccrEhDlcuQM6DQsfba+13ZLpWSp6S4QWgA+33IT
7LJmwccYb52e7PKIoiKJ8bv1tK86jtaTX7iMETt6e/KjOHb2mBQQZY21WE5ro/E2Xs0wkUpQZyiv
oo5osnJhKAVhFHBSSw5X+knS0IB1pRsWt1HMV0btbcQMV4+pHacRW5960QyOsaW/0oyYSKbyVCXM
a0ZhwJZXpsvJRMy8HbWRCoOUkEyas3zRlekCBLSofk41Oi59UOzTQqXpYXJUacjb88Nr5xUEg41v
skYgEWiPGgZBv4wUfy/Gjoj422rPskSjZbRrupC+txWydSGTMBZTK4jHOtFWmvXimcHSbLuj1Abb
yDIdC1+LWglI/QqabVj5uiejea2qWyzfrHZc6oKPs1iCSOY09VvZlTRtn0bhq01kyvrn3sRz0VLL
KK/duB8HKIkqRdElUddWfUks8qpeiiZ3kyS7dv5Nj+5YUCu8jIzrIDUoorEMjCdi0Yw+XHo1/RSM
Q+XNyz6k8WrisyndWj+ExlsLPDR687vPqj/4RYMAZRVTstZjtOrSdRMVjq7XO5N2dMaq3au0DURh
q85lCfAU9JQ1EGCBX433YsnZRZBkNGkUzuXAKRCt2hSgRyTjhBxH2eDNO+mnSi2/KhOf9fAuVP5q
0oi2a4O9SENDgAqIbsfOUHtoMm4ccliTqTkgmKGdatihXy7zzrrFcef2c8qLri1Dla6NJ6Cts17F
OL0OXovtCARPMoTP0qBs/KIE3hc7cpKvTPEciJTgk0XIYOoG6l2kTvJwjEoU/COeIZzHvm6++a28
l0LpigIe3hvFXnlsA0zKyaYuskNtAaFBmRT5spt7A2F4gTtkN32g8QbMtbOadUGLq24Np5ABHVaR
MyqrqGQifMwq5Ec41KtyE+XqQowrrF810WUDydSytMiQYoW6xWRLxgKG2FUu5WWVeQe/FtYdjYGx
zt5U84VLGUtOEB/LzHCkWtrqQws5OHpthKdkF4a1o8vRftLncZ8v7PNBmnP+smuQhleh95dRhUWt
Dq9+OPYrUa2zexooBuxmYboqfdcxfTP9nVUEkSP3ifLYI8iFzZi1TtYq5iZkbKwmhXTIokx/bgot
smu131dC/xRa3rcYI4FXD3uFE4nkF1+W2e0VEM5SK0GgY/A1yq4n0S7mSoWyT259NjaM0ua5+l2g
qcTFirfsMKgwIVOGqWb8NQUNht4O267aGF8VPSIjlK9iT/+LXpRqoBDWHjyzYKrAGlsLVLT/6PoD
iQhAC870xMH//zbe7wStXzbeWfz46/1/bLwzyBYiLXv6bFT4DsT4sfGqc5LULG5EbYnJddZF/rTx
qkBogN3MzgVd40t/1h88SWZsKnjcOUr+7+W9fA90+WXj/fWpf08Z+Wnj/bNJgLhvZl7Q56U98goA
DBDfxjqVj8kNa+JeWuGuXAPII+3O2/YPc3ypQTYuHAJmHu3L+FG/1C/W21gsXlnvbGr+0zfzjV0g
XRsryUFsdZv2huBqHwQtvNAmKhcH03CUVcJUN4diR08JpFX0QFJEL5JH6j+0IX7a0QZ8bZd2brN0
UZ4zAMIzORBrar5ZR/2cPfl3QbT1s7BMXcidGC5F0DaztftMGzy4FlgPEcYHKF8OgflM7x7jLDxq
gAM4uod8a8XPrbRSlaMWzH8zelHPkurCbNT8U/kyN/8+AeiZa4x6gXWm7Ec92VdL6XCXDtv23H+g
HaTzSLzh6OhroiEYh89mweqCQxFxDfJC7t3McwaGCuGSG+Pr5IsArVz8sKtwFWxFILLW5nsLj3zG
g7ZRzvJD2JwzBmkkY1Y2zTvgQuG3fP2PvVA5hVLDA7wDqUoAG2fPv2wUYND7D5PRf9z/x4VKVAGa
Yk6hfzCpZArxHxcqOdf0JHTyCsT5KPyz29z4lyYjWMP/w/3m5/R/L1TZ4Bvq8uw25/pnkP63Tsis
C7+ekH/70eEF/tooSHscqbkkGO4oumW27QnHiXokYjWan/4B6D1Ga3FlrTi4StghGG4jiDLTI6Iu
Oo10zbEEwtQcjghezGBvfQLGAo0PWxQRGLNtJGHTC8JJPkSOAXAZPKcYHargDMkFUgXkm4T+u5Mv
EY5dieiMOV8DU7RBUUucOpRDJEnoMumLO6JxJBKUOrLf9jwaLUnCWuVNP9qCOwmrITt56vOAt4Pg
D1qs63RVuVgBHfp3jrDCmAIPE35oIx+h+vOBgqr3K8+fyAByKos25NUaicC5DWdzq24l4mFKGJ5l
aXtEQ5ucrhMOgYnHrGyONs0bfiIkcgOgbocubue9e59I2mjICiHXuBMz0MGuj4IILRQC6Jg8CCRZ
KwYBbLNMMCS2S03LKNuflME8dvEpayYnHG+ZjrwahwUZqSRWVm5ePKihzwlkYUiw5QEGat+mKraz
k/bU3kkwHrDwL7QnXt1D/6k9yQQZi5x77QQ20Y7/4wakAjwpu2Sl7GCDJSu+CDPDTl85mIrRxxRs
CqA4EtJraNLNQmG8mHTM9Pu1Og/bD2a/5pgbn9o7EX1M6d3w0veb2AckQub2/MfrlqLwIOXPWM1Z
WV4QG0jSUiqWKdgPSH1LGdNQzpg5OmqKhMoO6L4xrBNIuIpKq1YiKjZ8lB/rY3vMH9pj6t8a6735
4DeyD5oDfC74kJMz8O22fkUs8cLMllGNqGEpy2T1Kka0lurN0HxlM/k4PWh819boHIVdoW7cLGmW
BeEusv/u1SbOsydxQMjbMSCmLmpdqTPQR0Z7vYhuqYVCWQpwueAEwc/C2J0c48jgxbkOLVZ51Xiz
Ku8h66UTqhWHc50Ucxq7BcosLauTlyD9UAAhXVFCPslH9aicL/mTfozcOZtUL5Y0zXtbJMRqkcNR
4eCJh+k6TJfyZkFMpBs893qDPbvCkM9JrGwSdIhhwZC7584yPsQABNLYoZ3tKAYB327b0314JWqv
uYBHszFyY++Oh9X0ih882lEEp++j4lTQpB2OjInzneTKzzheAZ54HkWLSzhRd/QzO1lXNLReSm2f
InJs35lGEajMP6tylTr6TkHzvQvR6cHjvKhr6d5c4mdzzd22wzGCeUztwPN9g2NumyvUDUxDQ/lY
pvtOeZ61XAFneAJBDpF4Y0NULEZWZ+otPiCnCl6ct+g3/OwKYajbfqNAaF5UD9TVd2+XvneXHmJx
5YoMo6dttGRMwbWevW55cBgCOkALf9V/SFRsoK6VeWga7uvYLtcENO4YiWTPDePFPrgZ/qMAL5eg
S+ZE1Tw7Gc7pjpVrng69BzAy4OJzQTNDYfXK3icQ8SRCzEmZRej6wYolTMlf0cdRyet3GPwsBwJV
LMwi+F2jU+708GLa/RwjeypGYOL06gOHKVCtGvb/4e68ltvGsjX8RJhCDrdEYI6SKIk3KEVkIsen
Px/cp8+x3V09NbdTkm3JokQQAvZe619/iO9PaA8iwxFejZXwrOb1QYRdN7qS17u9OzgsHI7sqoGH
7rm/MBzBNbXkxsUOH3vzEMO9lfLMYIU7+f3x/Yb3O6/e4X2EJYzsAModiycUVIZtjngrHOi72+BZ
3Wdb/0tlsoGnEwz41L4yWONFKo/G4lpgPw27l4fyykfRnR4+r9vr+XpuF+dP4kcWmhMuDef7vvQh
8BAPg1bcjd3CJhKDkkRcVDacPayY5vKlf8C1mqsCQwTzuTiHmDV8ag6aU1uOHHMlMVFjykaoFJ4i
xjpwcC3ufNxXdRBCAjsivJWt6oDILkya//ZWwvzhPYPGGYHSP1Yo8PJ+rVD+ILf9+v1/VijqvyTm
FRDj/5g7/JwcSZcB5gUQ94flza+tBKUDX0RKxWo9lzU/dRK4GlCcoNf+AxP8DyYZhi7/WqD8fuTS
b5OMUQOgADbAMPucjDaZsgk3wzIb4dKsJcnxVY+Jq++7jjy6+X05NZs4w7mW6z7wDzHQ9WiE+9bv
nbAmJBv6c0hWzj7QX2rM5/19OMIqW4ZILzM3fSLR5qHxMEM7YMWGQKu9qW5I7MOyvIXFmn4aN4Pk
LObsm8mZdCYISOXi7mnbxNVW4AYOXB3bfCMtoAZSQFjqoLAZrEX5jQkAydYsTUl27PTX9lgwM8RT
FpJ/5Q3Miqkgcqwqw1f5hxXOMCcYkdUgkfsmPUMOxywGX9pNywTVeJ8+7qSsj0d+tPnM7uaWWjZ/
nvcQBANpfuLO36ArShBKjbDJF8N4kHG0Gd2JVKczFsb+rb1vcfiXHB7fMPTunVY68xgDesd923nx
2k8dlVhtIHTtyED7Ja3WCtkYnjo/HloFuKY5P2vUFQz3B6eZdIbbNutZEOylfqsV5/nZKM+CC8+o
QwdqFBtex01hmqI1S1/YjdLGz0iKxBOC7pADVQSPnw6emuUHXh7/A8jFUYThhePRp31Vz6/B3/PE
vUHaeL81kGLpBNRtOXQOKh69gKQOaaJYI70K0BF3Gq/8vpNsYXMGdNXjKEXfvYc0h996vKrMZcf5
uSXSOTRWqbEKEa2105ofpmvbHuh0Fgwjc9red839lZDI5MqXKRbej+XiZixuKrY7V2CnTIWC8aAv
eZrOGUmq793xOzzFp9GV7Wk3kZOFweCm3WOaj7l1cA5uAW7z3X6onoX72iKBKT4Fste9J1xkrQMB
z4QnR3PqO30E8VN9nhiDZAKBhu49Qvn2ruZE5glwnw6ZhrNae4oLzMjsQLtYWbho+PElZSg5iMtp
Y/mnqrhSG+qkbBobCxmYnLgDFJQ0ML2Oe4vOGqePwEzwVTwhBoj0FUgm1u4F6mX8pzqcnsJbHp7g
Z6cQqwb8dOKnCpLLqjcubebVj3HzBd/eUpbi3VMjHFlFCPXKTWcQLg8vwj1zkMQvyubVgHFKYl9B
/NN6fJWtS6zuFWtrjkB1EHsYSQrysarJKCjgac76gl0urHnvo2UUXuH1dWCtqbwapIh7cTcwJBpf
kJHdaSHQ8jkG3j03mvVn6QbnTzpYyl65bzqLXcbOBHRhi46IGIakFMvNQoQv9wTDjtiQxLXe9Axy
5wVzPAl/y8gZRohbUDQxAcrDZYrOI13kzUq65rVzv2jwg6oDdCre3xrdK2unuAyDU1gEk7jRq47t
tY55g4MnXd661jXnuS+kyrMBKs5MJWtdXDk3EPW7y0hYwKq5APbXC+2qXac3aAJY7RPCdndbxKS1
1+9mhPZlugpLMgaSTwuaBmcpV7F3Qou27IQHg4ktLpW7qt3B5u8mV8QrSHjorbVJzhx0O9PpMzt/
hM44Oj+EmaSlvKnBEj1+UpC37cqVcxiDpaJ5OtKkQ16vJeR3kz2GUB4iOwAA3hFSWmLda4vVoyge
5OpRVq/E/0TTQ3biOcv44iNl5Wl8JqLr6TUUVto6dD8BVlsfhr+t3O1yOyfdQ9doV+3WP6RPmnaS
hFVJreM75kV6tXbZthbf8m2LV1dv66NjCeuuX/QxUdPSq3G3jVf0nf2qX8E/qmu7muzo1F05SF78
i5E91LQ5UpPb/S5Id4O+CFdJ5ECLCQMqlnlesm6P3VKD+bIdYE7BC2bxOBe3ZpmVex+SIvw0xTZZ
DwJ3CvF2gRO65mOi70aP/7BQf0SL6lugTdYWwo2hRTVSe9JRLMaXOvVSoCZz3cTreniQP7rm0o9e
S0e7gqU3aV7vpAflOz10tUdAmqF52SPd2yE9MCppQ6envnTmf4GI1JfgVO9qCw95OyaRdmnW7riG
igaSBMPLNbdorJAdUUnNuq5rf25tilHKOVpqCOfE2fHxXIFuZgdWBJMH6aEIMBLlamtRFrOkuxad
oLaFMoRHD8u+ytaBiQXbgjOxx913+KC1FKBsDGwsME4bn2DVebkNgdlwbpj300elWgUapGLUuXm8
JuqqvsjCDkeBoPKib9xb54Qo7OfpzzToe+9ytqZRJ6Xvmc5NUBYxpKSL0K3gi8Vb0oZ9CO5Z9Goq
KwPFbnzo9U0vuX6IEcPqLnlx5yoRWXwzu+y/FsvCZhxXKXAlU9ZJeBA1mCH/QHpR1dni+BfQ+a/f
/2elKP8LpxyGMeSW/W6YI/8LtoupzvERP4rB/0WcZYspMNmggGpQcDQoLv9XJ/IlWdKQXFLhofec
rZj/gzoRycdfZr2/HvgPSPonyPlewHzw4y5cQbCQDO6AxOESw1oYViaeiT/amvKZVnrubygPG2Op
WYmN2s9YwSbLRkfYCuFubvhI5kIt1G+gLx5Llvmrv+838a7xoHia+yq90C3iWA73E84WuYbZJ+pk
ysiZ2TcMh4K8RuOqZKfYuAY6KBTVDaJpqPW3gQSLWNqJsDKbcUJYcCMbECSkFhhmGZjB0buGVFlP
QfwQIn8Tv0Qj2mkmDV/klBczX3ZAZIxMY4+JZhMeypqktKi5ts2TjsoMOMF02nTdYK+VelDnSGRB
yREI5ApDb40FfPJC7sbFeEKPkFMZ9fTE5/LGXFN0SN2olSXEkVrcYGzr6w9DtsPzsGHzpPjAGsTV
BBLhCO4J2XiJk1sUYoOn5F35Gg1UZitozt0Dz0a1sPC9ZoNoX7jKawKWenDsfodKQV4zdsZs+g9Z
A0LE1JaQVU4HLUWnAL6BIgwFROnMxsJER83/TAd0dsDz9sfpcok22AR5zD0X5F+svroFff7SXFuX
4Cnaq+tu8VGstFlLSIlCjBYM2xfo5yAlaWwj7Hu4k2jTImYY7NZhkkboQ7o4dYuv3CZTdQXMxEjg
oq4FVCEmmciIIYkNQnvfntRNsc4OSr4IPwOkC0uB8GQMQK66WTyWTeaOy3SF2UOxHzfhabKWyWRr
L9ndJY+biWo4bFtp/wf6iNSHddhEFfJyNy/VJ7k/Vb8cU5e+ISNXTNzlxgGC/bhW7cp/1+2jwu7p
dOtAWpnXyl8w8fbuOKnNGd9Sa0+Eo99MGLjQgRlssK0Sb6Jh5Gj3/fw+Q7fkX8dg/TaE917B/GTB
XBCNypRCMU1FRi1ititL+AHRfMng8hxs36sTXEsygAT0dBc6kqj+HmcNLLGjUDYd7Bdc5T1xFWra
vtwe8ZAaS+hLd8reGS9t1xZTlcy/TRnZ2u3KQOeeYMtzT77lbBeDmexU3eV6IVsL52OuS3yIheCI
kgWdAlpQDoRrh7k6+/QjsoMx35MYAmmD67pwNfe5mcOKbKrInbpgMI7i8L6dGPEs8x55LCKU+seV
BEzogk96+jpaimvpgLUyPxc9EwxUwlCTlTVu+WClA7joeIIfcXpgoys88lwq2+92wzrhizP+kjqY
wuH13C9l+E4nFD7ISHLzmVM0Np9qNBE2ZcucATyeu/sGokCYJssvC7s41V8ZrAd4FdhGXJ0m5dJ1
5oWWIUWsUF24NKxwxyqRiI+hPqul0ckS1oewaqT3g7dXO5xh3v0rK1Z3mj9Hhqluqld4tMzG5ugW
/Wt4MFbailswtz6Ne3tNUuTcVLfhvSIvfkcpLOYSRuLVKu519+7f5nTI9KVhNRiEs/QwPWDvcWbN
lFPXwKXCThCAJHb8ou38yM4rm9SeZDV0dvoqNuaHxX82D7nlthHqtQeUI7ybua3nNu6u+tu47/e1
TV68U974CFNWg0EBn0FMfqxOSrcomftpu/pceP2eup5WMXDKF36hOFigtGESjZO+eC2yLYuXspfO
1l64oXag5EJ2se82mhtUF4THofFG156Tsovik1N5jFHU+WfhSL9ywCEI1TflyjlJlxpQeOyFvAku
oKPXnzofPcS2P+k7fde4k/2KJQPi27GTbOWN0d6QQ/uWMBotAiZ/skMo+3JG48muy8lL/i7essf0
ModpibvuMBt28yvE3CHhj09qYn80fU4dvPGASENEEi8JK9ptSj9BwIebSV8/QDS3Y1AAAoVVtDdi
fgvrb3LWiJ5J0fSaQL2IioBT49UMreYOBkXoBz8wAhWrDZbflH3IBeHMzylq859i9vccrXBZhCzM
ABhRtBACJCOf/Wd3EDbVgSN+vB+Sx+rq+sfwYJyxwbribHLmpO5S8Vy4uDs5nWuFtglbBFNWffGs
ktI+AakAGQI6soa4c/ehRK2jqWCSzU35HkqugIX5kp+qQ7hlw3zsPwnAC28p3dq9PjHqZB8B/INd
CImZzbUFoZ5fHgoKPF0ql0S4e7YlVrJt8K5BtXKfPw90XGddFM8hnrFbBU88cocwjMewI4K0nWSw
dPA77jAzOdAi6sFVZU7UCOYKs++p2FL4Y4sTSquYGCo0JOpuQBhEINxMG99l9ePcyklrUNwG9Q/y
YBBLfL7BNWXe8MDiowekmd9AodQSQbRm/qNLkLdsUXZlqEzlSmuvaXMS/XxliUfawIiB0GT3oNq4
27TGZSoPmrxs47c7xO5wKWLckG3h+bjZVjxk23xVeeNS4G99Boj94IiFMxnRjFuGE6Bsnm2TeMME
S1qXxMFW3Xo+k+G2fn3eLV93xWIDtQ0DZfOSs54HxjUPPlhk2RIR48FnQrw+m/rXr8KVO6vKPuX1
h+EGMWLynj093Q/M1/L+i2BJf43ijr0AcihtibBA+0DDWgtnIvowChpQRZDX7BH/5xDXZ1NHOVzk
DjJML3QjRtCQqMQFHgM/3maUeMaJGWLbTyj5f5zShgHLIXfER5yk5zhbkVBWYTUdc7jseBy8pC9U
XMlwmR4MbWeiZRLSN4RCSUHIVY9brqMgau24PhTKoYIqA2XApgofm/RNe6QBH7FsOQTTVj7n7bSZ
Z4v/xd2BDvNStoh0gQGCQda/w5GlX21WIFT+5fv/7A4Ai0lW1qnCDWThmKP8/6Rb/ReOthj7iBBF
Mcz7FUfGAl0VEYYjw+Gg/r9BUIiDAV6mQaDW//F9/0mDoOjzJPsXSsqvhy795j45+mHbjtbYr4qo
ZEbdd2FKoEgm1VdYwmT4WvT9AEHhnMiuBSKaKAu8NtlUukyQUcZg1BDL14a2Qbh3XiHH7LDqLS1j
x2hU0etn5nOXw0/WlPEUTfq+xGbL1gzkjtClTUFfxVrGlElArCICPQ0Wlrl4rgRWjXh8cHJTO+ZQ
sCWo2C2U7KopkZq3K9FU4bnD2Q4SJu/+R241y2nmdJszu7ulWsencF9J4ZtBuqgFDdyCDi7OvPAQ
HmnURx+WUr62WnqoIZBrevneQSgvfOKhInCp1tA0Yt/MTYYw665TNQgtC9ZKp+lOYaeLZkWJsTf0
/lntGicw2497qS0TU9iWQ+IGxOeGM99dKTmnKjGeBNIX7iBiNa43fer1JVkJbG2ylS9zpF5DLHgq
+sJBN5d342G4C4i0umVLhTwqwrOJH5o4tMshnzYD+WmlGa4ylI+j8nG/R/pHXeXrKM9PvV4StAon
txpXiY9oU568xoSIaFQVVmSN7ITFcwUvNtRq8Avk9xAEpZToq7Zn/wFJ000y7zIU9n3tJHlzM8Ip
3ujpRUlQBhXzCJ5xQoJCcCJSqo+FVZY/WvKbBAw9ghF2kICLhGtE8fzsYumJF6BdGBRg/T55C7QS
KbO6CKxvlTPT1f2BcecAkN1aaIhJcSYGdFtolTP1iWumFz1n4qyRszH5diVWthFNGxxo6TUIvagF
PMQLZGxsnSFJiQYC245eMSg1zxJxQcRkuZGXfYANiymgrtU9S26WoamvpoQ8EvlEQ43HgE72h19v
miHeJXJiF36+rQP2kxjzZToZiwZwxEC/bnFll3aahpxDASFNGB7OiLiu2LOjWNWzW1KUChg8ikq5
bZN8I4t0pPXIBikm1H8AuikzV0zUa/kzMoetT9BvrwNXlTqhY2sLym9D9ks50w9kPEkaqpug3cM+
JAN1kxhIA/2bnL/KBQJUAaU5CrV+eAjbyTZ0AFREj0EMtUP6iGXAfOFR8mXH12NvFGE1+B9VNe0L
oduPhfwwBZJj1e8TFqQNAumSuyKtga+Acut7vcwiKukABmzP2a8tQklQtUey09X3XZd3bsBjYqVx
0rI/mHQWoyg5E2ilohJEabTHGNe2QqMqSYeVLrfouI1hrTPE6KU7QBpOP8a5zLgBlEMagGlxESy6
rt7lerUbkiGBAsuemKDmFsSejDV1JWs7nY1ZqiMXR1DK7fuB2DU7CITVvWTS4OMhpBTeGID+Zl+G
8irm4Ll5v0+gfbOG2xOw3kBbWMkMtUPN48EirZ4e1HZsbu+wvLuBNjGynpTgLIThwpIJeopWo0wm
rXgaQVTL5jMm/YaeUEpHRCR324TDM+IHmN2PATctAb3tHVd5DRgDKXMiiFtTbdySq72U9UUvdrYa
h9vM/yqRAkkGZVWaW5gbiAcNOkL/HKL1aNCfK8jcA5WZXoFhnBKss4I6uRczfuHW3aspsJS2f/1v
3rPnvRoSmYxLqvHDHeUfED1kaYxIf0H09L98/597NvoNA5Dw58i1P9lp6DdwRVN0g30b3/k5Xfb/
aaQGMShkofzd8FebXWNMFTs3WfwP2WlwUv+yZ/966FQHP8vYkmTQ0RmNKoBvumnrifFkLWC0q07b
Io3hG2gCiaKp24rY/UrolcSq9aR7PFAUm7tgrDzDJJ9waItdi1WJjvVSP1xK4SGWRhqQERW3Ruq1
cC5CeV3qeL/I/UVvSJFt0qdUIvS8Y8GuYGobpT350bLM5bNaJthqBafgzvQxQxCtBgfVz9dtHtmZ
gVtaA6igEj/RS6uQpfFeq14YVp9SMq27Tluak0otzkJWTJozSelHpQvnoL2V3fSY6TDG1FzB+itQ
35ux2uFziXzd8jtHy6TJ1TJVWuqB9SH5k1ePmjvV5i1TES8ISscSCjilEe/UigxDUv1US6QThVoF
UFfdL30Sb1WZmKEk75kOJu/+3V/libWRjRp8SINR1blak0Dmg7rSbKvhobinMKfMdVdQhfjZuumY
1lWDK079Jpq5UeCChXYuscLoWBRSphcN7f+kfXTta6W9DsOy7zuyZTZZsLNalOIqVnWoX/ODGuBG
lebLe9X7bjkVcF3v4qHr/GVIxAU2jsuuZtkpOv+SR9U6GjQnvvPI2mcvZIXgvBRmI9Lh6ShjyzdB
n6c0/rhXhRmgUKx91xRLg2zbpq6cXPjsG8xyuoEB9WhrXclg40tHkFCIwvYevCYsff4Ko1Ns4R7E
2cIuPQSNtjIHeRfDb4t8C1Yf40wB/n+z6xVYYDndSpkE63AwzpkA4DHi5j0OlWOqWNUEwlr0rXOe
yzupBigLGnEtM/TU7sYRZdF6tFjcsyL29J7EmJzIKZXBiZEpgIjj09SKq1pp1/hHb4csIUMk9Qbr
3Mv+hqyyVsVTW3xVJpj3ovQqRclOCbunUhipaWb1nfaWpMl7YcbuKMZoq03odrhj+oKwLPvmaCEx
WTSpcJqydlsPwm2qY1JipNVdM3D80Gp8X4ESzLvBXZOg7i/7yfNDqCkLw5BouQLRDYvguakyN6w6
ykkCsPRGS3aGJchOkApEGCqpJ+p4t9QReJ71MgEXWM1nG1z7zH+KsdXL5GJVCwAFiCE6lRo3w6VC
g62YkTqPs2cPuwwoFJzeieT712D2KEeyQpg9rYdvoy7fmoCdj7ga6q2lXsKTKDv0K3mwsoZJWAtZ
BRolNBZQEqYzEvtSpcy6I4DyIg68wOyzh6mGJzXFKUYCdVrv9LCHOho9FYX+IqpF56FOSSLB6/wK
TuTgf7bGSBWJSAN2oOqNKQS3Nl9rMxFU1p/A5OOsOCax6A1pHcIz7D7UuPkwau3VHOmU4xef6cOI
k2k9WpuRAHqhb3FjAfwKuEjgqJq5cCraZjcFPcYYgSOH773ypakVmCVYUUWafDfPI+/LRG933KFe
NKCEolBOKjKXdGlf5vVbVhLXg6fVHDnxqfffVi16MoBV11jruqquGsBmhDpGHaWroW7kJFNsoyHF
mYssV+LyNJoCqFet3F/ytAGGnGLN+6/dhdnrSPmidSb0YZ5mmf/cORMtgLjip134777/z10YF1L0
ITIpLrP32cyl+nMTJpCM8RgNMxHEaMJnbtafkzWDL83R7rNX6iyU5Hj+l4EFRVyCskUhhTZPpGT4
jzxKfydg/XHguqzo5AHPfPPffNGKsAwDfCGGJQAVHhn9RjlqR2LtzPX0YgWueP/q4zUGFE6+uB09
7zgtSEACffWmVWb7zoXR8+Ky+yBOIGUwbu17b9fL16kCBoXgdCT9sQOah93tkAYOvJm6IEMhkBHW
C3aL2aHz04TzbwIvzN8YZX95QZy5n4sKNJOdrNFxL7GZglw0O6shLERlSBl60BYv5+3MneSD/Z5B
+Eexjg7sZs7gpesW9hNgI99Dm7zYH9+9Y7KZ3cpwAyOJlLfHYXG5XJb4QqowmBbKEpDOTB3ajc59
PbhPmydYYM/Fkiyo1D7PmbIF8Wr5ajj986sEYPm1dvrjZc7VHQrdWdQzn4af56Gang/3gN9bci1o
djKX4om/53fA2JkUNX3kT4Hm5PvQo1GLj3gtbdTlXmlg99bGQgszG9aTXO8qTJSnAhpri6ElsIGy
uH5GXiNchXm9OVOUjQtJPfjtd9AsYvNaWUsF3FFZhsLGML98daug/ZexXT5pwVdWLo1qkyXrIsMX
byxbaDyeOfsLOD1+Ne2RAGYsw915q7f36dqAadNUr/cGCkdKOu6mrLTzfDgMUplaMFi1kAcRMkTA
Gm01ntg62lu2xFVQrvwGM5pl1iwIARM5UFekf7IwkbHhDGYm4KgjhA6tEq80BMb3ERAJzXmKXPXJ
J+an2wTllsTt+qI+ERP3gKk2ZKfqyD9HGa9WyPFeMyc+YhzGILJZVVvBzZdkUi7aL2WVbQjE3ppf
WG8V9uwtqzJzOYXGviJmDAIGMd1beUcjOu5ogF358E3cr6Of8ew9K7v2QIjdU3Cub3eHqUAaOQ0G
dkAo0Ik/jb25eJ6hee4k+74RsBFCyohKHwiKiSdbzNF8YNa19dvjGjvOcUOwgyNfh115xUImfFQZ
W53NV6bGzYUACSI/XfZRlBKcpwnn7au5t47Dunrol5O5uCQuQqtjuhOhOs7XufPCZmvXS+vFekjX
GLYei6V5iPcxZka2FsM8KncaQwRtL39Ea6YH1hV/KhPK1UZRncxRltKGoag7k3xDN2Y3XLRXbriH
HpN02EJsUHZ0uD92O/htdt06DBo30zM9oqc4GUaujcsfpszwqBnTjel3ugs/xafUCxb1F3rkhWAH
Lt+5z/fVMd8zeeZiiJKbJW3E+2vjYybkpfleSTXHmBwjfQQJyRTPzN6VAm9RKoRAgVa29YNv7Z2S
XVspqz7BwLdzy6cot0vIm0zFiErEU5HJoOlywXSb5IkAiZaGmLH0rSW+6gEDSJe77vauecL7IzWA
tsMMzoYdhqUF9oOL6DB4ndd+J2/W0T+P3w26ONX20J8uHlNvWvDry+11wMQ7sZeM3Vhb9GO0TnaF
DzPeLT/uK3ndrHi9X8jV7NCZ5u8rjsJ7D3+JKEj8LRbFe/iePeU3PhSUp1inyn7PSEbO0cCu25Ar
ltKicMIWq6FF9yAcoj2gxRAfqR6tZ2zzBWx82r0sb8d+LxQbXH0Spzha75K+17b1F0JzdELKu38y
tOMsONmW55Km4StbQa7jRDBSQKfijXs8jHA7/GLN6ZftpX4yd7UX3bR34TBVy8wevyZ45V5AE2cu
FP0RxP+++mi2Aw+I4Edu7g/isDR97/6sdNaKZOFRI0qBcpq7bHqu137kBDNsuWhEVCnQH3edf2X2
rU2XbINZnHkqhUurHsRub5m4PM2aPYZIboW9ZbvYyd022+XWUa9e+ogQ24647eQWT7aqyljzLjN/
73PZhMcvEb9PZW0cVEgGYGWx7yQUhXD/mckhIICyh3D5Pc2c+E3YB8B2OCAFywLRcMn5iKKbabjM
6huxIXV7tmxyAvWj6nc5PLsAF2cGW10UvYit4Oot1Ezcq4Ej6UHq7+n+iikX8vqRu+dU0HW1RHke
4X3dP2r08Yvmo9vBl8ZyGi8BZQHyA2EOF6i7Z31EVyyFhSdf3NXDOwb8r0ltJ8/K4wpn3eaA+kvn
yJlyQlCGfvY4HKY7TgYukzbmfZDKuL/hNYr48XZbhnW8M4ljNAcWiGbF+OoOur+OXsztxngLEDUz
FfqYiTf8WuONudIJ0CbQkok8A1n2eroxdB08AMCZWdJwY0B0wzNELl36WjJtOs7+YnzuqWXLJyF2
ImMTFl7xFY3RJRIvaQ47eBUc8TQYVz6uXr0A36VHmsC0PrmvhFh+lCFgoquwdv+8zSq/IRS/l3XW
b1MFGtTuXkXysEyhB6EML7mbRbu8TgxBXSbyI7PWzjH1hfWOpMt/pegxCIIwSbB0atVWBscHL931
2O7B6FyAPMBGKXjDvA46Y/v+b473N5bUX453rhp+qgqysu1bqed4YYwgLMJD8+1O2uWmvJVPIG44
ZW2IgD9NF43LABKl9EZ1Zkub5ISWjmn4c77tV/Jz8m+OS5qLrp+mM385Lqrnn4+rUO7VFHcSQ2vf
rTLymjftYGe5bQHuKMAZ3lB4pbD9N2fjb2ukmZ2mwJmTRXlWR/58NoypDMOeZxW67RAuFfQwJjWE
BhlhETxZ6Iaw+UaGtIkPyNOw61rqJGzq2/vZf0eNG3ygCOsf1B3ocflp4HRJSQlg9KnCjnANZfHP
h0vh/ncn6f8OV/mtFFcLWep6ncUPfD59iR/Ht/ogvaDQP0oP1W567L+MbXLAGOfY7dQ3f92xUP5w
fPRg7U6Do3r4SHrdCiu6nbLrjt2xes3Pkas8Y357SJ/9R3lebYcrtpVq6LDcEePEHWqiGPySTgaI
2kLeq1gBrjB5eOoOxZv1FD4XzzCkmvdpqR/bHQrlr4zttKCG/DevX/3bXxfDS5M/eD5bv8GBdEoR
Q+pxWHIchBjsIOLLuOdqsEQWamwHz8nFZLuZ4OqMN+tHaDDK1ZW4r8/tMtjA9LBVSOHWXj0230W6
iNplfM0gAKMLgEr1bc0shYTS7qulMAv+3eH/aJX+cpH/dPy/LRaRpHeyEAKJmchs78a6J/72AKNQ
IXVW8O6dzZBREql95OSRkkR5NotpER7H4dWPIy+IvhMRUnsln9rUHdoHP3whtyyUL7MHf6ytOv9R
oAoOB+hfAvz5/qqD+Ei4OJHAgAXTkY5gnYyvBSkF5bIshUV902PYkh1jG2h6Kr9xJAfdMVWf0mDX
RJ6Sg06kj0ys2lsWrjruy2XzEI5sl/5jI7vJYDfDtUqOaf0QLQv1qY1WgwygwWyfxkd6HxqQqKOZ
wWRIHD1Y8wIjrE/Cb4poDJ3vxn4KxUeVjDdqA4DcCgzNiEe7+uyDtcwqz+INzSiRXirMnnFPZhxm
y0zPpJrAYzxVpnhby57FyzVPcCthVk3UZPyEJIGasbEO0RZv6IC5a4H/x9byIfKNTEbFt2ahBR6D
xTB1NiqZPKg1i5Wab9TCYBBzHYonjFmK3mXqWsl4TS1wHsPL1DRWTWQnLY6PuNEcNemtzXdD5M1n
L1pirCaaa+O+kuTXgZBff4VZR0AfUHMYK3OCEBhAxau3MqYoEsYpaBkKN4rphIC7yu4aM4xJ1AQz
XHRImIKM1ymBAAbFbfsAdFl3eHnhDWt+Dv1FYaSC+0pcfhnhikP5qjmpKJuX7REntfEhdzZvhzdr
iclZUq+tYK9bi2kOceZvl90RYsmCGHGH+SKe4q0dI68Sl9KRPu3B3MvL6Bq8RYfZdTx3dTdGP9mf
p1NsG2v0qFTu/Fgn8UpqDaahTzGfz2ED6T6JPCxTg2ynass0xkNsVbKANEvY/Em+zp/JSQOnxYzY
EWIIpYvU5omNhUK9AqemfJgoG+V57hrtTPzFMkfjziAZjoxryQ65AqNbHHADxYfkKDKLDHLCQmaX
3Z0qUGdjBHdK9NugPIzpWUkOowBfBQdjNCeosE0vwUxcCh607KpYOwlppjRuRO0NWarce7Xs6sK7
NqyVcCOnLCu38NVYnIu9UD8RkIDWmFDlQ3iVccSkFBpmvuaLhIJSMe3ab2c9BPbAlCPAq2AKFKHy
d157zQCjliZFg+gzOr3xgE416pCnhs1uV+XbGGojPK2HxCdiWvim401OEKhayC7nWl5IJX7TW4qg
+hTeEVPiEb3BSI8ELMI60WlqC4RViJpwYnv9NlRn+ky+m9cJ6ipGVYvoHQC0xd70kp66xxbpmrYC
a+0PCJMeJc0dkCJF+KA6sc+Ab3EfCA87+tLZKNcC6R1AGeqqRQSBE5AGabaxSzIottWm2OjmYnrS
vnBAfaC3kuYERJv/u2/0d/lZFRfFl/w87ae9vNOu3eHuSk/iNvGGL2Xi7l/EbwPbkrSfjG2k0sIO
+ww3JpHJr12pJ0H5H+7OZLlxa9u2//LaDxmoi8brEGBdiJREilIHQVWo6xpf/wbSN8NKHV+fcNeR
PvbJVFKCRGDvtdeac0xc9U6QOTo5DaqDMEFCL1T+Id75XyM6v8tC/ig8vqzJ3wsid1CSSp3W5E/h
mj67UIsKntIphGOm7ajghGt3m/zoGGF3xX206qCWV3ukjhzMJ9VxuUWBe+jvGZ8gZQ6i1yFcIooL
Lw34cmB15KfMULqGmQMNsA3tSXvC0/M5Uu1bYIxmwZqhd3MsX+hVS4QQU8YGmA27VascDLrK9FSQ
TWTT6203urrcFIX7RyX0780UJK5JFFXapmQ0faminFt9+5+26+GWfPy//wOETpJ/68T+4Sj9/fW/
OrHqDxGkp45z9Q90Dp/6VysWrI7C1EYzcL0S0v2lFYtQCfMsllvAHBMb5Autgw9B/0HxNDVkFZ3K
5R9pmKam7tcq+fulf8fqmKJY+8gY2lVL5l9k6J9CkVx0evM18rfBe1XC2gmzHaOAjaVfRNIDZVIE
Q9IEW3TcUC/P2hRjraaB6vRCMtqhbtLNzMRmIeTjc+m1dlZz0DXMmec9p+Vj2T7BvLJ18TGD0V7q
J9XTAIASLNBQeYBvyypYFgE28vHYhPoi17uNKLzX01iqWalksJCMOSrwxLUXJebsjBReiF9J9HyS
0myfVAhWVZjcoM+EIEX/qNNk63AbCekyS6igewGlhemTgyQtxIJORKgSEiveXMDYEgsiLCR7HN9c
65BYbMJjbmddyBFrmJVNaJs0GgYyCHIr2nhh9jwgZkQw26h5PwsZVXYBg1FWlkaq78pIXPnZyhjG
BcGyRkM/TsdXUSAD7kB6K5XtF+GpWvaqvhBiBWVLXAyrpsqbfdnQHlEL99XL6ZS6gnecEghNkuxU
fbR7A45EJLAapIBMWKd9d9HI/fOoDQfNi7ZZg8cuRxAspfnMjb37sTRtWW4YKEP2ywukvcWdN3K2
FFDMtFWzMcMpmK9Z9CM4ikq9B+Ns9yVckGAiduHqqhEDlSH630Kdp90pSyYtLqunBxCEHSrqCPmR
9WVKLI9GkqQfCfNYCg9NEc1zy3x35fAukF6sEil8qzg+GYCBKG9CFUNXHK4HN78fPKjRavcmc12J
FQkfYQ4ZBb2+WIMu6AYCfR5EDVRqFNpoj0ggwJjXrw1izjvwfmizfYpxfqhNRassa2cjprSo4qgX
1v5MCxFrWzSJOBzrvH9i9Gq4GEQa28W/nXCXN/UW4Wwgfaa+OUefOkD9b5C8K2I1N/m0Fe5EXSTV
L/qocODidqiHvUinIofCHqianRLOomca0DPe7/gp400aQ50371FV7ryQykZAOKAwLRbDlSmSTaYQ
F+A9js1NgrjYpM9xeQ7M4qa3m45Ei1QOl6X/0ChIt8DgSl2yrrh/Le8dMR+5yR8JdH8ZOFQoE1JZ
KQtVDnl6CPRiZw29Uye95wXzfbohunhR9be8oMCkWy3ytVXTW/nao0wLXSYbzdha0YdhbOPxOvST
aHdRdrdIRjQXBHOTKXefJTTI1iMVSph+qhYocutSjQ8qrlfJN20l3HfYows5WFYYoErlGmKFitu7
SLvPeLpz7VGqUqdk0NxxA2rVTgMighXSULz7OAarbtFaU/RNhcnH8p2oWDUjRvXRVqynQTubeunU
FAJVW86MjNQa2CjFSHd03DcUK0HBDUW3IccFqteUm8ULKNF5PJnYBYxIcPKHvRVDFlI9J4+O45QH
KsAaT0Fv5QSFasSellXnmMlJAEhpRvEGFdesJ0RjJGe05ZBQJy7NQ1SAobhLS3mbTLmkU0BpN0WV
Nv1R6y5aNSKqArGDQo3n2j90YbIodOBFcSudUg+kFxmo+RSGOk6xqMMUkBpNUak1akqtU0/+FKJq
/IxTDa1dOgWsWiStCvEeBa6tIzTPk35uqdlWI5c1mAJaiymq9eeW9m/cvam3ZLZuw2CzRC4sqmxx
f6Nm4h2iyfH7HPU/Xv9r94a1xZRW0xAfG5Rxv3Zu/nhCe6GL+vWRXzNUE0OjJTFZ1VSuCEjXnzNU
PqRRXpgGNsrJnCj9o417qkm+btzfv2vrW5UZwViOZBQkS0wvw745VSfg1IsB1AOhHzMEHwQVnbt9
89LePboXGWDqTL1UVJ0y6GPG9ZDtsRqFM3D1O2TB19GYK2vy2IPqYARzrDqVPrFdOJ8pjnnz+wPW
K9og20zGguN3G/JiIjbWpXmbPIEXQp389MzfleMlgkc2Sfw3EyfPYqJCMOFP55xxNs7MV1bSCw4c
OtyAXgm6YRvB0mSg+p0OvMS1ojd6r9otv3PwWrFjT575idoXdeiWqX4dfAeMCi/8phFOcLZfujsc
H+0J04K0tz6KhfGBPtjEcGFvJnMLvqcZxrVF5aBZ5J+KoFkHS1hozMhaYk3iGpTD8Izrz/HOhsGw
oH+SXgmAAnbA9rAvX70P7WDu1Hf+8rGTplfiTORkSJjVJEJpJx4AnjIccMYet8sbCbEYyKTT0wDe
Zj41iYZ3fDf0pLkygEkWoClm3zN6gcxOOasu+mN3Ivf4brgXD/1d1Q4z70DczQVNqNPMvIXloO0B
U0Vy76qV6LXeePfsjuNY9cAnrBrylR1h494lu+H9SIuVZRYQ9tvwGG797a15BFi+UxfC0gMntGLF
OUBpEmEJkEp2ghmuX3pEtvVe0p95P0LLsT5Ass3xQ8/cGeKjpXkviAvjOeZE8eQx6LI5aatYriCj
cZpP3/QzXTSST4qBtdjheKie0h2eUsYHaG7FA4CRbqfhD1SmNLF4j+OTrSA8+ZjMwa7Z4qwp5+oO
AiEnQ0CrG2GL5bxko4UO8AYu6WfMKD9tGlyToQO7Cj8H/rxcaPh2mH/R12H0vsQEi6EF3605nv+1
6yKqXIWUWsjoQH7wWPxXZ4bMwvllXfyr1/9aF7Ff8FkhiWI2kH6HhWpIT1g0Vc1EZYJxnI7knypP
YOEKGB8L3QnL55fF0UI2igzGgvwha/9UYML3+Pvi+P3Spant/aULH8WiZ2V9363qTF6ovvXgARvo
3QIhlYqYGuabVC0FWgsWnoah0uy6fpJzUMqK6OTUNkomrz0yBdz4TarXCaMeQQ/up9NCPRTM9FM4
nqm+6lABRIJlLIwEbowQV+D0Il9eiVrQzIucuz1UpXGfGoLPI1H7j5Sl+sEwsu4oDSaDG7eurafS
wKkHbv6pljN/UbF4DO6LiQ6/zQGEKpiHsYPWtJ9qn0xYzlEx8apacK1yImsJLwpLFucxWVoqWTJN
s1Gtq15ci2GYu9GwUPEu5H4zTwRyZfQzpgbSAaOFlqVHIyb8vH5lQ5tJcmb3gG1Exo1GZN1jtoCi
MIIpj8OPKCnzueeFHDQSM6Ncol9gMiWM4uIxH4y7vgvOfsrna5KGIGBvOVjZHoGRI+YquXm0+zoG
sp5gS0q/MGLgHKG30QmzbigRc7Xdx+k1Ut8krrQJG1vN1W1jqhmJxdJ9L3f70swvalmuYyAORdXT
vNLiT8NEUKlExGX3CdE4lEHh0H2E6moiLLeDSBYeTGrbd9Mn1RLNkweOJidCgra+sRM1KBqi9+S6
JDwBoPFq1GrQxQIsk5CHkx4Xtwm8IjtXVmgP0zGLcPl+6kV1u1zb+SGm5kxyJBAsnfGc8x9XeolV
NAo4FCWQyJ0W21XZbbCAzLQWLkeybYOb0IdOZ0Yrgz5pLSsbPXOvmhbSrs2Poi5tfTrPGWlSOZHD
bRfPVapVdRxWOlPkztU4feYLJZHXegwQ3uAaPMT//vjZ+y0nSHMmag+hBSYIBBujAYfH7Tkb6YJy
i5Yh2Wp4M0GHe2Vj9/CF2lhe+FW6jvKDXI9w8splExFhQVkdifrSSLo146FZmqckJyAQRXVktvct
5cUolSs15zPg0s/vW2NFjsNaiFpG1agt26cpgaGqu01bHkbG5FL24nUe2EQOccWZ73+wMES0I2s7
XqeM8AziKmCtx9ldptJ/VJTu7BfwlzxsP4GXko3jqxIbeWKUqyau/ZUex8GDl5rSrMgyeq2uycnH
vXhCcE0KhQqoXVhmvjOH9oxr4b6XzMciKdfmwEZDM9Bk9KCNYQIHHiyQErJt8Sc6sHoee2Jqqw6/
kFXKFPuG+grX/1GTOUIHYwZoIdu0Hsg/l7ClVFF2shSEc6uFR+Ardmj0T6XFjMCIr0Vn2aaJtHcc
lw08LlfonTYzN4Hn2kkdIdAN5LuUNAqxU3ejC9OAnkM1AhST27OBQDUX5Fnd4QznfBX12szKQwJ6
mcQLBYxUPCzEJwrlzXILwUFIJYPp81cdcV/0PTa+IR9SIUX+iVAmH/CXZdXcx9QtMIHL5OkkFJ0q
N6uZTyKWi1ybDA1b5EsFWbNUu4rGacFBviTfygzfC0uwx1bC1T1wX+UYTkKa0T7iUVd4V92BqQ0I
AWqWROMBbWr3U5S8bakHwJcjepiMPVtoixY2EnKstkI66ria9PsmA+9kaFNGndbMJB3yWl/S5RAj
UpgtRDPKNUCPFfbZukq9rWyR+Zm0UwOfskcHI67Xi8IiS0mK6lWDkCERVMI7aaYIQmv3gKKGXCEX
aVymmupE7GlLtUXgS9MhMxH2dAQQl2Rj8nNofGvOgfldFJGwZiAlLO/SNMJiEGjMpzh+O9CjZUx8
lz48G2Dyrdhb5TznEa5yuQUN0dAbH2lDide+StaB0j01xHwXKXEFfnbSNdLhsGalSbEKh/hWEXkX
4+5tjeheVsqZrxOfLcXbtMDiXXczretgoZvboAfn30OBQ/HNVvDakCOqi6adyZ+SiN24Jne0TGBB
IWc3td3gkUSlMQ0JKbI6grR4MIDKusQgNPUVS+POK0q86fVkCqe3ZvAdusUlkJF/9wSqttZeyoEC
CfqbqBGZnJnHimgZn41jEBSK5XCf6pVjysBKdNxBcQdHzSLOIdEIkeOt9T6r6Fb0EnuE9mxknyLm
AwmLgEfsBY1CXG+k6Um1su57iyhcDi+05GUdMDd4r5EyLij7lWlgEUpZTBu0Ty6+nmj8SCKPIcK9
xmS1lcBd9wDMulMyVo7n3uIo4bzSX0KBnpfH4C5FLSMY8aFMPwveUSXAtAcICst2GoPOxpiwRZS+
1kZUXzQXIl9blS360iZipmidVbngDiEFBwNwa6QHnWK5hFTsN8lOVj9Fc7xIRMaKof7mFcIx9Del
nB5EmvJt1YOilPYtzXuvRXTkuUpOLxU729h8pNmtaQqslv1cc2EwJMGKcACmJAJJPGBje+pn+bWU
zY2c4fISXjP4RKoxC1X5Wrg4NWSBcAl+uOxIIAxubktzbXwOzXTPjfVQ06zAWxnFMlglVdmnZbNW
Rmljjdp9Y7lzw72UtCbywjsKrbroKw6EARwPt3+3WCSmZ04m/sZtKgzwhIn/q8tn1cSATHt+4hBJ
/20oIH8fCujK99f/WT4DVaKlgGdn8i5/1WerP0wImeRT01+Ycr1+M0nhXeZapk7EL2G29QMupmhY
fDqNKl//R5B9tN7/WTd/vWb5m5xAlTOpUiKpWbm4nWZNaj6LOfZAM5AxtI4dbe2isaMycFQCkDBG
MsbXzKxaqlVAzCJ5MpCMj21vPfoWfoKuvNT0Q4FtbooU92PPcZl2WenXzAI60jfes+HNlx8sRbDd
1JrxTgA/89ZV8Kmn7ozkil2rmvaY8FWyB0l+iGIOou5dN777bsgokyhUP7C19KEwdnh4upb7eyzf
AwaYJB1sVIPATjm33gpZOSRVNPd7gDFqtNayl6B8bdPh0DDHD1k/A8al9cgqkUKBAYU0FFtRow4b
mlULG9IQ1YXGWoeFiERc8nRiaC/jok8U9kJ5UWfnsLgbPeUjVmlpqAjEBqRYFenz2jY00IKAjxik
/N4alDtR7yCYueWtKPJFE2qs7ygVGqVfp2HHecJo1oKi3E2BBzteB6rDKCDLGfFdp7nzDG4TwoUh
zuZmKm/bsNq7GgClIb9VQbYYIrbHIXzVJPMqtbAIBRzAm0gOX30MxiJ1y7KISNeNTCOceRzEPRgt
Rzdfp/wgTKbiWgiaKfPpveAajuJ0ERtkZ3GWl3FmVnroqL6LKUQ6dQORnCV1kNIUR7nOyVhUhXuR
IbbV6th8oKtENeNKik2yb0A9YYDpouzqyZxMZr7XZLeImdg4j0o3vfrVm9ugV6Qf36e3MUMsbJ1c
d5eJGdbdN7fT3yU0hkgqa4lcLm0Jm3uW5OU89W59fpOFazuJzupL5xecW1aMg+ZVS2YyGEfzOiUs
aZwQJMRLCfMC441kz0wn6Sg7qwg9fMIkEr85uNItRwWuTttc+Klo3j4VDDTdJP/QUx6wiQsIsSnl
wt4ESQ59cqBXy+6vmOw5Fh1yT1y0+Nfi8r5gVlMy+m1hY6ZduS/klFLXBEynyBDGFWLEL2ED+8LM
Vop6qxBMGtB0RoMmOQdSkshmuovzHcPPaGb7kY4KD9jWY0KlodxODPhFJZkQcbBou86ZrG+tBB9e
dFd9LOWzcRwcmXzbkr2nAnOnd9DigROarXJquKuM8ebCmm4Y8ysNZMYMSW/4UTHyNxrAfuTC+kyW
FLQ1ftAtjYnkRMAtR4FWjfduSh2uf7Yht3VI/ETlM9QH4pE9W/jhVfm1ctHvo5ePBuPUV25J1HS/
9Yfb6AM08wJ9VxZG7phSHbLLtKhumjZ+8f1pZIaEoUwGYOjDkmP4NiLxr/Km4zSWQe1khXtdOI8c
FaE7jfphZN7WAeiwBM2u1HAlyMK8pd0etqeyFGZhINkDmPgigwnWMT5wFWxXsHE7UqpqgbM/Y0V2
eQFWWQGLQK3ap7A2Xzt1pF+YKju6GasxI3G5QcfQJMPDaAhHJUGFIWjuxqgaUtg7iApogctzGbzI
lp3z9gkcBV3szwqzwf+rjn1iFSY/bW54W5SeUtSaSnMweFsaGQWPULqHIdy1LaAFAnV6iix3ZzT4
DlkZv3S7/8Kr8k3wN3VGNAX3BkmTqqT/TGb72hmxhipURbdpVqEPDDPj8WUkpwsIM7HAlSQ5/v2X
mybjX9vU//P1iGxjH8WOJH3TQ3KOFEpfqJuVQgiLmmy8VFlH6UtJ/rRPuZMR7c0g123l5RjLTgJs
/u8v4C86QZoyJWoaPFcQQb51gihShUTVc370gBJCDvHlwKTSGmaGcP/3X2naG79I8f74Tr98pYkW
8qXnJAiFGKcxXyl0kXeLHBWy4o+pzP8qLdH+6muoiqLARJQUjNvfNK2lllJQAuBaVVb9CN8hOglh
j44pAbbRBy65MtPmkkZg9SQ1uxLKizSkD4kBGJcDHo8SN2gGhAJD7ULqQcF1+tYvPpSAJ1QXHo0w
d1LYPx3khiTd1wkhkz0ybyaQcgdyIlQcrSvv5BKZUiksGgbErkG2fBJyaiwrlylk/Zz0vmi7odxw
pFMgnzBYSL2EM4N0lDQibhqT9vqoHNS4vo4job9uMm90pH+eID4LmrjsY56un+/Nv3Gc9cd9pFsA
aoBiimTNfrkN/0qMIvMXvrVtEbH89vo/606NhBfRFP8Tt6n+ANku82HI7L/XnWA1TdNEFsPFaFzO
hMH8s/zEYCjJImk3KnJn8x9lzFp//awSFSWrFLnUtb8/QX8uk1V28PsHxsOmXWaz+C5cZEuafFuT
g8pWde/lcN6kt+Ac8Wf9CsriKr6LH8a32qLemQ3uU1w63sE7BAfjjow12ibhaXCfOUNb7kWfm3bM
GdiO1+MiOVSg1HZBvSvORQlg2qPJM9OfS3kOU+vghWRBD3NlXHUlLMsHmanQBo1mGT01SYt+czky
KQMCMJObQ9lYCNbm8S6Z6XsO1aCEn0/6QTsKj+R3v6JfJrVdv1eOBvpIgbQDW1z9a29zbYI5sCWY
k/tVJZrzv0xtxUlm9+U2/6vX/7rNcb9aTCcwqorcS6yVf05uJ/srCyiKqj/Sk7iXf41u9R+EHGiG
pZAYIMOk/XKb63xCbnzCnDhh/URK/QOwrGx8W8W/Xbr1c8/8slMMQhpWZYpUvC1XEYnAAAatbXtH
z0oRnADm0524F6kdnP6hN/ftsdrAZiP2aBNf1eCkn+G1pW8EDk233hkDJVBFpdz4yj1zMmoOWI80
X0AzU4dCXexOJH53d4QijeVdJC6rGu763qiWkJs1gkn9Wd/M+RTClpdbCHIt6KgPTNXGByKZgMSJ
xcL9IOaekVy5gArLi2jSgFYrNU4A1oa/Kr7AueVgoDxCgSbTnckcMR8oDeWfpFymeCSb9HfpG5fc
FitrNSxp+fD8OO5W2suffXlymfvKnx1BJWli17sEY1a5bS7gitwlgYw6Ffxa3ec0cYqLu0S6ZZ4C
+meY6Ej9qC+TVpZygq9xlVbZMvqIDu3Of1b8bQ2KS7fb+Lk5jA5iFX5TLaMNUEE8xev6KdgrJerT
K/+KJCd+NEcMx8Au79SDCVXcJUKK1p72nhw6Kn6up6sYTRyFg8lhyEBo5ZL56L4Y+sXXVTtBCuKR
Q5+A7WaiiWUQi0s+MQ1b5unpxmM2m7ILp9lTKj7mVscZalEaD5JxELlQJshQ8juUb93aDx8ENTv2
QbdIh36tocnbkNfTHSkZF2OYL+TYvKdWTwh8KTUn4gDNqdV/0Q3gYsfGVRg52X2/15mromDfNLt2
mdwhD+Bk1dW2INeLND4KBWBtzK6fel8tjEFZqvlVBU4RIbTh1E2vEYBqBVfyPiWoa9/rz+qEdTq3
0Eap3lMW3IgUKgAemMnER2Ico5m8BJ0882FzQP92XOyJ52Go57zdkb75Vy95aEZUxJ4IRwx8+H+7
s6s0e/5jyfv++l9LnvSDSatsoBY1ZdpAUw7jL7GKhJaUL6nTU2KBU790lORpyUOLQt6KSpKzoX0Z
yMLxIXMFBSorH90lUfsnahW6VL8Xx9OS9/XSNRbXr8UxAx4lU7MGlUFC2C3d2RLrnZYKRPCkGr2M
RMaNRcOzOqghnhlRHuiuAuuZ6aXsG5DexvFijAIhjdkUmIDj0o9fWjFOZoYsYLBB9ZeCCSisVZVU
P5FWipssWjXctCHaEaF4LgN/OQm+ykl7MUAX6MJnq6qdIVDsMbYojxPORB1K1XAmhB6uQQnoVtJh
f226ud7HdjFUq8xD5OB5czdJHaWicE3MvVnJO7G3dm5H3IaGIyEssGHIuzK6JrSC/RJZXAbHyiXq
FxwL68kqKPDQMhpSA2WBZNuPnscq2rgmoneTWUpsIA6hJia1QWNFzPHEiPGRkQktXR+OssAzj+je
A9e7V0wmddIqzqR1aIQgeYPa8T2XCBlT3zALvdbocVWxbelYVKUJT9RHUR6KEEEq6G402RPloUzG
fkuX6KGp+sxpaFgf1EFFqYKEv5Gh+I3xrW81a175L4KVM9wbpIdAZTqHgnOWG808HeWLZnobVdKO
BpEfFge7cqCDNuqromOF0sZFZ+h0SrRgWxn1U8qul4z3jBJKPnhTh3YTl0KjOYlRuLiNJLyPOGDV
/AnGOJPkTHgYSlBuRDY0iyDASxXlavPoKR1ww4EFq4geUsuYFJ7dS20kBNLF/rvQxB4CHY7uRUaW
hGV3lbLOav+ljOBDeBAKMAkeQjfVjw3mHz81t7pe6k85ohivZaIlRvUGGyGE6BKTi8rcw4ubVyGn
eWFJT//atYz+tTFlMukWJ4PJ6Pj3a5lMruRva9lfvf7XWib+0GF9wttTwIyBL2Gt+LWWiT9MThlU
jT8TZcmW/bN8M1kBLU0CIEbI5YSo+POUYpILQJVFgC0kUQq8f7SUTV/+93P+79+5PnU8vlRvYiwS
e8tVL8uoWxchzdeEpcaNliqCuAqccZME22YI5qGmMhzrnZTeU0Zye9R5vV0FAiIHlyH7CAecfPTq
vk31raGPtPbqJfnScoePNqIbm+xE7jdxfJRwGWmGsYoqyEVF/9wb92lMikaImEtFp4G2GY7juOXx
Xzd59ezJ4sIvjNCx+v5a+S35AvpGDYN5k2XLSexPlaggiIVJ3db7OtwlNSjSrPCQ3Oqvhi+BZaLr
VYKnjluCCnwWnmGCNXVcSJL5bxLu7SKMtpESObUKhnHqJxEjk4nGkgTqh1AXF2JgIXKmJFCFeYQG
wIoZ8/tzqIRL0H8kLplVxXhc7ZfMOZtFpwrY6VR5HY0VogYwRDAjTJjznaae3D6inIiyQ1ygFLaU
UXsJDMoNbxjIbFe9ZllUhJ70Cy03s3VUqPA0VJYDU2W436b3QRHMXVMhUisroYYkOLJCHchH0TwE
JRZxZu26T96HpPt0SP+1D/VPTamEc0m1FKSqMPz+tkBRjGl+9NuZjIfs2+t/PdTyD/ReTLaoTyZZ
7CQL+/VQyz8MGFRkgMgEUGvSVLv8OpOhmQX+x2IhMePi2eZDv1oPxg9Lo+QBH8z68/MT/oMz2dQ9
+/2x/uN712hlGKw+1ErfKpRkNMxB8nR3aXbIehh7z6bzBBKH9XA/Ik+Yx2vpCmFNmAeBTctq+MzI
SyDuCBvXi3x5NT/YWm1OUqfQJneQUASnhSsyLHTkF5Qbi+iSjCt/Xczrhf7SLkaEoPWSg9QEnKbC
5glZNTNhgZDSzjftEn4t+k80ES2S8TlxciiAPDRLwGIcY5dhHJ3plFBrNFHxflgxCjqXS3euHqQ7
cUnYzUOEbbyCvLKIE5tL1t60N/9RupI+wsSj+sQHAGVlh5V2P4EGCJHCqSkuiWmLd/wdS95h2fPQ
e6wVDhZ3pTqfdt/1sAw1W6lJD917RrIY9EfwYmlq2jqDAvPmVfeD+IzUSM/eshKX7KLgIGQsTXq9
gBPIGmE+BJ671+cKa0W1cc/+jp+UY83qNY1om0KOINgeAnwtksZrAz/l3wgYEslJSEoifwXJAWKJ
z6O3C5N5BEYNnecDg/Gdzs8/RqY/69DM34IdMP/u2D37r3KxAkWWXVlZwf3Lz8zFMKWz5TPqConr
mgEdwhtSvQmcXe6qXXMdD+5OOygH+dGwm+mPRUSyOA/OqJSFD+Ul/QT12GPuJk2Vwy0IjbW31A7p
03AXX7qFsiRSdS3ciregsY2zeEzO1iHfZmdrWzN9ZNUnjHyW+k4zV+nAPuKC+pRkB0NpM+fm6y5J
aVcW3/YcpI53rz1YDyPd8XsfvfC8fhYep7iEeOHi9zjDPlrRLPDnmb4YXSZDgU2MLV0sPEciiQ9y
uhSs6a4WP1VCbKr51CJjIHML38lbYdDGYCmCaDtHNpJbk9w2+HRPU7ABZmcIRHCpwrmO9qybSXgm
JDSCc5wIcbsYtMl6yOgrEFaWv5AxhxKKsRwaPBsHkfxc6Fvxkr4DFfeK0/2ivGTkVjFgu8qAAKbw
3H31CPbSvamMZKxZds3WxMgFOK7JIogweu38mYdbuHbSnULmuLzt97hE74Vl9478wTpiA+akWX7g
Lp1pmw5sjbvD2J6cow1p0wSX2mg87WDX4aaeJrzrWN6Ib83V26VbPZ8dSQ7eeM8yQ90D0WIL88nd
Fo/FWn/I58Q49o5H086JX9jUnd7+cB1pi99lXGZrNja8qGTa8RHL7lfV3tj279KupHmyDublE04r
fT0Cr3rwHbgdW/A2+yDH3juFC3Tusr+FB2/n7pIlWIQ5vuBokx/95+GQt4fm1D/yJziE+JWsraWQ
OD0+RfK5BqJeH/PRbse7/FJf8kOZLYt2hs+oB74E9says30wh6Li2Vm0rF6ANCMWNFrihWYtUJd6
XtNDMRyyK6OLcmfthC0sQxxOi/Q5a3dGwKl/xo3oP3oH90VHYgq9g4PHuOLmAPjFTJJyuvpMxLU6
zGv+LimODrxNrwM9OhMP8V4kY82bEZI9Mc9eaIo6OYGWDLmzDnqP5sjYdu7yo3ZFQSZ+UpfPAf6K
TvveHLRFUC/kz0Je1ryh1jIj3JY1lvxHpmR3xa241AgQbvoyfnSX4pxczZes30PYHCK+zFifW2P2
lIcPMLpKw44m8joSeQqdT2E/LRHxkygtwC25KzyyILrI/YjAzezCm/iG8PaBlUX4wK4UbvJl4tyK
XW9b53i7JMNulm+TZTSXz0idti3ifMzqO7zx4E6d/kmlzUtEIsC5mTdbrx/5H63qowasTnW8vTEH
W3VKL9iUdH+NiNdaiPv47RWdJ+Bt6TFaeSFpnO6FphEei2FNQg5OYfcSwN/u5z1BRBYBcTCQ5/WR
o0v5TIwos517rXKMBWLX4dC/w/yEwOjzC/QPOrkmmwMPJS6FzGCb8Jz+nckRkl/WlvYlfdallaWd
WaENuBbt0fxAqwZRmWbXmlkgcSp0r8LrwL5AUgiAITYctErwku4hdefFdDm4Pvj/rrcIxEd6YLyA
l3f30iM8By4bKQGZFQr2kOHA0jVFpeAQ4fWLdKWTdN4dWxhaj+OBhRg8xo7l5UZNHG/J4qHrhNWC
3/ExmJNMU9eiQqyK8jIuUSMTmMmMik7UPlq7D+ml/bRO5h1ZMxttiT7MOGmn7hpe1DvhbOzfwk/p
JblWz82zukZU0Nk+6Cr/KbkqLxX8kmgn3pEdAjjoM3sr+BlJs0C513cFKc42BhG2FsLO+U+6ouXJ
A0AGkPLSbsaTxC9cCJvKkZbtRjpxUp8LS5a44SqybZ4S9rYBfsZs2HJqzj/C3s73gSM+pZGjSnZN
X3VGiqWrgxV3Rv7GSZfn6qpeSh/Jon4ZoH3OE0c6dyeDs0N2ImgFlzt5LKXuVMYyujJN53ThOWe8
Jf3e3OY5wEOsIBCRyOuGeXNMSNnmT2V3Acwf5pJ2DrtdcxwJellMGSnpglSU7j2du9tGODXNnLf6
GRI8i8bt3N31J+w5q2TbYCAFp1QsFNZJFnN+ETLZH0xCCGbdHdLzjUsFU++NW3eXbzC4DdIT4TmW
bX2Q5Tkr002xKDcSixoJH+5WO3fvcCWOXCuQ9Ku6mz4qoowLIq6mO3KlXBfH8CnNOzmEXE+B5o8c
Xqc2QO1BhFxk1gb/JYL7YenvXcA0lwn72M9vE/cxc6I3GbWRYSfiBToUgk13S4I6CiTrg38p/Uzh
Zzs8VEccOeJjexIf8Rmuimd32x+4RGIxx2Up2uaqvec412cPRbdk8SYoHOi9yI82vx/nkJVs0UHY
iMOHu3NeU8ehdvn/3J1Xc9va1YZ/ETLo5ZYECVaR6uUGI8kyeu/49d8DnZxjmlbEyXeZSWZix5bR
dll7rfU+70rYji/aPU/Hi04XvYMu6UHaJ/FNuuCtjy9kpMQ5ySz4yWi4+Ba0IAKJbPTJqAl/Fh/o
1z2W4IRbdHOHe7iEWIxK1zrOSUu1WeYhr+ggtfuTGP6L/oDPFq+TMvZfcTBUUjrTqDOj5Pj9eJsn
1LCBPLokxBb5O9WBjILEkjJc8BDvFNrRr4vZncASSPt72Ny7yoL+l2SXz25RJ12iKf3JluJAQbEG
Fw+63DgE/H4zqWt2QiSoLu558qbdje20OREq4nE8OOoLVrDt8qUgp28lswDWwbbBF8q3j75wa23S
zMHKeXb748IbOksA/PsN/bqps0J/FPteHUncVAHdUFs2jmu7LPHuD+8DesOCJjjcNWWAo6kTf0yd
m07wqNnf38SUKz7NQvxxVDuT/wlQX7O8kVzHphVcN+YevXDWJpQecEqYJXXtpIXxOmJ5mdOzXaRX
PnYIcH4cMwwJCXFRd1zAOVGDeZaUscrRHoRhw06UEUiUgCt7oM5E9WJ7G0gPLQ5dsvJOr1qnvY3X
AbviOGdK1k7tcBrAOwqbNYpNyvrzKf9Hy/YcROmuUacGzU8F03cqVJlD9m9nZ370j5//++yskhAT
TfhUosGPkcv6dXZW/2WJ5O7hsaqUUbWp1PlLbWXQRUq5nuM2h3Ll19kZhsSnLMwk809ddWoD/W/O
ztQCfhuLf9z62YQQGypkVRsO+FVgJt3j1M1Io3jPSa1wqydlaufryZSj32DGRnFAmRLlqG6qyE1r
RFoeHL8qyCnkl5QG6M3v7UhT75Q+8+mEF59GVXzmrXN0s6qjG2B4FljEq2V+lVnov93QGUrtIBsi
EHlKqlmCAsDs1KUCWlKo8HsiQV6axpr+v5+ZIL9LPcCheLyJjXhfAeWOELEMg3fja9BNwYQBjEKv
kApE8VBt2s40D51v0A7geztDK941VZj7bJFThQLfSHQM40xMYw9plLHMygyJuICvCf4/oeFT44wh
g9Gk9Gi69JaDRF74FSmBgaKII9LW1ueIdnVrXAZDelXiH5+7JoUJU1pBbmF75dwrF8l2iBF8ubma
PhpqeS1wMiYzvzc6fSeBYTLI0g+eYLv07gRhvAi9fNfqBtwAs18KVbLUOjAwooKo3uCc0IRvUhuu
IpjmMx25ZyOpoGKY4sNfG8r/4hymSjUV9+GqKOgaMSm6kP+Spun2W/7rz5//ew7TkzD555K5pu9B
/IRr/53/mtoVVPY2vjyycBSS/8xhWaO9WwUS/mui/pP/4o/46yjX6RlUjani91/MYVk6m8Pnj/7Z
m3OS1VZzKYktOa4cYuMGLsl+iFbNq8Bx7zMrYdqtij3OxpAXuWgvt9Tdp07biJMSjY7eXYR6aW7e
RXNrEQLTLW74z9UE8E5muS0dm9mPZJU/o8xIASL2/N2wWRNjWETqPguBLSGBoXGXQxwKaoithrZG
Q55Xi8AAjLHV6b+Ev4tfNacQymjhMtiI9jifzRez2Y6zAwaZHP2XZHMoWKPBRiE5Q7QJYEmdR6sI
gF/3QlMFR9BNalcObkPXwmMvIgSvscmLbf5L0K8TI1M2N/HNJXKkRm4CudVtDKjQl1FLd5T7KZTL
OPWTn18OK0pYy+JOh7eJ0hzg6BNBpfaRvE8xOUr05jBFt4BrCdMxEycsJlauW5umUCwytPvMzgh6
A1C9xXJaTj7Sd/Oe8JFQ94eOFAXOKrbjCt32kIOXeCD8wKuAiH9eHDfCOKecVV8JyqYd7jt706zb
DFM97ux1ErtzuiJl+PP29n5evSlU0z6aaut/RO0y3GvPGNaPJDc2Mro48Gsv1eH7+GTaXX6PT36f
Cn/2XaZ5wgJXOcotSVR1k94lnBIFUF2T9J+EmvpgMFCafXhI9hbmuPm26Q2HDgPILeWVuDMfDUSz
fjvg/7qAo6NfqemTJi9DbDQO2aM5/3dI9b+4UJEQR1lt0pKkmYhX6fY7+Tp/9giqqvE78uKrn/97
oZL+RWkPhAVKn9+VKRhy48MHdQpklfJ7mh7jber7WOtRm+OmYFL9s0xZrHs0CFJ7+wtk9V95cluT
1OV0WJ3f+PRcp8W3vI3jlG4yb0IEDNfmfUuB55Z85T2OOuQ+a4LdsnaGYF0092IF0AlLkvfS1mZ0
V7+37w1G8jt3T7CMCcaIJDG/Y3Qat9GDQYrV3ScPIiS/T7Sdj4oRshTkAdRm1aL6mfKDA1YFw0Y6
2OWT9+A9+GvvwQjqrSInjlRuaulK7w5vRnsVcDrMb5pkBYHTTNCn2jqZyAQ3LN1ucU52+2tTkBcd
+b10r6HCshXfFtvXVsLnbxFIz4gVymGnIPbOcdhcV2QQcuNHoc7czBmUu4Dfiy6kpr0Zb6rx4LJC
JPT1l3N1wEeP5Ykew+axKtca0BpjwLPttlJgz9luTU8U+gXbVwFXrzr3oAX7wFxR5q7F63BAopkB
6LR92emTDQ7U/YgQci2byFtvMvPgZQgell1GbgHYl4IfEqqZJEEJyNlh8mYFb2cs43yhQE3FKEdS
HS/i5FHOog8yK/xvCvDu2cKd8wNxRljPBs9uzDXsKc28TbOtXq/CaOW6qBle0/SqSJ89HAUh2JP3
6Oz4za/pDBuwj5UXJnUQSvbYl5B+mxct9/2E+0CSv465AxNphH1oFvbYH0bUowAmQhG16vXI6X1y
LaPISOZ7IcyPvj470gz2cQWPsf0JRihDSyL8tMSbKL+Jbwv1EWVi0t1m0sGK8Zd4k1H6o9eGSPlW
xG8KmboyZvtSrvxsM2tpSkEW++aLDlFqENGawNo9kAUu7MBRbpBOH/NH9bkucF3ZWwvUJQssxm+M
OfaJ5BCMe7rFPAFb4nRFPHqFlcpw1EDTB+LPgsTqSFWCvKO87nAWnvyvARTNQwQtQkV8h33a3JhL
/iMJy3pWtg+pPbkSIz+EgW/n2stEc5+gJtSe58nauMYy7SdpeWJCfDMQQvOqoZm+ep7jegsJPS72
5pBT+O7XsFYrMB/uLmbEvmsaQhLR7pXDzfH9fee8Altd0CQxJ5+xrtb6MlzR77MyZLDdk2xFxOVb
ObI1gnQhMUuyMGUHHa2NggtBLjIl41lYrKp5otsiPJbgmveAymOg488CCJcrexrPmxC361tSKCZS
pqPJj1bhpkr8nRB91OXOs25q/Y6kJLnHt5aNvBZsb5gL5FD1Z18c7EobCDF2NSRoNXsReWcKdSJB
S5aR8ZBVx8B4IA0W44/HTqvGJrFC474bEM8AX80xxyYfWcU3bFQqfuGYOayTnXdHylHYB2tvPTrv
muJg1D2q23hLsopME3xngfge2CgOBRxN+D6kScvH6RdHPrTo7oRg5Yq2yjkg9xeEHDAZ6JQfN/Ih
w13vOGA1H9j6XRO/KvVd1G3o+StzUllX3civMCU25h3JiF2c36aQ3pNXgwwpYuD+Ju5vuF3hwbgH
tcPs5SVewyfmDOXmTxCouuCth39TQILYm+M2U+lNQEoGvi1ZiP42EiG0TLEOTlV7cXz3N9EBW6c3
9bH/KF+aW+meBxRYCDssoqOn5mhOXsrkvFp0vTXFGnNlPJDjwsAaEvdsorukC8YAEJuPKZtHLpCy
i4jw7p2bqcFuWDMmjkwYs0GBypWRpXzyZ7yjtMGPbPYKuWaeAvuJCdty2qswCiUf6VPG35IZJBdq
rv7qaKXZFO6M/GKtDGyqp5ZWcDHjLS2qOl4gr+ILv7UmU/QRG43uCeARP1HJB719yaytvHc/oMmI
L/S94hWckIivUBTnT/xVifEvVx9eeAthpqNUUl3hc8i/xIWpM00MnyR8AkCj3xsCeRLysff9oQ2F
mYX9sT83dv4ut5F5z4SV9wCUAh4ePh6oo2cMmeiJpCWJUrMFvTjz9xIGkMoNvWzlk7rX+BH3fnCk
W39XAD6DQ7xEb+Ios9vrn9SelRlpxHlr793xulxmC6s/ttn1rWdPoKBtMhuXdEc5dA1X1FEFx3DB
7T7Qi46MffbAJMeFhpc2tfveq639IN0iXXySX4JhZvcAn5YSyIUFXWHzelmSs8wh+WqHsXrmRnid
pInh87ivaADRvT+0TbhK4GhzdM9twwDdLEKCYv/78NKYRCmpTkN9Q1rnUAX3OeZiMiXemfcuRaBi
6jX220ezfVEHbUmaa+pcjp/Ggg5nh5Zi3mpI6Yp4UF1C2JBFOLPz+NojUL/H4mDcR6Jom3s6j1sE
bHj11Q/WSpmxly90Z1zm6+bV3Byy7fisreGWzK0jVIoG2Zd8LwO5SukjpFE4dsSgmEM/5hQgyke1
GiBgNnOTeymCdSOv1QeC6+M+eR3JIyxQIdI3EFVYZWPRaoPCI9kmfjTsDiaiwuwQVcecHkJJg1X4
9PlE7a1ebCUacreDo2M+DSB7KSzHowlUybCx/rarlXVXbKnZrfy9v69W1dayq23s+Pfh3njWkcK+
NW/estt2W2HtwX3kaJI6gZ3v8/vcCV/8jbiVH9sP+DWmsbGIq3PazVGs9zP1UX4Mr+W38CViS6Mb
c+9vvGXqpPvp3+pWsSOsdeQK8CopxUyNDVzfWFdb/cbfZ29wC1HYSdQKIHI+Zo+9tDSbZfE4eM/C
DwN0pEZmIjjCpq5VSjovkkdL3h6BrL8vHkec5EL864FcIE2dKQqplolNm2JvD3zlbjx6b8Gj99aA
NLwefzCI/qfTizhk0jozNRCTRPg+4p+yhL+lJqYc3fnP/x3xa/8i76EjRDc4J6B74Cf/Tk1o/6J9
9LNrmPTaP2mJCU87iYjQUFiTmmJqA/p3W86Ep5U1HctztOvTz/w3SYlPwc9JLeL8ppWzaF/XaCQz
e8JXQ6332FLeBJF4VBrJwgZqvJeK+CCW7k4XwlcFr8SZqY/Wskh8WN7EFimV3qLOgbQpi7zyd11r
LpFMz4zcWrbEwFZUbqdO1QIhdxub10KLMxD2NaY2vFdsAZJPqwTCRZmEeT7Qx6F5OpM0A/49KlWI
5KJ6So3St4eY7hyhN58MpbjKVWIfUCRoMOOFyDSrZXGRiO1PpUsdvuxzivx5m6T4QsOgWode9+YH
cVvPagzB5UUv0/KiYCstfFjGowQ3Ola0hdmYr0afORbOEUJE5FGBYke+HMX6VpJo9kPTKFkwnlQE
CKNvd0V7H1mdY2mtU0hkX5WGBUEaDpLLZCuR3ptYYcbJUZX8t2IcrxSjSu4iV0s2ceJCx0p8OD6d
Iv1Q23gdKj7ha0D8o7q7YaTC3mJBLFTKW2Wpa887JnVPm1LSH4s82kpytTUHIshyvBPqu5hfaqGB
VcvQEjSV656EaDYScniN9tMqFGEjNLWwh1C7QBJmOalXuBAKrWPZpcgLZRfoAHDcmZ40OwzfH6JM
ui3GnKJUiuuCh88PKBWg/d3axOCFN3IdqbEdmOGhVvAKSADdJwa7Ek3ErSq/dz5qf6NuFgJTYWnV
4YurSxujbRR8XHOaQypcAmKTZitSyhS4Gtqk1BRy/iiKm1YoNrIwLDvfv4tdeFE4i6s+BPVCxg7H
PMQ4ajpZxwcp27tWP5QyOhLLew707K0i9a1DBDCVK0tl9wwq/KFzopWx1VxsE8Odng53EzpBLRd9
FN0E0BcCr8ZNvAiumj50Eo40ISZ5YkmqzZcWYW4s2th1OBQvXFSWWjXl0y3FnbImNHsPS5PYbBKL
Z157X5juClrvQ1AcEwk8lPI6HRrr6lkX/AV4G6fz012mwBTyEnWt+Oadbsq8Q2C6Om3yGjwRK0ft
Xli7UMjJdLvHXFDnCr0XSYMBQ6fSummsCnlCW0k+NkPN3HNJ+HXtrDX0md8pK6L8tWYZthHC1+L/
r1jSjWxvjNempHJu9K4KOKfDAN8mvKu19iAHz15N2Bodup5mBP+1U98KJNxNK24UdKuQBmmvp7aN
K5U+EqkP4nsQUSNvtYfc5/gpuuayrVvO/8l7ITX3dP5vATDsNQEDpArdSxD3y7BNl6hkgf5SWyXc
qQVlJ1IDBxEbVz35QIsif+lZfxUS/xcTTpQbVYoIlJ/goVCI0tkMvmOsWir5wN8y43/+/N/bD3kl
lYSTafyim/y9/cj0dOM5ieruC+kKhS8R80zMRy32rl/VLVQt7JOQj3SZvtLPwtd/sQlJfyQyJcU0
p/obzegi/pjTn58kxvHC1PKm9DWnzmi8fun6ewmNs7opmc+igsKCJbagf1MhPGI8KeNb1oZ2ET03
ojU/eYtf1Oa/uJVPjvzU/47QRz/bDguNec36rDpSimZl2Bpqt/cyfzWYxoUrSdM/dbLz8r1ZS2HN
mMgoJYvt/PenTqIxMlICBqeAOieUpJNTnMbICRkqPIyjUvhXsS7vhja5+f4ZCR3+uLAskkekD5h6
6iRuPn3dqSfjn6GLqhMpNNhp0KkLY5ZHOMCzz1VFiK9gDtnjUqfBpctSnD29rN5YZpoHXHYC1Fgk
QOSyWCs1z29ZTjiCmAWlanrShTL+OR7h8z2fPu6U7zwZXV009n3ecl3ghTORVsrMFBaEPQtLHNZK
ny5FavYF+EWNfqwU17sW9/oLH3sqz55/a5laFlUoKKHwjn+/h0BRsByLGtVR9HezzneqXjtZdFT1
ikwHob2lFRce+89ea5zgf11RPhvIpeAnUhO1qoMB3XU+kI6o6mNYP44CDadWLV6wVJvyz9894RQb
n75l00ubNrN4wgEcHPmuu0yfia/lj8m16Co89jvsxIvnBvivinVsnW+JtVzxKqhsEoLag4iOAxOY
yczm/zHYT97DmZREGUXZ6CTeQzKgLI3uLYumWXQQRCKLFg8s4G2uaFx4G5de/tkMyzLfFXj9vPxq
Z3lbVfjwhitxeIxq+a/z1X/EVUhfNBP9/qGnaXcyvHW10KDq8YCyTueQad3ElNdcpXYME0Bb3e+q
wN9HMEcLQEYQI9VNEgYYkg40dvfXRUozKxobsqnqYG4bg5Yofl7uX2qIABmNUQXJeOseuNxMzXoO
AspyLHA6yDnK+vmmQR6YtjiW37XAPEsL+DoQYvFGglEMwWbReUSh/nR8zsp6VmW02NXaD90S9Hmg
yQfXKGmxVsqt1un7jH8zKV7bHBVwaKeJbAfqG5nHOADY15BAqmjPqiqzpyM9pYctsNOqtwXx3ajL
qxRNYR0d8Y0AkYNLX0ZsRSqpv1Mi7H/KahdKpKoVEIO1SOkRty0jLfa+ltzJqHj6klZy6yiJB6EJ
bvqRnrZS+YlFIGmpxy69jZUOWW671ltxHoPzAR6K+8NslPdR181xsjVnYoPcxQe7F0eUIhAuV32L
m26FkzmGq2I1HwQyCqG56Orh1Zj6LoWBmuwPKUuimaYHO6g3tmH6hyZMHgNaSmjjTTvIkYh17D7o
Rado0gvj9AtFBoOHHQgxFyNLmgT5p4PH7XrKQU2pOs2Q3QsxTlMd/mKquFIw1JBYp0swRyp4XfMR
+3UUP89K7yRWZ5fGD0Xwr8FmztQODJnwoy8jR2wolwIC7Jt+R1Hd1oraFvtN6RrAd1Gqs65SydrJ
VjpHYHTwvIoWOPVO6KO9XOPo23be0/fTf9pUfl94UUOC3QAsAGSec/3vD6iVEjDNrlKdXsIijx4Y
S736/grT9vHdFc6WdlEguAl8XuFI0rcjo18U81C4BPn58irApmUeRqZ94mx5FcsuzgQvm5bzn3KD
05bwKmkXnuQTFPTHo5xc5GytFIMGZtlQsEvhIBxdK2845arCbNoyn7DftUuHFJT/4l/HL96tcrxk
y/nltzq5/NlgDPIurzmuqU6XU2aMaLYtowu74sVHnO7hZLXMJEHE8CJX6S89DhlluVxZZcmw8FDS
jAYTePgh99skZCEpFlIkXatKja/NE2gpuhdeEcdxmpI2YdCuvh9GfwaeDNSThz+LUuIkTQQ34d23
6SFIWIGjl0J5hMt74Q18OZCoMZNSmqLu87jAjyxOHwPUIR81ThPfyBUdUOvvn+XLt0y2C2Aijk2M
17O3PCaykKXYfThi8V6VV4PSQm1BoBW/mFrk1FK0kTFfGdwfo6ywzNxqUj8brYcRLFc44g+81dqW
ZIp3IQqTpllyPsB1ICMSByHd+OPh1cIgpxwzwlxxb2VodHTW7Wo7kiUnCjFrUgcS8DNa6aJy+f07
kafJ8921z2ewmTdqb8Xs061sh/ErtpizbiwRwo0LqdyVypurjjYHBdtvS2B46gzN5ExKrlTjNQu8
xRDs8opidoyoNdTsAkVKCgXt+7v8M3DhDHrygs5WAC3QWjxdGR0yhOzRAuhWf7SYRqHxRsH/9v3F
plHw3Rs5m+/Q3etAHXgjnog/eP8aicPs+yt8NdhPH+dsHNJR4aaun6qO0MM0etDL6ya6+/4SXxzj
fn9lZxPX60Dv1eM0psynOtCPXfzKBjk3KYR79eOUdDGR0RZKfGHB+PJTqeTrJsw/StKzuM8CYewX
Ep9qFP1lmGrQ1O9SEI9uBzM/ujAu/jy78ZC/LqadnSaIBCwjLiI+lTE4RX2Q6zcNKc1wH+qbeMQm
yQj+X/OF0+mklKVX/vySZd5nZplzSeXgXdHGPyuwnopnL9TtFxR3JeezXB5fubMUR0uwJ4/CnXXh
HZ8L0f/KyZzcxNmkzfyuboQ8ZCGzhn0kiyu9bAG1Y3gN9ToWEbCic+ziyDbyF5GTtFWSlWuy/88w
PrmLs1mpFmaaKR7DOMu9RZY8hHidjpcWqC/nyslFzmZjVwaJWrrMxgaDhgChTqjhZq0ZF57ly0l/
cpmzKVkMeUBWPOA8Vh5LIKZB5tvfz8ivJ8avgXM2IRtj8IYg5JulyTMsdj8cD5GF31z61rQP31+K
xuSv1rCTx5m29ZN4oo903LsCLlb6+XwQ0anoJpZmH/BjNfdHUt+NMF67SZg1tQ+VKrqB1DZLpMba
Mdb0Oc7uWljiC/HqFbeCq62M6DbE6Fi6k/K7sLuWqqfcXbrybSj085ZzlBXR5SRsPKxmsgOHptK7
LoJ91Bw8BTj3eFM2/jpoDfgkkwT4bSSnCxwdHwIBUwxkHfBnrRoxY5JvkFjMXP82ySB8UocBihJC
JA6qwM78J2/c9J1qay31TExODXmPEabvv7CtA4VdutpOUrDRtuYazCWsttujhKahFzZdtmzN1Shf
pRD3RyfWniLFwDXhoWfCws2lVWqp8sijcU+QsAogD7vqreHfeAKwg7mWL2Pdt3WcM1s4Dt9/r0uD
7+w0oMiRZ5UaY7xD1qlxdGkuuV1/vR2cDIizZTmPBinxRwYE7sm12NNZ2eHGhkWg9tIHTwHmi+K4
C8TX7x/sM6L6Yy/9ddnzvGWsZaHuQqtwYvx4TSfbeIvguvHWuDU6GIDQNVTt6OKwaUhwqtWqnPOb
Nfjb1eRu9GDs4vltui+2lzQ0FxaViUB3Oj0aL8nqKGURF0r8UaujyNDTyp/fP/yFr6qfLY892dXa
VFlSNPkhRh5KRenConXpMc7WRjeW3agpeYy6ofcuUuwwWhfFpdD80nNMf36ylgDbH2nV4hsqtFkq
qD2LC6Pk67j8ZJScLY3UcBpXmp6DYt0CuTq4gqNGizB+NXN5XdnZjta05BhuUYbT/fD9Z7qwLutn
S2XZdKYGxlR1MASaCTL5ISGa1x7tCNS8NF9wvr/cdO7+bkaczXUSS7rhTfG2OyIwNt5bv6MVkTQX
Rsz9ANHPvf7+ghcGiXEWI/lE5S0cGtXRU2p1roILMvlmMlTfX+bCKDHOphQivnZQO0a7mtIiw3jU
IE98f4lLT3I2ociND1VhcAkLvxjYyRJyYEW6MKemdorvPpBxNqlENlu3mvbpB2CJ4RoC/AoF6Kp+
pF0T88eZ5kyhHTokW9g9yAhkG1vYQxFcIJN1zPml4TkNv2/GyydR8mT2+T3ZziHldlzMUSHaLHMa
myMlwejiUunnwtA0pj8/uVTTu3KhBrxfvxwo4JZAGiXOd2BS6Y5iLUMhcWHuXRo0Z7sSQQHA4pKH
82BNJCWtU2q4/H7QfH24/rW4mGfjv7TqvvCTaXFJCYKxznWTdqWIm1w3bwMMUgXai1vwch32vsag
/gUp/I+J8C/HrAY7dMpkwsg5m+7AHEEm+7xTub1RmqPRv1rB8cITfvndTq5x9hZzTG1Do/DZBpbV
QpyPdFTSH7IA4DHz9t5u9zwu0gWOMuW9e3Ph0l+Ozn8urXzGoSdDpqx0nRQRl06aEVtHKDV03aiP
en7o2usSWyoVExK8Wzp0eQoNDWMQbsQxmmd06kjthU+tfhn1ntzN2RpkFckw6CX5nagVZjGhWpDp
WLhFC1HEzslDxj8qqyh9L1NwohkCbvFGZOB18ZXU0bIQHBMANRxpZnk2hcAvctYscErDfhgtXd/O
sLvGLFubqdKNNKAGN8VVZ90J+V7rsrmlu7Oqox2evGQnHctWBTpyyF0X8GF6YZH6ct6cPOj5GkXx
O6zDaVTJ13EDBj+9tAx+vSefXGK6hZMv2/tBOfjTgYicJ/bFR852s4LwrX9rkADPXPw5qcqulfbG
m9Ni+v24+nINPrn4WUAQKWxZeOlOKZh9MHpom94izZvDGssR0tMA2qTJhSzzpZE8/fnJ8/qCa6Uc
mQgJm6eibNiPRbrKONW76ur7h5O+jDhOnu5sTcDTA0spmaeDO7QApIImDjuqBZkZHd9QDZEZYoUr
akm+c+HK07j4YzM5ufLZCu8qfZSoAlfONYEU+kPp/ZAjWMExYAhKsd5dA+jCi+ZJgG4hQ8yeXXr2
C3fwuVqfvOZhaL3OMpmirp/jnShwGBkmASttn6YTt28BCKDYS+c6fhz6o+h6oLSSC2vyhdF1DmGu
Yssa1YxPnbIS6cpSAM+A6sYAwxSkAq3E92N0aUR/UQ8lVaWxDQA4nAx+zrahVMTXUIu5aDPP7aU1
y4/FJlpkc4EW6cxOHHelH6SfgiNOCsM5+NxVqdJ2NUseL4yBrwf6rxs5WySxFhc9ZTqSYWxiawO+
MobohNA+pRblI+0VqQkyZDTXI21ckiTZpgJskMVN6oK1lgMgdS9Vi7/eJH/d0llgV1alW3o976ZU
pLnXZtt+RMWJvcn3j/71qvnrMmerigwalBwDo9+y7ou4xjn80qp56Qpni0ggRj0WEDyI1BRLAWxo
0Sjz7x/i63jmZCCd7fZRk+UFuSSOlRZ0SYznYZnOjCbHqidY9bm0EtARDANlchRXPgXt76//dbDx
z0s8P07gQhe1FBZZmvHHYX6u2s6fa+2I9Ys5D133ziBZ8/0lPzt//ly2oILSgwaQ+LPJ42TRoDWL
lpGIa4Llm8lzxYbyfa+vvQ2yAtf+IO06w74dcSy8lg/vQKmknDcXnvvrMfrrHs5eeyYLpejHvHaZ
1UkVtwGyPst4+P5Jvx4//1zkvOt5CJWuDqZILvWOafUmtHff//v/Yev5dYGzya/5UZf2vatwAXde
0k8gFCBMgHPK6cFXqltku7PYqOzQvW21ow8cT8d0MlRujPZNkIS5aOX297f09Wb4647O5n5UyJnW
uwJM1cCc6epz2O9U3BgEJViJ+oWF/+u8ufbrYtPudDKQ0rCh9VfgYml9/Wl80gAZ027qGkPycZin
nmETukZRuKgsBBD+Uw2G9fvn/Q/z99c9TGPg5B4iMQ2GcbqHxKdXVlDrGd6j+OO8Wt1IednAqEKc
C1Ba6T2cCxdteb4cx7/aOafe/tPLt4IpwBQxed/9I7akM5WkjjfefP+QXy4SJxc5Wwe7dMjTsLTA
f6m43hr4oRXNk55cD3ExlzzjsfTfv7/gpac6C6m8KjeFNuaC2nCV9NfluLayC880EVS+Cp9OHuss
fIrMRE8rsMg0bS0EJCrZlaT9sEx+i+ByPfqLkF3URGOIs9y4M/1VhmUyFIJxribMuEUbgqHdKcMm
C5emsnaRCaDhquF9z9APcWaYGT3WsLQgzftwVWGQ++IlywRFDIcOv73v2xvV3fuozCI4gjjKLvXy
hieO0ZCltPL7rwl9AP2VW30IqJlDIsoe4Zk7PhvCC/hHX9s19NDgxoRBpj6+QARsJ5TJTBvXoOXn
ktzTAIP/D2cb7MJ8HOlW4JVamE/g/u/07CrCrIkHMh9bOHGFsPDdPcCq6hoeMiJHnXhFM4EBx4vB
oAglOSmaNPTCq+Ldo9aeqnMcaV1jXQSOB3ooe8UTVRkeRulReSO/gJ1vTQp/icf7aloDGhuxWuxu
6mI9BU45ujK6QYdZh6sFranbCbsHUqHHSW2B35Csr4t23SqQWyFjFou8cPLoRpzwzMe433WNHfUr
4UMa1xVMRNz+YsfYDP5qdNc9AkCojwCc7qt4nevrLnNqlCJtjaXaUi9m8tXw1hx6+JQD1tP4ah7c
RwJlD9lrjVIKC0M9Oyo/FCSZKqrcTZny+o/pk4oh3Qp4Xqs72tNwk/MvubP8Hg1Y7+F3t8gFcC37
Rnov6hWOEHq5BdMQlA5MfB9PbA3jGDvVVimKV481yi5pjaXBS7IDVLMrWZgXhqO7b+Pg1AVA0tFB
cyi4N43Esa27znN8ipcBCFIKkhBQ4zlxnDjs+Dn0k0AuVYP9bNH5tvFgAFoesFvEvmbgYbaF+jyi
cweFocN90p9dqkOQCjk4+Eqx6fEgca+C7LYVl5HuYe4sOFm/aKS1S+jmJj9xS8fKt5pnGElkN+xr
lFCSV3F4lfxwH3Q3Vf46uVl/Muc/aqQMvH6NSo30UJKeIUXZpuFSRv0Ki3oT9snepdGrq28jzZ8L
Ip/0zTeeou7adN977SUft+jiu2EBHoeaM8sOXsa9LQmHLrvK4xvfo6fjJiugf2TGjLbCu6q4H1Dk
mp6yK80b03NtWYqOrudf5YUFaPrVNB49EH26oK0SU1iluF7FaY8aAgFMjI9V9ZI0mxLJI53q80ip
HJY8AfkBswDsTk+uZBYL5VJOxGWqvkkQ89JRXUkj1diOGSeYM8naCjrq/ggvYRrwMIhDqBFgYDep
gTLEG17ohD1qPg8HgaGTHakd502fUU8HOjcgwi+1JHUs40rh12ojbQYdJIvWzQYmWI3QRlCMBW01
TJEC/GL8pPGeGsF14jriL3lkSQjnFkHXbd3a20mFbNNstShC/B8T9TpX8Uopm4VlwQEM9E2vqKBa
o2Xa6agICbEYcW6YcfPASXXFNlyXA4OxlOt6X6F8zsfbvOkoP6oAC6Eoh6PT6c+Fpu1LKXrsvWhv
Nd3tUIybVKWlqxC3IVRJNNyJSDWvwD2+Jh2vG6+D0W1kDxBtjLkjNUMVOoGy1IWDGG0t7VZPu20O
+UCskDrp8SacHBwDiJGo2PPeQxv1PsQHrwjmCVDmLNdnlUAnkxk5Ep4Clop6Wbqmu35BYwapFOK6
+CrLY3rOdUbcfcwQ77L2UHV4mA8fyIRYPErHNLrVYADcDDGFpOyuVtf+eFdjl6oy2Ef8uOW+B2Vz
56bCXBgXQqPS0qojVxbwenk3sSisrR+D1qw80v4lqy3aUtWyTbVzVPPKjeFicVaUMPZccVjGQmUX
uB3a+J8DQlVgn//H3ZlsN65kWfZXatU4UQt9M8gJAbAnRaqXJlhq0beG/utr019Elp6el2vlNAcx
iXAPOEmY2bV7z9mHaPES5hPkWuzNSBitainXK4HpiY5t0y8y2xt1f6hXUvDMqJQl1VHY4QBVwjXg
Qds6FPpZa7Z19pg5roLXtL6x7aVj7fQc3h6O7WytVVuB4UC4CqTb61z2lBZ1aLgN0g+J3Sp9kI1d
rZ2FdeyIdk+9uIqZ3YpliS8hzZ1FHHCw+Iq0mAA0M9+87M0YSUEMpj4H59g84RllzegMWck76kj9
3GPpbpNr8ikGbKz2HlUWtwvbOeXZlYivGm2nOTtZbNX6RX2a3kKNdtyO08I4GNjoZZ53Q2bjnFwJ
ZztDEorgfuZe/ZE38GVOYbvhLa2x/CcUVxtrIOZua9zIykZm70vvL7nUN3DribzWLtyEAV90eyCE
FDk+AefeJJa2cRvOB+x00KnjdwxKzrDTug3e95CA6xgPu6t2504BtBxd4l4fzecELH1qYj+67afV
VG0iTFAgF4y9hQ7dUvYzdt9iiX2ukV7QUtTTHhwZNmkc7ojAp9JVARLJ3vSYZkChm6eU+qFeRk59
UfFCVLjG/oUDK5pYGNdx4hbjrqtvWPlu1l3JqOxt56luXyuYJnG+JeK1N/CYw40Y7+PPEVrS/Jaa
kW8U68zaSuI2K19Mgn2ypdNtxadFgEhhcHR7UvtQ9QtZ5h7QwN29teKdo5wypuswB6RqHSebAe5q
y5HkhvbWYgfuba/NN3Z1AC8a4k/jmK7uajZD6UYOYF4Sv1KsLfnis/bNft1XHhzliyvYhKUx+4l0
yhqygCEdLMLpY5JvTelRc+5E/BBND323zdVtSejguEjIYa2I7sgoquMVAdbcb85VsK6iLVOTuNrG
0nHEkhziczd2zXirKpBKnsr6hHBSI3Z13EgAZRn6Ff1bPUOhcHpfM8Bj2J72olawVSvqPBW/JhkD
841a3kNul7ZtvCHgFCgoQaCNCtLVD/VNrnOxmMg6z5NtoZmeXWwa4afDS0N5IJu7ACBH0CPhHGUI
J/GtbtwO4sim4UkzPOXiPVGuc/vcSscyN/2xvtWL2MUD6jVS6WpR5iWkwQyChjrQWAl8gibwNYDq
pOgcseYVS6tbDZmXFv7kwJZVKc5kUJEtQniD4or5HFHfs2aySjNXxumjSel2GNkWHcwP9yW4jUk7
Q3C31bsk7/zZeYMit+j6Yx1F5OF+IrqPW3wyyqJDiFc6IKqoJWHSNPGevhpXuYXF9VGP78V0C2wv
GoHvPoHT6bJbk4DclFBOZ9hGxrK2SaI5DsGirVZtvO2BsNS2Fwp+CNPrgt1s73OVaNnkLFdb/lg0
XcH3LMbbQLozO3jx7B/a5Mb6ceAQCMtzBaI3qNZjfLDzc497R0JRErHhtNty2Jsm87OgX+BsDatH
pX5syoMRcXrAlXVeEo78rntBN9c7K8NaBWTVlNxMsRAvsua+AI899EjorGwRoIMU+WNU3rSIrbrn
sblxumt1qlnqfhvcp3QniMvgKHhhALQokqOurlic4A1FfF8hMBnEbS9eTWjUIAVI6OULofRoVkXA
ADpyw3GrsYN0ugH8/1YpKCmdx0It/RlHQgF9TWuvhuA1j59k+7qMr/LgFsttae/D/kwYtFNcXy6z
3VkaEQ8T2caIQllwnQ85seTsoak2YD31AXCE/ipBvp1cs71Jkk0v3dB841NsRePL9l1ByGHgGBAu
Vo1YJe12ij8SQPndUuKqCmfyWhBFojh7EnyhxhEct22JadK83CbuyPKDgZsQJoFQua6hrena66hc
tdGDJWPwra5qyosOjzV2BN2Ta88pdpUDXU490GmJjXVd+1J/EBp7A9XbqXyx9rLp5+JWqz66YDOQ
bUqrYiB09bXufPtV7Pr4rsGdu00vKbMbpV/EcuZZ5lX3mfW+FW3LYBMkV1q/z+7C3Mt3EeBpa5fM
9kJVT5AkEsVrAd/bXloC8VmMN7weue1Fjccu3ZmreseND5D6eIK44NR3Lc6Wbcp79mAaS71cUezX
DJ1WE9YS82rgDsGl4W4SrvZZa+CQH1veoD1u2OxTr7Cxoi72cuHX4hAXG9BVBCoIxVe5wXReBlhq
mxbuSJU5Y7+LPw1VuAZakjZd5QwKXv6jy5IhmmZGnBzs3Ayzv1pf/xPdqnADNMLQCC1lTK+T6Ugj
4A9uVVis/IEvbtXf/f1/u1X1/yMDhiTx6K/UEY3b/7/dqkSoQlqFm2w5TJrxTn4FJmgK/wyIbSrE
xkua2hdgAqQ1fC66hl8VoIL130EmXEKA/96e+Me//VuLsuktC7oAoPekoDjp4kUTrTTdeMCv7vWR
5IqUuw57/KoSA7v1tGxU5X4K4Suo/bJtQzZlDjCnajZ2xEjCEGfT2pFJ5BbpedLuZ+1OIl47zgHl
mw4gMSDwzDpNs18lVJ1YhIJwj4Nz48Tkr3ETEQYuwmA82S33fsqnCWgN56dXxgSNkao6M2yQ4oGr
KOZG/b6Tb+txo+Rrm9oKHaJJi4NmNyYkeE0crmP0WkpPiQCMEJJsYBLbTQaEmpqAoc5Npy0Ust0a
Lq/ocy+ju11sy+5EhInJZL/pCVRj80qTVUp/vCFawGwpBMkIKNJDIS/HlMB6VIi22t2HpepWdu4N
MYLIZkm29LIV813bzsR3jCsEUGpaepN2nSSHovsIlecpLtah1pJxBAyF47mKri7sfg5Achy9RHb8
FOYQu3CXnWe+mlyqXEsP/Ka6qoZ40UrPqnrHgeEZWrqifijh25fZOZM3ZqGwExOcvRuZUVXzqQqf
4wYOAcybNl+KFiTPcNmF3jXC4vqyWvalP3DXcC5HDY3NzMy9FCGHol9N4jRZn1bymoFHgH8wFLKf
FbB0rNd2Cn1zoEmEGb9JwU5clSq3vvS1btSblrTnrrM9x5hXRTTve1RzM3HxZsYhhTU4UppVm3N5
rxo3mwwvUwu0lAD22q0aUHIp2VoOl2PxYqc39jh5CbBaPeQVIgyFKHYubsNuHoDhBaDwKs1TuQmZ
NJC6fFgG9fuUqy6xUR1Ipoq2jiKI6qtuNVIvsEtTiwhXjAFz/V1rH2T9MGnBMoOuQDKcmw/xCjqG
TmnRa4rXO5bf5OVSDSjrpGaVBeuBzI2Wrtn0gvRUaOlymge/le6c/GpWTpF9jnWCaRDqZ116kEO8
c/JGTG9WQxGYv6htCu33PLaPxXDOoPg39YtU9cCPc8/IX3v1vs0fTLFVIpo2KFidnoihjtgG2INm
/l62zm6EB1xMwzovtkOKHtKpNmVcL1rK8gneGxeEnN6BqcB1aNBuYmzsZc0rYoaVqrQg0XbZ9vFS
0SR/EJAk6FUR7+2q+WuhNgsVInHSvDcRKA4Qp1FwbTUJqrbTWCVex21qIC8INlCq1AtOWzmSvIzI
FFiwF5awzpoNdQJHQk8yoRZzaw4kpEBleSVr2TkgC6xBLRGjuG30j5lxQsrKnOlUxfOTsjAgeRjU
hHRCNPVqTFI3spZjvY0pOSNjF+QA9ns34z4cKbUv5MckfSE4+Iam+yImsCQe67cgbW6s+iAPnIvd
SaYU78ObxN7OowGvTX4uCCePwCprenMdwApJjNYPkwhX6T0/9qINrsZhb8BMjuNzKl5C+2YYNz1E
Wb3rF3b6HieUvA39jqFwJfASorG2lrbv2EYKyT421ASjsp/EfT07vH13Sj/5eUnlbK2tfnup1y6s
60A6FTEKCfPVjj9xG7ttP696Rd4RfnQaU1qfAUpveXoy850wn+WqPprJxOb0KStiaYTLFsOiRJMv
wm1Un4Jxb1AxOhfOQPiajm+CTm5/+VpZmhXgxVql9XMpZeDtFVxu53hB/2JBQOiNSpSsjNS/pvSj
Dz3xDbeB4VUSwsYmZlj4Npbw3pUbMe87cjyM6Kpmm5RJp1AtwNRvoqfikSjejNmz43N/iZ3B+DXo
pFDo2kZTApQKI+8mw5HdwL0XtVFExzjmvxyay91DoXbb5ONR5WWPxKGB4CRHvgVwR8mp4630gQZD
Nj8302s05qdA+kgIXckggWzq4bmS0ZuEvZ+ntl9WjtsP9Wk0S5zReFXrYVlDSJOkJ3mmjBfbRg29
Snsu+8Hn92i4ZtbFoqRFPsG8C+Ka7qq5kPLBL+dmC8mEwhfMSX8OtNs5O7dIksru3A6PZBob2bGT
qNHCd144KXhLsYr3aEKjaj8buofva2FR+tcWGEXBSu+fRF5vrOC66Bsui7M3dfkiqO9J1rVR1Usl
r07/MUDzFRpJu/iMLaDHOgQ8GcZePm2wXRG3E3EB5IOhRa/2KScWaqRZfarDrR0IN5tJGputVYzA
R9LeQ6rpWUIhnYZLLKTLukeS3jA5irad9ZIZdwVXlVHpN/Go+fMMaJKNq5NpkLNJkqxi9OVm7Lh4
KQ9NF+9FMrviMvsKbuz8UAQUtXXsEfsC8C8eL3k19LvpnLEdd5czWf7kV7dH25svnx8QoaGdKvu6
IA/HTCo/4/w1jbd0PHI4cPJPiwavsUGwTqhV/gyInCpgV1I/sLyWSPIWef9QFG86r6Gjrgwq35wi
OXC2LG4tfUeIC/IJ9lqQbg3zqATxys4/GvLZ8sxmEQ8cSnCc+3glccmrMuGmenQtwvZkaT3JgzZR
WAclttw56pelOmBpuE4N9RiOhZcBriFH1sa+ENLmC+Q7FfZYdolpUq8r6VGZP+u88TVFrBtn8sKi
gDJHd2reOfXgFWrtghZY0gNcNCacIJANQ0fik34s0zst3eVUE22BmmVw+SDJYK4Um6+BfO0pZW7A
NwMIlZ7K0POmEj1bp4MbEzBtWiRqgCBNaWz+uszOJBkRskK0dGNcm2RljdXBKtgiiR6jIa70o0cs
I/h3pNNx4JKXt7mwT2Oz8ZvxUNREjlFtjE9zQXhLObltfcE5JkvTrpkU8d3WXpgfNfaVRtO3oVIv
IQYtIqfw8Ke5ZSA2OXk1g2EC2SxA5tCHItmtqK8cagB7Klynkd3IftBhIgGhnjGNk/Jty9eQHJUy
XkyciWVp+gbSubStOUPcuJhXtvpoFNFO9A5JdSWmeYRW2LczqoWeY7ZaVxqjZ1Uh7Dr3CMblEHlJ
LOorLpqXnlxJvBbUWxUvJr/ZqmpzzyJ4yKSBEQUPerfX848wP8T1ValYi6IGx5dHd2kaHa2Sx9Wj
W1AdGDB6o6I/KEHqxsixZf71dlCzPkntmdiAcTSXjOEAsngm/YFGlJuBE3O236pJh0rttRxetuxX
iNMc6dXu7srsTmdCNot+1SSfeRiccP53+UOeK4gfKdCmU+swgAO0KElQINN3oxqWLYXswMdS7Irh
AtlwabkzAqy9IXRw+U5RVO776O8qP1aDTQm8rzC7VWuPcNMZe9ADjcgL6uzYl6iVSpWe2DS6pgGF
UtGWcpUddc6BtKKnF9DZGoZHW+0fdK3azBRKrf1hlJ9xdW5YRrpOGnvaar7RzFQa4BSkyS87qnbK
S5sOmMykoBdo/5TRi0eHuAZ+Q0NfZkFCYNdHVDiY2qelRpZCbH6GkAAL4ynTb5r6huc5/bMFhitP
1KXZI0GYOtcReEFGxLjipuiAVGHhZzaWlt2e5stqTuOPXH3KEzqoxqMBvLRr9U0tAdzkT13AECmp
Vvp0W9E3Hqcryz61wam22YohaHbWlQLFueDsyU1l1xKglh+olYip6xeDwSZZlPuZACVLxu3U0uAP
Em+mfxOWHxaaVSgdrqVV60bcVjWi6Gk90iee6eW1wfVUldvYntdJneGPSlzqdl1hICgXflGmO0GR
GsHSdYKZaecDwcyX9okOcRj2hjzrW71mp4zOVNcsQ8YN1Pe9AuCLQ2niduaEFS35V7NnhlprS6oO
rapWQdls9Ut3uiuWY/aUhWTd3U0WpdGTNptbs2+Xw/CRxc3W4VImSmZTCDY7A5Q1aUnSeIqw6QXl
u5iuJQ44LarWfRSR7kx8ILcB5oNpVXp2dcGhxusws4h81CiPyo0pmyjmsvu0t8iDLb2Ql2NmfpWJ
nuVdEKN4ANfka6PBQHsTJ7KLVp8j50F0R4G6IpqBqlDuSHXvyjYpTZOxjtpLxBy9elVsEH6tBKlD
kbwPzN4vpcxvC3qW/HGCrktuXE1+CnFq2c1trr20oXAtNaFF9ilPryC/YLRtBAeo3uWrznm0FFIw
y0/D+UDMtC5FeQqCeV9pvgPOG4xqEm/VUtrrbewXFn5rfV3Wr4MMLTXYj3hpBuWql2eXpMvOIq7W
jJbtOC7D4jBa3BklZxnTRDXNu5pmtTXd2QpCjup9FIWr6oBVDzV/eYTq0k4puYn3OTM75qZzdG+S
oRkwMGIaY5DTpsLlkCeSsDnXdOtK5qIsMFS3FmGgNB8dEbp6Oy874H7oU9iDOPIpeqThpJLQkMaP
ikILs9nItuXXGUN+NuRgZAyTKLczkm/Ax2ofnSqHZpzJYgRGWsw3JdtACzlZ7+4zto1IzNemekyg
0KY9wGOOshRkKymTA1TgKsb9nb2gGJn1Y2T1dBC5pJEA0eYkgAbO0uGyQkP3FE3GSovJwOoKt9CH
bZef7DH206D2dDAwE6tVWCqktXihlJSEcupmVepFTuI78ZNZHXWj32r5WSdOvA5HcExHA0IyV35d
+7BDriCquZ0RI4TcSKOgWjoGRF/BbBn1gGyrO6NOCaBD0smp3xicgxAcJaEs1LLwQqf2RwgYHaVw
gY6xHY2nVNLcoLzNsMsWQgEQwpZSETHR39foYsb+pkxb8LYisJEEm6ZkvunGaL3zn/EpCZtZ9png
DNgqbVepHnrjpcKZkc6DcmelN3G1SQcr3wRNMbtVnK5sg3o7pp62MWJn3HW4koHWeHccJM64C+XB
BGJf2L6cTPtSdcYajbm2rqYN6MWBUX79UljmuuMemEA8VEwEC1U5onV3avkh6ghiUpRnpYnXaDdp
DVgrKQNd1g06wyzB3gjJK+4cvypsUN1V7NIAwE7P9lDTFi6L/kmueDvCh85pd8JhokBv3uQ2Vkpp
6oeteBnaHIVyoB5kSioq+ZU+6LdJJkNutYfnoguOWkeqpGy/Dba6zRUNOmR6ic4b9rpk07KImsrt
yQfaGBrKp15t4ns7lOG7R/y4QwIfkkBYI36SKHDQAT8lqXob2sF+SLXrwequ8y5YYtHZJ/X8SK71
iagEt5IvyVZZkqPEKINH5MWeonMZlfV2k1I7yFPtSR1tYuUxkZM3jduRJp+pKpnFthuJmlriap4F
NuzilIQK60ahzV+rM2BagNyTNe8mQbNfG6ZtZdS+Hk438dg5XqzTA1PloQWHo8GQyeznRLOOwtxa
Bq6gpFtGaetWTrYzmpMeJb7uINzIGvQNutdUBn0aad2Jm1qDFZzSxBlerSqlYrD2eVWw50xA6cFt
9wSywkIsaG//h9klszzPdru2Ol5mtRg3ea8+5I6GchnnbsnMMLVuxu7pMhIPULE3abebQu7xnROQ
gNI2C6V/UAfEvrHTohLSa/9LE/X0lzDzfxWs3TIuWvGf//ubpE8ny1nH7EJ5Ab7PkY1vMimU1WNk
O1K7DpL2rF5QPHZzoi9ENY0JudZ+EGZdxGRf1KH/epwBpu8Sk4XM9O+KNjmbml5QHK4NpKFEy0Jx
RXpU0y3/QZ35nZXx15MMHuOQugNi8NuTylglSRxdwrrayPe6y69jupvEa3xGzBv8wt5KQ7yPGuew
TZf5UvnJ6PPN3/Kv5wPeNSwYfXAO//5JCwZ8k9Xr7VpvXlP1qkbwhFC00oGIEqmsYek2qvuLl/fP
v+dvv2Djvx77y1v8RbEoR2XeJQ6PzQ0EIiP2AMtamgNsXFO8/vlRv311TMI/NJNyQv3+qGEW7UwY
d7vunJtm3ifFSrOfK6XwisL64S3VvtkA/vo24UQCqtAuX+m3djmB32mOL6ldR6C7KvN9sIkB6jXf
BPOTTw6bI7HB4IQyBYpqSk8wR0mR+4l+2yCniEKF4VTt1fTCVGc5h6HfqFczBy+SKT9h4DsFIT0V
igCkHQGHSC0FtzmbqVWDv6dvMnbHaSBCkKoCDGpQE2VP0nVgaT980O8cy+8f9LsDLh8mi6myzO5o
QtqFx0aribAiSqVSfR9A0Gujvmml14ALqSCrzXSe2x4F3dT5JRDvksvVn39lZh7/WLEayTAaWwSv
1Xe8lyUzD7X7iRUb8B7fm+AFhtWfH3FR0X7fFL4+4pvK1pmtYRh0fly5OvU0/FUx//AhfvsETTdt
5kw6853Lh/yyKsJmVKymQLY3FNVODKRDlT8ZMpXfflFfnvFNRyuNZT/Wc8XKU7cdB7++UzT4UFx0
ufe33eMY1PuierKT+VxkRPxuWrrl3b9g6f9fD+PvFqWm2QoIHss2Vf3bJzVAmHVlyidleETgN7lU
jCwueCDzVZl/kGj/bq/5+qxvn1gJR0sLwgIxpPSqVPcz0iazOGS0N/78fnyXYf9aFF8f9G0v7ctg
hs/NgwJYeA5VR3lR9NTBlVPcTyi9ulHd6SUDaDKBclQqf3787/YewooIWrUsYOnyt72nCiotTHWH
p9N8N4uXBJltag+LtryIxABOMuGPjOSHV/Y7BeLXh/7y2F/6+C/vrBwJtZxKTuZakGGPnQeZihr1
3ih9ErcwcKu3RbASefoD0E/53WL5+uDL//7lwVZlablR8nlVOoMZojVFobVyuYnGlwJeWlSNsglN
sIqXZDnagegrFK6nXd76v775/7HDbCbKhBJaII9NHbfGn4fZvMTfh9nf/v7/G2ab35MH/z3MJhTA
gePo8EjiBqC/fR1m/6IDI3GXGWfjav6vYbbqXIJFf8WSmcQAWLby3xpm/6PS4UgG0qYZBpWzoX4/
IRS6dNintH6djTvuBq4wZV81/bmGDTLzkqJkepjGnyjL/3hLeaopG8AMmdVzLl0G7F/e0kIANFNs
wVNpH7WF/qRcND5ffpTfFMf/WPm/nkGso8KnUsFV//0Z1pwLQbO0X5smHEpP85jQBeZeo2p/7Ozl
nx/22w+kEC6JBoEgtovY4esHitRYdKVV9uuZ6L1EhZtGUOqfH3HZkP920F4+z5dHfNtHaZmWTSh4
hMnUrUythd4gNL2M7CE3//lR/zwOvz3r264pVZD7i6jq19NIHEwwLGNmGnNpLOP60xLR3ZzQJ8Fj
ssg7yVNA6sfVPhhoKcVBd60PP1Eb/3E6//2f892t1UtdGDuXj27jSSgGMmppEeqt+cOP+N3+9kvX
QYbHBYdKBB+hHH//FdEUhPWk85yifOrVArUdgbW6UyDKCA9RgDprRmebDzPaPn2tZu2ut8lGM8vO
rZmSqdz6OqPfm2Cg5qR4arPhXA8X+wMydMbGU/sjbejyL/rHS/HlX/xtuxdpLwJDq/u1SrZ9MjJe
5WLdRUiKOc+T6IQ49qhnITf7BAwvXKCm21VG+UMt8d3u9dcXp5kK4RGO5vyDTirUIR4Tky9OEZcL
vdleS0kMqncftphstdKd2sp3jPCsRAwKRPbRdfkhmR5/eG1/t5mZX/4Z37aVtNS0PMguSwQ55TMz
EYYWARcphjAL66T9dMr/dtHb3INVZEUmm/LfX5cYpfyQBaySpLztKJxi8/nPH+i37/3Fh8klmIPg
F4bhyzZpzHVbhSEUDcsoNnWiegXLsRHpD+/9X3vh99fo6/n1bb3rZtdIcAa7tTQYt5NjXre28taR
YsIGwJw6vkTIMQxNwmUW5+02K4dXPXWucr2jt8jv6sWzajAVTyKfNyx8g2y/bJNbmsqF/GQ2WH2Q
SnfD2hbdjuvgVs8Z0smWdFLD4aDmoy+XSMntgWCzQaEF1SPFae1XQ/QPTd8yOJOJDcuWs1AXYyuh
vERbjwKzRUegosm5BKvP6J0KW3EFcn86qw262pA1lybZGgq+O2YYXTQVSTAqlDstuRRD93ZySLLr
2HA2adz7Apl64mi7oJmozKaXzNEJRokHYxtGV3bXZ89O1Yeu1TnXuhGdIx2FhhSZ+yliIKKEr0Kf
SGZhIm7PzrkK07U8kaeBx6VHwaMnN72i4F2I2BpqrzGZRl+MRkVDsV8c2m5V0WTu63Lv1ONqDgcQ
fBqJKqRroUC0M5x9yYeGoMAaTT9gYqhyZvfxKzZhX4zGWUZaabHxtmxSQsPNfiEvzwS7ZgCcFRn5
jQLuKVTX3NYIy46XnQ28u6HtbZBdghetHvtdIeWeJteHmYu0BfUmo6cnYIz2SKtMiDypgwIoQNc6
4U9I+iWdd7Zj3Tdq2Q+BTtLzNj1tTHaIphjdjosG/XE8Xpdd7rbzR+bkdKDzVYINk8YWNeeIVa1c
MJNaJAHmDom5ZrmJEjS8NrPv2PH1SyJe8mlImp8xoJbIq4y6Y1tCEUNiP5R3lUlnNt9k4q1Q7ww6
2TrDnZlsFqt+mgm/TJ3HJMZ126xLVK1We4+pZaGwOU4VcT/PRdX4FnO4ylh1inLnpE/mZbQp6vcw
q2mr7gvnXHSqOxUvXcZwHiFBZr2FVsToeG4RcSE9ExgvMsmxlj3dfKMw11p76UXkKppUelVmfF3X
uRs6zA7JMJ8xHJSAVTtUHx0bh2gfRr5idn2MBVjFWixpzMGBMS6zlD59KK9K27ypYlK/rEMAZco1
ZoLPSrveg2xclRaKncQ+pdKzPUV3kmkedGdEXZhG55AhnjJq74H8Lre6X4XRgwp1th6a7WDdOVG8
uiCGac8aGbKoTiNryRd6goNtokQ62PKwFmH3WMrHOf0MOuNQ8RubSXc2sh5RVL1LRwMT43gjKdPB
LLAUFUxD+3b2G2qUULXvDexJthPfDRXezNlSSF6y9XkRKtpnJNLPySajT3P80ehuCp31YA60083x
Si3NVcpNxTKjtVTpXqpqjwO/Y2jYt6WBY5iQKSe1l/RY1mlcrbWIJlGaH5iRrkLaydY8L9Q5cotZ
vWJmgwXAoh9soK5Q3VYNDzW7SIBF0spIFRqNYxPCo6kCl4gITy2iTUcwq4PWpowlr8Tvg6UOVQZv
AMxa2ijBWg4UvyxBpUkKiZq2sYlyC/dHNT4bUfuRIm9FUT8kyDQetTn31DnbZDOA1jQ49zq/HF0g
8rU8lTJRbt7KqDrl0jGOaIYRGp2AwGlyZcNNDpMykY19viyDc5sR8QOA2o7R5zlbmQZ0ZgWfdobI
p3gMVfwCgBWXXTe9aCEJdw3K96qH8YYIKTXBvUWMl9okXcVMC6zKvNfzDm2+lVwZ/cGOU+wVrSeR
EqrVBrqYllXpNBJzRkLtw7R66iqJUU2Ox8jQ7nT7FGgM0kuGOQyobIXwaPq0ec+2gWYgYXQuI6Ch
LnKD6rXp9C0ZHNgkQBJlo9/X+RGA0ClyxCE0gI1WDt4NfV5Nc/I42eIzkdRt0fTXkxXcid68TbP5
GKBgrKuAUM3uYUCbzZzqWDPftwrJsycT5brppcguRjylIxlDWSgtL3D6TAdy2AwolPR7J+1uZaIN
pLDwO5FjSzSuOpPAbkM+9lq9nKf3FkVeoyJpULzBTDcwfRHWY/iZY09V9ylVdzPprmkuVSn0zBqX
7gWUas2LSs+XenY22/epJwi3ZkBp8w1pxJ/KFjKcbKUoMK7Nh4r/R/NmuChGIvyjoMDw20y+qGWM
ZSWrSvmownaltfrVHOb+oOS3UQrBBLFTo5SuZT1WikI6Obd6vvoIC+uAIWBMs13Vl8csMT2BS6Xp
a5dUqF0dIHK0pVM5FMtIp51FIpSelyAZMcb2tATZGAsGhnRRGA9xbEbGXdSq1PXoKmyNIxPuhD5u
hJLi5JpRidCgcrB/qlwKetIFY7J5VVyUdWQ6JMcHT7GOeqrME3dG+8fFiHPOQb9A0pqoleu4L6gX
rhxMVQMSKVm/Gpy3KWKHlp9lJset1J6aTF0HtkIqAEkV5AunzOpiNT5KTr20M4RUORVFMqOcbezk
3hgR/4/hyaa/kddHNb5txnZTdflWFZrfDp+VhtFTxuuUvOs9IYkIQhDtaBzIDeShmpTL1nie4zsZ
4YZRCr9K5JOVvSt2+mhl07thBfd8wx/WYO8tJodI9K77Qu2WadB5In9IDbGd5mk7a4Wf4BVk7S7E
JK+bTOfVkXzFwZRXzfsgq7ZaUWxrMtZyuoc91os6+wzm3p0NpLu9cl84Nue2TbvGOSn5dJzwLsXE
ovbhdT6jDMOdXdR3cx6ztYUcj8UtD9qZ2P0l1di0iXjKg+BjUKXryDoZUF6k/rOqkEzglysCe1El
CGVPpiUt6zzYJhlHW4Iwon0ueAF7CaEN9hUjNY8FGXwjsh0Dr1MyW8ukm9xSdLxt6WpStk44HSj6
mZqhTLKR16kIB5nwOwRy0uxaGDicLyg4eQ/3aCnAzCCzWYlMWYal4tsiR6GLgomVUxjBUtfInwZs
rmftNhDyh43gdVTJuG6vrf/L3Zk0OYplafu/fHvKmIfFt2FGoFkul/sG8xEQIAnQAPz6fsjq6o6I
DMu06mWZZ0ZGhsLlCF3de8573qHZVOJp3bTbEqFzPn538n3dPQyvRsSsmoREa7m+bFTifMDaGxad
1H5lCNbz4hzmjPp7eUT+GF2UWL58oyXLCA3sUsnXCNTDBAWFkT67kWjSEIt8WhyLsNKYGZR9UIy6
bxTFsoedlj28ARr01fisroFphQOiuet1sEeKkj5jejw23qndi4TRdSQISY+OO3RhwHjZSAZisku3
TmFkCXwEbnjds2vNzVIIRRJYUe36WjXOhqu+7fNxdq06EnSOl9ejeXwEGGMD1OUEc7CS7xIlyMNA
W4pQzOiSNouGrORky8m5M1VORbJozdMXBMvjSYofaH0l+G6SrD39dWPyu85nslZSZNWkM1F/abTI
EUm5VPUWSpel0m8u5cdfP//vGh8L3EzHqkmf5B4/d1b6CLag3JRbKJ5QDJkzibLCkh9/gxD99lUY
MvCbimIE9+Off8rRyhvFOPEqxjzpm+eT8nd5AwBov+nPwfdEukTLkoD0f/4RRZ2axnjJ72EmNx1k
pQr699UqkHcLIuoEJRVvIXaeklNZwyMpuou6KkXluu3rQsYyT8zmVWUiun4gNT4W6SV6dMbRSY/d
JeiQ8pJM3nK0lTDl+iLzcVrEbaxQCBPXRIED98js9HJ1h5RFktUCfEq8lcN+NMNBqaIHYoWsQOE+
wh1kMyUvMHM7S3wRu+65P/drYtk2mUkowXD+zPUO8tROTnequQQ82ZIxPLvfLQRwRh6NysC5okOC
QS4hm8MFRRWx3+f+fKhuxy9LKeJxrBb4AQYDwk4cQSAobnt4y0apwi2+eoN0/ii0IT5zQCKCTq4a
ecSmuaX3hvcu25p0INPCVRDCNGzftN5OY256DQ5lhVoUTqjZcgw3cFOxKr1D0i6hpRC95uiP0zcZ
W3730JB6jqvzuQnE1vLhA8hUpYVsPQ/NedrsmNlnHyeLxPbLajDX0LwiAj8WPZ8zKe3iK0SOvC8c
VaJwTWqV0FAEqRfK0LykWdNzer+r2iJvNeI0a981pDLKIM+OluakD9E9W+85nOrqBukIMo4pIm8j
G4ige7e5xOfLM/w2+yJEY+rfzjF8OUnABQHyxthF52O51nqG7Q26//PltZ1MPAeMvVPtU+AJykqJ
+uudWSiOW/eNQukOf9vNkXZfb1pYnsfIwJH63uezS3mocyakpwzGWeqNOBE9RqwNOQtuKEcayx31
IS5ZMl0uz5XWWqe4geQ6vcFD9U+3y3y4Xcm1TuQqwFbAvI9hJyfjpQw66kpBp5DqPmHLJIaoUcc8
H40i0BtxftK0wGqf2gd0sUaDiNwGg6J7Q/sqaV93mukLrN0qR6M4LvKCFHHkig+uWai2w3V06Xxs
4SgEFhNjCmVXeSxN6xv9CSJWVESY1h85FR+ZsG+MDgjgjk6xh+LSRaZ+RetcBc1jq1yxzsAsoxse
8JhxH8eaRLxjPNnNjyckjvrL44xeo1T3RTFu70Mon0XvCju7bCav4txV8RlT5Du7POzqS5fBaL4U
EJFN73gv3E6rWJ5XUk/bIk0uVkotMqlEkNYiQ5raUYSOFXxPrFnkVItOk6sF9r2Pi+60/JTz8H2F
GM6PPtVHv+8Wj8zydePDMh9BPtZ/WGYSMvpUUlU3RQwF1JGUecvE8ti3rnx5yQjyFr4HEZ34H3Lb
YTPKKwnkRTWR4xO3ObswPFWzwr2bz1f61cwI6zzp1NdOpWui/4TUcJKW7DX+wzQ+UpLCRlSlJ2ne
oCUX0y9RX56qMrLa1fGx70luR9zVm5xPYmhpEu6nMqc4NcypCdS6MVCrotxJi3OMOxHtG+KNYpJc
ZWg6VMKooWIDxEY3E1sEpdXXrdRsTKZkyqSt6e+p159MNOWic7qkr+ARu6wZz0FDkFhYdvdP6wG6
h/0O0ioY8H99CEm/2bwB8xWmsZqkMoP5BQ6+mX+k2HAKqReUAtr2Whtfg37e9Co2rOU9RmKLw1ei
3est8gVoRFm6/T9cgqSqhqjA8zEl85fzI+PQ6tUzdpwEufn16Ypuuwy04hzohRBDgXPSEl1rRVS9
srFENILN3xgHT1OFX5BBbfr5mCmSXajpv0wd0jItjDumUmEjdZ6hNJBHRduoCqx3WqR8GN+hlf/j
Rf8nDg6nbEnOdiSliFKZNJkUMn8xOFTY8X4aHP7u+/81OJT/wQBC0k3uOm8+3/evsSEPMPkz/juv
9Q8+xOncXvP///9k4x/wBiDYSDAyUHtNxtL/HRo+PTTlTpIzKhIWIzFy+zcSW9Xphf24Ln65cNbm
z4VNVt4A0XSk+0i1tyZAig3RNjNQLEiGq51MBGq2+HT0my/zRVsIzri5WfbgD756kN1HhDZHI1Ea
7Ton2m4hrUFqY21SEqkvoKZqhlDDjq5b40O4opla35CVb6+uYQMqRwgWh4UWG7AZ3TEc47OTfaW7
k2Y3bVQDN8hO/tw4GAu7AmQta050uPianV11nkekje4RB90W6tvw2ji3OToTrlRh/3IwG9ITNuFk
RAFe2UW02p3cES3EN3YPc5wvGLohWr24gzOf7BGrAn9R9ndXf7sFUnieC45Vg2AHVG2+OAfEQU5g
ad5V9zD3MSEnprY8AyV1GkjjkPy1sJVC6a1fMNUCCqWLnp8Oj7UA9d677G4L860xFnqx1QpP0xLk
X7Xu9sYZHV4onENyOOZZANl5PqIa9Y/7cdYl0ry4Osdq37K3N8Rxr6twcMunMo/yPJEuIRT1h+z3
WmSN5C/j/EJgNTJ87CxmRgjP2Bd8IWqD7LEARYC52PjSw5tg8Pfrhz6nbcxXZxsWVtQjDawMtx5e
Wn6Hg7kjbAKUW1nQwSpo4kYP235ZJBmc9qTd40dDCvlMPuAqpXhtsMU+K+9n0ucRHznTgYkvzy+4
Oa2OaxQewUQTSbqolJ0xc0bcTVBMWW9S6xeRneRuZqtf5SxdEVbIpiduySrxkjw+u9ValbzClxEP
kf3o1p/ZrvVkNBab3Ld8hYT6vcYFbS4rGrUAUZTB7ROXiCNMGQKuozgW19gUtsYF4FXei7NjzUwj
ug3Ui6F+tl+EYHBFt04DvFJCbd+ePSJWlN5OnxlMOmAqTOLO9M69c/aP9pE7OP0q8nUNqhk+Xl/t
/Liut+ll1pMA+94/yaEem3G3lJ4YmJSH4jq/NnGF+VHEJGDe+NMXSgdPc1pbdlv76mAMgnftbVke
kBG5uo9eGnua8Su9eHoay/i8XOxQLrGC8ZGSEiV2KgMDdeDDwfaodcp3cXF+Vq6uJQSqvoaAflxv
BTiVsLMrBnVtfOIkX91njwR6SL9oXmhCi+UtFkJ1nX0/+MDUSLHi0/wyM/1HIsyRBMfKKUpPVDd2
mTSJ6k/i9emq9OfhWVk9cKvCD8YXXYWAY5s1AjUdGRvPf1sVuMls5QW+Ke0tHPio2ycCwVQ6nsmx
L2sWN+zJ8PcjYtxJPSsCuiNn89zOO6S7u3aGGQz8dqbR75pr7H7Yolf/POp+5Ngi8ZkO2R/OwH/u
dRMNFbItzgTWL3VA2Zxbub48rIBm/zbYtOe3N4m6yPWRBctfojQroFkXTG7CrnKBJcSFOq/LGeaF
w+yoOHlUrbTl+VuIEY4Ve+HjvEEkIeMts348D5t6j2Hd/vSZqjjJMhVzsP9VtujZoHQfqgTAX1oi
5EcoeyNu1b5Htyd5bzwjpqvc+klu7JMPCtQ46tz6RH1I7zUeXeX2ks9ryyXUR/gQ4fesuzXjluLM
B8pu0Z/e2ajsYt3McnSr5PWUT/DIVdNJISpVkayuH5Tlnl57KB3ScX2+wUIHv2B2hBDJZ8cH14JN
/wDcZJvJVvLwVjSx8HEV5uYJruXT/fSawy6rmFK46IXH5/qpeu9wR8I6ydN676PA/APAFm3HY1Yn
7ITFF2ZHR27sDknk6XP07x/0kM0Xp0kzvy8nzVhUzPSZ/GZ+la8T+PSJAlz0jgclBvV2h/mwANCh
6fXNmaV9dW+NiBbO17+Yc7FB9YXfwyMvvT4aZih1sXgy1SWeWdlz+gq0ckavCcL6Yjzz3NXyWviP
Y3C5+9lcwV9kfptftlp8Zp8sY/2NvkNC9mOLc/blVLWxLdLCx7ycnYM6QKTBV0GmiuGhpYwwEAnS
qJkfl9X27HTz0/KPp1tefMnNQn2GmYl3C0qP8zLogpOvJOLb6bNZCAecI/ukTwjddVFvk8XqCPZ9
J7ncu5XBd6neydWdml+vS8l+nf4W/yXn127sqHb6MHdJog209/q1fi1fM75qkGQDeybyeR3jtXrr
gYrZxAoHT+zD8xgwDjuFtOc2tHbsAIsZcU/3NmiZmS0euj1+MLLDGd6ig1rXSw5y3GI85DXrdtet
lcKPMq9aahDeecMkzBRwjrBlbhQqNhrd6b4pSdY/neWAdXl+E1+PK7JZjxdmFXaxwYenOAV8iIgC
MNnnN7dZEw9xNzm1P2ZpYNKxKs49CwQjAtcvLBwvVvAgXJn1yD4yoI+2m8I/PnXvd9pRnshEBeWU
vUuTqyyHQKAbZO1zAF1VxM44X9XgB45puHyoKTua+j3LvyflyJvVucvzxWkAtzF/dpSaAkBCuuYO
Lf6MR/ghNtYE34PHLG9zXeLLJo3J2Uruk53eAxaVxxwsd80XY6N+VvG962wLEZ+ygpA3jQciWiBz
la2Jpbl9Ebgac7M92et4QxGQzB5zxBVG3G4rXwuzuN3dozqUoL8Lzkcanfwy7iN178t74ZCFtUcJ
EtyeIDQ2wXE5xkpshJj6BMiulko4fIlPt3UWSr7xcU1Qnc8qDlOdPUbCmXJvnK8Ms5Gq0mVzCvAP
G28kF+/Sa8d4G1V2DZKPitrTE6aGLMWtWCeMNorTk1J5J04KkiqzJ/BnXJupAN10L+1Ub1gobu6o
Hm2sc5lYWHU47ZWetBPrUKdIAyHfS5PVNB7pSRkrLm71rOuch3SHYXk08pqnr+l3D9D/vZZg6B7z
LMlUhwB9Sjs0gHxu63B4nRTO3BdpRxvKh0JL+HYUikAdIRnEUYO+9C3dKwnyOReOQgRyYrnT4HEM
FPee4GhRxKqHHaHoPYI+egTjTpyPEcpxLpRKSQhKHjf8kXlhTc3LYnT55x0BWf+p0FbfPF5Ni2L5
6vN7Hlreeu9x9vgfWkQrnkTfXBRVT8h3uuJbF+R/vHKQhP30sqaLsdhYOpsbZDnLMk73ucOfMmxn
PVImJ+bXdIn6jMd0R0um76vD9mW6hxbPMD3TfUnBmDCYme7G9HVfTh4EhccT8Y48ZtPtpVjlLmnT
V+Wpisd7yfuqZnvevqEJ772HYq0UCHyOLZ/nM5ZQA3s23NzXE/HTcFKf6hb80Bf0hSBFWiTaOPcp
3tmdKhZYSCf7Tm7ioWUixUpbIxB7LDPLFlB/STbzS35lyCM79zXUcf4frwZCp4dtGt43xpfindbM
x9JYwvh1gSkT9RF2qpBA5nW+EEIsm+y2dbDQuXl4qoY8/JAdxFw8DbUrFdOTfLbpNR7LcU42CJcz
bI3erj/E6OrULyiXeNssrx7jdsYY2uhD1L3M52bl4RGdKfXaGc4OGzPk6rnsdja+mhAJKDTH11Pl
3gmAFJEBZy7BarM0Lg94B5phH/TBVLPxqvmmxxLMiVupkHqDzlOfnsvK/EmaJxRbXl7BCXh3hIgq
KI0bH7sThzshmKtOWTXkYySY1870WA3bQA1rn5Irhm8yrscGI9fpOa2vtk2ofT2yV8JbVKGvxM9n
rgDFPpZYHoQnyqsj8wA8/7Gng7FXebUrzY+0/RTPD2uW42sieaM2G17Ipm0pgs3DLa6+yq36fH86
zVonIx+i3qd0AgK5xI70Sq92zrzSCHJjYfq3pNECSV0o6NygnWAEt5QLfxL/tedNc7aFuRbU0eDf
Pcw0AtNGBupTTyX9/rTBQvYW89MCwc189JaRwL+F/93O81m9VJ/V5+NMDlvaAzRXtvxOOWuIh1oN
iQcUjoFyXGX6qyH5DwXVbdC0zwOWf/orBpDh0D7rG5ZmghlkIK4ZT0L/7M7EKxLM4WvB4F+9MqKt
0AIjsALZVylQz+6s+DCxm5lPy40+wD/7mZSwZcssuv4N8zz6BBm07P2uxkfLHQK8YXkTGZ0W0VXc
N8WdNVvTzTBPfq0/0hhxG8slpSvA/QKzxAt0mJfrMG9nw/Ys7vU8YaFgI1s4vOHVEBpzdQv98PpN
39M9c2BVj6gww/SDBkRGzaYy22as7Z9wKMHO8hr0QsFoGF+f8NrjF8dxLIyx0f2TTP8fisygbYLK
qcFstphTMdz5C2QGTzD4tj9Quin6//T9/0JmxH+oiO1UQzKnv2SYMIv/hc2IgDbwATV+5eci5fof
SjcAjAXqYvKDIDwzDoIt+L/YDIYxIio+Jl6iCpz072Az2tSO/Nyu/HTlfzz+A2uwsPJjW+Uc6237
2HTWEJhAd0UnvQq3Bq/OlOTt7CauWgwNcb4TpDa8PDDyUk+112dKXJNgd8Z+EjD2Np6vz9JNhNYq
46qSAqR0RdKD+MHRsbPOFPhg1FhlA47rpXE4mdia3z6F+2kNJ5unvbyj541743YPC6ws0ws7oUXy
pCl/MrA9is2nVkOYvpHT81Uw33cK8b7mJgmLsdOKWVkb96VanTAerXypwEVWL7IWZyJsOv45C/wP
XdoI6ZF96qwvjPUUFsBfLG2FQPdfl/afvv9fS1v+B4gmWdJorVDL/AQ6SqYsoRc0/gkssub/BTrq
fBwUQ2J1T8x3Ut//d2Hz0CRP5R2z/v2Fbf6Cx/OR/Pm6f5nXSqxQ4Zji7XnG8pGRflG7Z3rnkTIK
V5Xcrj7KEBefXbWCiKQd7p/i21QuS88YLXvXbbqSFv1aj67RPcEDTSPi1h7ehMNtL3TeY08MH7/M
mLbH9TqbUQcbr8JTGTFmf+uuHoXEUbcZrIcmXsMbPkTj2y0h0haksCrmSNOAhHS/CmusTnAwdodw
iI3o9KQdmaA4n7r3w7v4G1xC/fPHnLsx3VpuMBCx+Iu+wTR1pdDPikw+9h21/2Bnm9PqnRTFuHki
GQYZc7nu4+KJFtthIOyfbGHdz07v4+K4h3CVybY0axIl4ETE9z1mzqg8YKk45TMeKago5Y26SDd/
N0/Qpzfp592Jy9b/2AcR8UJs5vEfdqczGteu10Uue2uC53z2kQ6BbifEiuKI2CjvtByMwTa/sQVs
Fq8QLHkt721cf+El9PEIhhs5kRT+vOm3NU6IhN455avSBH2c0kLGeqLNHwfOTeMU5BshyMMhKrfV
vP3C5eJNvvMqPQmOLkJ6DF24D4cU+Av47p3qEGuzmPIxzezv/8u79cPL/gVDOl8uZ60cZDnovCpq
k+PqPfdT34wuFze6UId++VLcBPVXmlBPu5zo4sdkSTp6OoU0fsClb0XHoF/R8upP2TvWk9RGeMgF
pvMpz//6YiVrQu///CYxT1d4J2T45z+/SRweZ7MuJTkQwsERv2m4i4V1DU4JBmZ7pk6SW4NuWK9Z
Mm6wSQ4Bqh3TVd3r7E7XXixOjNM33QveJufk7g2UVOKFwpjBugPL8Ys28WGXT8UaM6L44mMowhtq
33nhdIipB7VNCrKduvwAcsfIw2YkuO/Wt6Dflh4AiXNa5Y5kn53a0VCEl09kHXsXXwUQokeEc41F
ilelTvU+Wi6GOlUX16DqWGfZIKQ23hzA6BgEwSayt0o0e6PVVZwsOoXqi16s0hXASBuKjPF5kVf6
98ovafmaWRcUPX45DgZY2Xzc4P/auR+C08fQgzDZIpRgpQIKzDfMiRE0Orj3k5UkQj3H9OWCvadj
CJvGRIL8jJfEcY4le5XNpBfogF+Vc5pr1yUeUACZgLZdaDrFN7wEKZJf8+Dxjj9fObpTMdte3QbB
hwtR+YLr/4bJrbQiEWT8pN5W0k9ZX6vQaFNnBJmJ+el/vTyQn/12eVDJcLRAArJ+WR5yLd/vF9zO
AyEWtuarshXiszes+49jIm+G4Pxs7KRltmk2lv/g0xmXJCoQIx41a9mDVgGImHowoXLZrheIl7K3
lOcYP00IxC/3Q/l2l22MExOV+QzGhy/1220mL5TV7R3I5fSFX4uVTN4X7hF2ocdcpv3QgXGeoL3j
Lj+7J2U47X4z2lvnuBK2VVJFqvdaNra2SP3Oz5I0kW6+tIB5eEhVr1oouGraxgYgCO1IVIKMOPfY
WlhP05LuIO5AwXKFufGKWVZ94K/hAbQ+LXRfj2W3n2VP+LdIm5sPlCYeqlhajItyd8TqZH//viUl
LJxDFqS78gun7EjdZatH0rATrcUPWPXjAoa/MTfW7f52OL0DvYyLc4JJlTDnxz2whPa1jYiNCj4x
C3DuZ1qv7kV7NT8RXT/s7uMKIzEpP9JFE1phBfhyizBZAqI/PgmoOdxhw1qAsHZnzDNv9s0bEqU1
O/zlo/lWttmzsOPOtZAsn3FOc0i2TvQDDVrUr7Mkr+zmBrbukJO1aBfkhc9vz6kHCv83ylUKwN+t
qmlqiZOLQQ3yi5xG7tW8uhqkbyhb7ZB/Gh+EBFwD+AjjDuS6Fe3c9Pu4W1hbeV7H0tFjTibOtI8J
38OLdl3BtV3Wz8In23exFGkOV9qqm+lrjvsnUGQf4gk2fmhHLjtz1i2uCb6w532fiC/YtcDsXFzf
Mzyp3YLsa2zgLD/rwwaDstGWElNZS37+Sa4J+auwe+UCz4/SE56FTfmU49TwOgHcfXzmCXLcMDGL
AzdmnJN4ze4IJIA74TkPZIhMs2yVLnEVHWfy8rTodhZpDXibutY6+yw/BYxCNseY7ITTvH1SgRry
xf37cciS4RMPa1QuV8MW9vKNz76bEFzRz2oGjZD77TzEX7UDcVjROD7c6xs5Hgt92ZlRxySJYcO7
KMSN5OSzZpnGuJCqPtgf/9mVCagdnvwEz1j2bSuH1ou6YONAJxzl8WWWz64vzIkKrIHd9HvYM1Xo
vicSwJLJzhp5y1xAMA8bclpGBLbCSjOa1xRk7Yq1TVDd3MuX9onDZukg9q7/ZkOa5Ll/Pq5+WDm/
FIa5VUo3RbnJgRWq895XDveEE8rDm79zmnXlnh1AZQD5LuhsbP+cIjFdU3N09zkhm9Z7+BK3YpGH
ps9wtb+5uTfEDMq84/FvijZJ+e3W+T+XSsv388kq3sc2zQYudQjyiFHG7H7IvpWddbL7j94lE87P
farJWH8ppspnfN5pkPs291m+UA/igRMSbDgLMbadF+viSdsQk7HFMepb3w7L4qtattvL9vKev8vb
7gDwovc+5oAaqPiqS9JtD/zxkQJmOSAXtuIQiZ7UvhgrkRBaLsCLy07hWeHdB0/ZYOdchzKzfTnA
txpFF7+5eQ+gU/KRIoyC7Vvc+xSfnX13MaUDbiqpe0FDEitsvk2Ycs4jNuEgO4yuSGCV3862Zn8T
0BGmDL31mK3cLd1jqIelz3Lr7LA6/PVpZf2ZqUDB+cMd/6VOFqT7wzjL3HFo73C2ij2AGfR/u/gC
L1pC/e5B1F+lw2V1nkELvsddUGGGDJkBbJs5S8o5MsY7vKvDMvfu++FmD6uLZmPsDOOAYfi88y/P
JVE/TrZGopqorj0ccMVd43OgvcFmPPsPwDP3tLjMzssL7wR0oieqW/+8oi4g0crK3D5h9CTucSs+
JsfMw0rPnCsRITyAfJseOpd7wmxn2S6qrzy4AHITvhFrKyvKn/76fv3BavpT7ffD/fqlUhVwfj5h
vywH5f64axMphLXomq60wQJ8dQ/TF1klFvJOR8F28Iy1SGmjC3CO24zztaXqUYKbDy8NhGyI80Ba
TmXCg4bom2Njg+uVQ7bO5zHIA8FnpMJIF2/P6Y+LJc7AnxDOChfUC7jhbz58ytSJ/rpPSBJkGmoW
FZ2o+ctLO+lj3R/7C0U4Q/Q2YohkLdH0YLBDRI5UOZcEt/J8l86t5Y2clDfpINfeiLPc9G5oeBFD
EsfSdao70DwSvpCk3yqhNikFCtLHW2uTCnBM0CZVrSt+Z1P+kdcsDJ+4rG91MlogJiGUc/YYB9Zf
Co/dhY5At5rFx4Ps1YtTlC3ulQPRpP8QbPqge6JS0AhL2gaG5cv2buuBHAA14hWobK2EDB0eN/fn
de5cdvJsnBy4uAYjkTBv84cm0Dd1bCwvu2sihP0yq2js2JWFo8fEh2wXPM2Gg7Q6h4wE2JK6WRer
c3lNN6warmi4DwzM/AbmvZuRNefhwAKJ57jRAuaaqzoYg3R58xmeBMk5qZM6KqIxQAsjRiNGG4HO
AJRJYndcZK/pynhCbefhXuidYuOp2k8ER8kWl6jIbpVT62E2h9Gh7oy12mL2BBPBM11opy5cTvgI
upv76IcUWEDb67MFWsotdSQPMuo627YsOLYbll76OazESFtXb5eF4vUBloli0smuETz8YVkfBoUG
APFGhGzXNxw90kClUfbdvQfFG9Vd7Zzi59HRD5RwwPkoqeyHD8nm4aLX2/Xf17cOzsMRZw+yk872
1esORgBKwEkeqWE+wwKHAaRN0AqjlYIIVXGVhiOb7XEjeaDBgfjcz1ubNgWdMhLMV378jFaUn9i/
Sc51pm34jCV97UJ3RVO1GhvnsjBD8RlVlczOI0HISW6u4uBsHuFKawWKh2bo6fY+gdMsbpv7ltnk
YWzM5elNmo3f6P5E3kNHc6YtmpOZz2Tu0QAznXea8K83ERDL33zSVI43VZ7cSLRpU/6hy5ek2ygP
8lEO4jYx7HJhBg8vX+nMb5V2Dq8AY0QBFgWLS0DLWZpuvXnsq129qHbVrsB25xsB08At22NPXt74
VBUukM3oa/cAqPvyyQHoQdfh1/yFT9Y7B72jk2YdfTwjRuFW9xDLGMPjJTs6de3UO+lbZMrc2Rei
5Y6ob82PB/sTXFJhyZ+eKaovun+0nCvC9ejB1zE+1rbmTHMs2T7OrvPcg/Acps6a5vVvShhofb/b
nOQpbAIsDdnDxPj78ZaZhZWmwkCrdH3o3sUgWhh7LF1cj7DGzqBPF8m9PGIJV7C886aEXsG62mX9
rV3WGn6/tY4hJ+P3p6Y9RoRJKybxCWtL8Dt43CUxghWtIQfcTKuw5XUKYfVALVvCn7e2nDo3eaen
nqn6F3xihGEB27QmTM4Vu3dhe2s+xJk8LM1T3DBve4xhdQsqumI9xj41OwXCIz6Lc+2YdKevG0Nx
yVo+LnudnFU2UJWZJieWMa5OzVxPn43i6aJ81YVuH5ni45+Qps+NNCU5T1d477f8zYzLw6U4ksfQ
spZnCgX8u9bHLsQhO239qgu1j04KjGPCbnfet4ke3A88dm9x+4UoG4zdYbL3tbbEyxVvirxXVO9c
u2RMaoOvXQ/UsuzGCh8mjKi35UzRAgG1nT4rn67v1TvCMmLcxjWul2IbQj2jiGq/c4OIrcBCTXjA
eUyPpS7B2VmFb9gv+3ynYOtaRNj/EkCVEPhYX9Yy5XDvX3vSEdft8WBSy+e7/uJkQZOgVzv0czYn
PpKDI20vQblkCObr8lK06P4SaTW20BfW+pPuEffEyA49PZvG25G+hZLuRgYA0WisDUOblY8A2nn/
dr35508djYCL3JlJOm0HBsBMFtHIE3roJEUAw/tl3LUrwg0mBIq9hOiOHUmAqc/lUgwP1CZDNITI
4iiMrxALUSqmTObHRN0/FlpSr9EFwiLqs6n8YS9tpslvJIaYXVAYqElnBNc18qngOsMJ3ifAOurp
oovIWvh5c3RMtF6sV4aTxu4iNTbEp9d6YzL/Onv4u3KNAnu0YOGHC9EkOT0PwgcDOLpR/I0RSeyr
RcNW3O2GXcYLv8SSbqfstg6CwDVZocpXa8/eFm9byJCeaIef8ec6PC+zGyJF24gy+HHDc84jVw6k
1GfDt2dYQzKfNLwMOuPm5UpjRXwb1QySLbdziUhxmyTn4FiiiKnkr9K9QKWBUTUx2UC6jDVhn8x2
Uz5R4C4sDSwKjwsFG05gzT28y8JVEwMZKgBO0MFcyL3xYL7CDlPt6g19nqbZ47DsDhIZtAOxIagS
wtYrInl5PIbY7t4yD6SAvzjSXlF2y2t5fYdXgcYeEiphGp+oHG0yUV4yqJzljOCqx+ttc3PW35kr
PlN4uW8shjC5by6zKzRG2R2izybG1cFrOa3unu5Cf3Whzngy/ejy4t6cgaZKDtpIQPLaLsp9w03D
psFYXl/TxS00EnmB80jUrY3lvgrXjLMXLQDM6F7c94pqmhxSF30FNIHLzYst+i8pLPF517hoJDxO
xiNUjiTKcmY1j7jl+AJS4+8RZunyNjzDWrOlQHEmNK5xPprkzm+zpw8oGWCGjfOFuQdUjwoeFFK9
Xg8FWKdjCAi0RcKMrATkrgloq4JhRSPiMkbybv6Lzvk72DhCw3QBesResud3Nzf8bO3nU4hJeTR7
Yqt/mRDAhtVwTkz6xg8wvWS33NQOIi5n+bXEt8+OW+7U1W+8qU26+9Z0aPN1eD3br0tKSK6hnpVQ
vN5lZ8lePSs8Gk079zmknKwI6xmSFAgZ/Q4Vw7WbD2/d4iyFhCViJ31eIN3Gg/+UMPVK2RwekGFP
M6udgfDspITz4brM1g8yvVacYmg4MVq98nr7mT4cCInQBbuQ4/4ZQ+5Fhh00ZDQz4uOezdvQcj4m
ohqrfp7N/4u7M+tVVcv2+CfyBAQEX+l7+/bFLF0qYAeogH76+5u76iSVujc3qddKbpM6+9ReS5zM
Mca/G+X+Dgugm8PpYPxaqSwgof9pySbwX+h3h/XsuXhzzLSA23/0WFwWQKk4Mc8AD5rXoEi+pDlT
80jOXWNzI+5dHd1an4hd4qkJzWiC3t2vm2N5TRrZItpjTwBZX+GaQmfLGgdbHoQZGjej83Zj+MWK
9vn4kpDuOcWyAwnPdEw73qcba+1IM8aPEkkJ4O2O+6WAAkI25X/jS2lpT69DB2JiKdbI0EOPZHDJ
Xp8/rFR1vpa2BaUm2d0tkX+wrS4tHjZbfxhjpqVP6E8AI+LgFxoymTq5jQdlTFA4f8PANB8HbUv/
WNi7O3OPgwUXvdZuOcwba73cWewYnWHc5l5+KGbugmUz75Ur9HHmVvffU9RvyipPSLa88fj3SHrY
9lGFqALM0tYDVAQ5Asa3/ZCtu1c42JxQh/TNSb4/l84HsX2GhKiq4/fkFrLmOrpxdar8L7ATkjY9
1Rwon7Cb3Wpr/aDLuyPpJfBhZ+usPdC8wTX5NC5CNzfLOU+oOLck/wOxDu5TkZesFfM+u/AUn9ic
nvWot3cteRaR0sXnInrT9lhsrAWg7M8wuOpX+yOj67HMPlIrBqOChprUCn8XPWWTCj+S9saqnBgR
9p1qXFdH8qD76knvz6UiRjt+JZGgBSLy1JFjzWafVellk5wgCPMGlOA/fXlEjeDFqMw1IRXi419+
yvh2QmC9IuTa/OyH9jBGgRicMpQdbpG+Y6JGUJajWOmF3TJs0e2Z10Ta8oI6W3meWWiNbLYXpb9o
i823pYy+brtEdaRb7DJdK2t2F9l0MFx7lLS7o4SUm2z6GFI4bHglqgHqwwlupeds8f59uLjogFJC
QHt+Dzu3CxTRO7NIpUNzKqad8w133B7i53bBlYwoZFuIeHO/WF+4F4gYD84eWRFrkLpXmFWWnjQO
rBWQdLXmgkLQT+ABV1VvSV2ugu1o+CQsxbnvnJdDsMRuhvdpQBvCpSkmpRX6H6RijdkJNRDNfWYu
djTECMF/epa8Z759mfVKTgH8pM3Zkz0t7MJuSpp+zMjzjosQ1yAGiylZJTg2LNYJJ/IGzA7LgJ2F
qn9i+6atehfztJDWLTPIInfFX+GUKTpsF19juktvyJ+Qk5q/lXN6Wae3eQo3bMiMOIaVD8J2nl1m
uq0EjShbNirb41BlDrl6fZ+1ngI8cCFOcEoUiwf1KSZkK6Yi8WnS7+malinr3D3AEyMllCHWT4/g
3bcvn6jvlixr/qnGaPTXNSSg92U8LMLMyRw1Lvy2+GEr1s/Qe8xlB4zcMDMNGKzk3qeu3r8+serW
zS45Qz932KKg4aUSUyj2BeAsl7SQdU1JGEQvzf3YGs0VmiQAL5Czi/1DDvpcZT2NeY0q7pxuKS+7
pE8nNjBXPagkMVMOQzXm/9sq+BlKDJB2RBMJQBIyQT4ny2Ls5qfwqyCu+KmLyyw1TObcVAaGC9DV
X33DXL1E60URAxA2fwwTBCoqfRRD2RLyzJOdisdHQT8Nk12sLx7s0sQ3cKa0MgorjoKt3FzVoKP6
QiVP+RbesrDzX5EasHeiOWlX8z5lJ3Hwdmo3iy8zukdUW/7TRUqNwbFDYcrgbyLmd6QI3pSN5mjC
uB/7LPi1s6+vfPwXQ/MQjTHdkKUlg9gsfIeBDPUj+8tM5ix+l45DLE/6czTpqjqGIPJ6ZmePOv85
YRMxzQipc6Hkrhr+3WewOU6f1l5ybj7lmPOumkT5WJ/4as6f5jeuzHnP0RcgewKjR5vGCzFc9H5y
HjdyrBnjjTW7bSp3w39NArK6LJD8gSHcfQVJGtJ71IzKFCzPOs8ZraAXv6gwd0v2hKX95WuE9e7l
IyBFvToFp9gpZhcFVFNCh3Cj4EM6vkq7UhtruO94db98FM0lUjEZaZT/T8IvZRbuSDej0y+RATbz
jqvSALBCzu1bOcTUFPIbiXXB+hzyOQ6JRpiaNTS1pwPIOmVniBTcfi4+Y3OeynZvxJXCgItf4pGq
Vomd1GdtMoL+qko/SzL62IpwScG0vkQem2RpMyHiXugQut7SLQs9ltIJREsekb3lYThy6Jns9w+I
J+2JMYbIODxiOF4O1RgDCXsmeFriVZeXNfWJS9q+Ltm/xTVmQO2SYlGjXTVzVkwEu/mKGESuT/OV
FE7Ba535engGOUvu7B29p5JMSL31Ge+Cr3/zpPHrvmTR0ZnKyuDCz1HR+t98hsykXgneDnsx8/7c
xUtGEfVam3nicOQ/QyLy1RM9Ma1BX+voMnkkLOU2xyPmMaBKOLe7Oe0vWErINtcGsFadUySI8Ddb
TstwOpwSRDlqkxJdfaJ6bFp1z6mBQlbbc4o4ZWMlhbZ2aEkpRXl0CfVoxBXp0DvAuszYzCZHlGUL
ciQ+char6V5eQRn7fBh2+yHLhW/im/xGuJCs/ki1b54Sff2dzQ7Cjv6dFnlZbAYWPRm96GA+FEMQ
0x0K/O++N72OutUbEiMiIwd5NsfuLmTlqMCZS2SeFn/h2S9mcgQjlSalfZ6yLwHPB9sHyz2slzMO
MGygaAY04Zm8/CfbiJIjK2Kdyl44wT5PJQ8hjfgN3l6P2wli6MCqvy3fAiNQlq5gmLjFDh3qYUoy
H4YcAqAZC/7BTO/Wn9aZAyFuMTe0Zy+GNO6msx1i1/qa/AegYZuLFKT8ZV594prsC5dUPmqSNsp4
+3B3wyFgI3MzWq3chv9mwxgI8ShUvJ9dyj7rCfdRgkPIapLF6WNuPkGdaOO+ZzhL9pY4MyqwmeTp
fnvjSt45vZiggKvzjoCPFtKLmr5WTFAiSsfVESiYTtTJr8XieA4yoyXb8nIPt4SVO+I9v0ck5wYa
P70GR1MZXVmpZCGrW3K2nlh/0rPJGs0os+ZsNJ/WIJJPrpZyyUAcN8vHM+A+dDWrc67L3qRvnk56
rEB+0FKyACTOvKUeLG2O71INt4/QABe/4Q9chtxIyJlRDFuxROs3Wub2sj/5JbkRafAT91Nmnnox
qV0j/O2zOgeN2jHlsevPrFY9d2jjwLd3yRIJwQQC2ZKsJc2W9Xv3JF/8Nbs9Gyl9pnyExQssfKAJ
3HONzWPi0YDgMBfpy3joZG5jUYVevGlgUHbb8C8U4Ztvhnn9Y9WcxOBpzqPPtF7vAMiJfgAxYCP5
zDpvXinNfXRSgofDxl2Oo+I2gc70s+9o1uIjbIGZ8K5xbyOcpXOiT08zp/AgEd2TCj0EUhqmZOWZ
MT3sBb7ces4eiF7u3sOXeC45PjymPdTCOhX7BrgpPtLF7v2C5XFFgAaPirA3PruGI1rh65EAndJu
I32sTmEpz/aCb4dVo6X5o3QUxw2S2yibCQeOeHdpsFc0QavS/Szuo4swW0bE8ezQttAsVMFnjd6c
rnuhe8/5a9r8AGWKpgvFtFW70FvIAy7uaWfpm0XmSy53Gm8tCzFD2b/ObiDoEiXE75kokgBXctaH
mc9tNzv7NZz9y4Vg7Vzj1PFk+tPCK5gwVQ9yoQyoGBGCGMj6UPyan99B8DieGe8MYJOATRq/qFn4
6l3clkPegAPA99VF58DrgCjcz5KLudXM31m4Y6wz0Qu4q4e1xxvCRCrvmbxAmkSzwAto3v70EmcP
IvLuO3xsGmOU2a7k3yctM8Zp8cP6br76PpQi03Kx6qHH0eIr7/3Q6ibfkC/DKScnti7izKET2oKY
x5LdpbU1KJiimZUjmjuSHwLCHN+msj0S/yBuozA/8kKaBEaFt6Sytp0t1abhgXPMt4KW7OApJYcF
j1PIX3E98+5ibmJvM/gIkVj8MbgF/7jHRbJqvvHAwjJKo44GX7XV6DZWnCyEe1hlAVXUVCnzQ5er
c6UEklfHn7COl/CGLqCoQjsKqSIgEZ2wEYAOg/t0YM13ARzXearElbXbALwn/9C3PxFE5WHh1tF1
lYPmGLRK76QqPKZmQZophD6x5z1q+j5u0+eGt4mRD/6r1zJLsIAqIq9u1B2NyHDr9A2s9AEI5imV
HivUgKKJV/Taxv0eLy7eGpNIDJNYFdouP2SptTtwbzgYqkD0g59A5uyFelBFwxiYFsZLhn2wWOo5
mCjzZ1T5L7dzO5v5hEMl8chdwfp9p1QozDjFWLL4MyAPj30F0xv/d+clQ/p42F2fzQZZckd7xCM/
9W2uOi24jTIMqXUCC+i+Kuvn/Me0+lid+v6ChtHS2V/qdSfMvobzvTD4ZfTjX1RYnzFRh+3donG9
mcGRSlfSOvuls9rN2pj1f6wTdRsP55lzdTaNxc6wSJ/iyfCe04eZ6FwruBgtI2mdOujDVWNhdHvp
lMSleAha8M6EtRimitQ8swLhK1aVxw5VWjD1Rm0Tvdx4MGN3TTbtw9zShCJQ5rGIHqqxUVvSUyHD
eztQeJdplZ5xztHhNXiJlOj1sClvzB2fA6jo4eXzWrGw0iJragx0vRDtBXuZRDNAg6sBaY7waUnm
gcuByaJMejavC5gARTqjFMm2dlDscwp7bhVzgBL6nUf6WCrr9081rQBVRxi+ztuhTOVXC8Z/vNjh
rbDl5mDkHpnXyhTga5O5hatFf3QwjPY/cG7TXdwACuEzg5HrMwVsgV7X7CF2WAxk9p15ngg74jcq
wFXQrkFiMu2Hf/qeFNnrWPUUl+HJfVtqyJs/5JpanGp74A2QCNS8eVercaWU1ybOgn665aN9PDzH
/N0ClHuaLu/t5OMwyBfejdGqEZ+c+esRqKZ5c7BjEBDwp+ScOB1Ka55oJp06BCZPuPHtzkV2Zw7H
CnbOdfG7v0zOXrDt+aP5seQ3u6V9WKcqXcOdzll7P69BWUjRBKNURoz/ww1zDX6fbHsN6aocFQ3C
kKl4mgU7b22gTKhdqFBxrzivWMOqCSjvT4qQYS8SmOd3dA8uS8N7BQozzddnvfTMsJGySdZ3w/tu
/QKSx8sy+cU/4xoYcXDzsFA7ABZi8r2u+yGsgj1hbsqc6OtG2lwbKfiVQAmezsA7QwfXwDSjm+US
Y8QvAbGQajy5gkjY4yu4bm7QlxDJLHvtfGPcrUQjC/hlS876Dap0WfmwqH3RUf1koeEQ5me95vv5
dD8RTdwaMETo7Kz2pxh/0ciEDaMV9jDQ7jI6e4ZNcx6xDo15E0UmTQKbTJx1bj4XwJIm62PTbAM7
jPbztsZNq3kCkaWImZhauXQhn4EYiNOG23TOC2I29yxcprqAoH3B8gbhla1J14Rkr/4YayEqh/5s
EKtBj0RXVv6RlTN6WMcnQHDcmEf8pDfvGonjwc2KyfZrIpMBlj+Sg2ITV8DT14AuH97xM8b36g6d
zs9VMagx2lkvbpzWovhxjw+mbYTSZS/IUqA2sz9vXdSaKVzvpDtpYC3G4Tkmp0tCYHUNP4D/TIQv
GzoXyxc3nNhhwe02WD1XH5m3e7BVzN8yoQdLrl6WDGPnbW+AEjaF85oqxwV4JwSc9Qkeo8FUYhTf
4TQSqKQ+Fs1K7exGX/q62+zuoU9bFBXFrXJA3Ah9cG8HbGLpE9EqH3Z8c3GOmlXMTDti6RVTQlRv
X+BdRVRTUUEvvAWaaUdY8GfP1cXktSqcu1eGjlLzE2HBwGfONqK/3+Yh1BilOYNWDV6eHrAijzdu
g4d0LU/7Y2axHu5VIeu43rgrxVicg1519j1zWkL8XMUv3EdicF7IhTbTxWMEcHLY2dcZOzqtMrqe
hFaGNsRSx2Kel3mYEPaY2EiDYDZMd6MntJcSnGn0dNvnJ9t5sjpbG9lj3LFXSNNXUNVeG95jXLpw
/WxDpgo/oSV8H2/ILHOw1ds4eiNoNLedoCDkNpK8PHUHJHSYgiy9e8uvK4/o2rnnxbzMhkB7jaGl
tEmHpd1+r1TmVMqOM2EHqHd2Qxmu/G6lWeqgLnT8EFb9Eluw8JyfyodSMagBeImDa0zKRun91kjG
FG6Y1toWLsX49z1Dle/S/+5rrr1iczP9nwZXW43xi2JsW0UiSn04XGRTvkB7sAerAxy0anGL+7zn
6KxrP1sqgDr0fZYxncXvDUlUfhntSFKEI3vwFrAcPmLrGBkkykqfPmWXakJ3sZWXPGEP4rr1z9ZM
IKa/pT0RSPbrR1k8wIIiLhJLnWr0yBBEYKzRdSE+/DPqJ2CqfJUxjR+q08pGzGKjgWAMHIaLG+gd
dfvwAkwuk7OtoRsrrGp1eoGbZoua69eYlPxD4FxaGXxCLg03JzvsBeLL+22jC1cmkEHp54nsgVby
8QgBSc+zEFcnru7pkFkLB2j4RT/iD0doxR52fxTS3P84XrdSTQak1WA8tGi3opXObIkKCX8x9nZO
G1eShVLbfVh5kntC5NdyZvBC0IHzcRLc4sBu+PWESmUMr3PHEj/pwPmEH4K52i0d9HZ0UfEwOQcd
cFq3OPOJBKTydjjTUH2UnzJIBs473B37uKCJezHlER2i1ef+Ljivp8LHPx7RuTGiDO1uw4RjTgRZ
pFAeicCwUN4wGyPWYZExJpa7RNLH19nsEMMMZsPk6w2tzAUGiQCQovP2MWlGwrasI7LhDlWm2tPU
tpv6Z1EAeuc2r5GFB9N8j3ilT61tBjmFiRoBQAPIOdbCtz3d2YaQfTLXgpYw70bq6evSWVPgzGu8
PjPTtsljcVbNdncq/XFr0xn5vRDOma+p3qaf+GMDVsIVbEWIxwQQuj/rzAcZBlqs8wO/kC+95fl4
cNBxkFACwRlXZ8fgHi/s+Td4Uk5qmDXgHK57xdOdh+BeL4tHIuH75quUp4PfG2kIZ92UHEqreQtW
HrWFs84nB3dxv9FtQQclNhQnuBEmMpPMgbFHdzTAdLtBGwR5NCleVnU8Yw25CCCQ2y2H7zTM8fRP
ZI9DxGn4j8I1dBqaVZn4mYH5CgU9ZwRjAg/+IB9HBpHj7pdyYoBoCHs2Vf5A/xN8vH7KFXPYUvbM
elZZ05XkemMUxzN5dd9rkI23uIflk+FPWfGIrN5yZ8sY9ikvSMGY440/wlQjkFPUA2Cbe0KL4w+9
aznj3xJ2c7sMjOQaNIc/bTYaMGgRwVgOp1BISGvqX2SZ3Fsqb/TLXSuHj/fdDG3ZudCGPX3J245k
H9CqxE9QwFokV2Y3MXuVseiTtdktGqQdlCtx3eg+RBiR1nlPAZG00Xm2m2aJ/NuLl+CDIUTMy2at
ac/XRt9R5pHXrtlLhKFLMZIpgR6UHvyI8/CfqwctV0BSvF8s+KAmi1BpvOARoJFcCKpxz570fGJ9
GJs5KYcbZvgDbBzXcBUp5vsEXAcq9F7NpP3FnkCdc7MMPIK5HdZC8hkPV54LOeE2qwpWCL9bIH50
hMvlmgUp4SVl97SrwZEj87i7XzKTBN4mqhNRHBT+/WDcSxWwumZOPoQr2hYB/zQ7JrfHYofc8Q2C
PqRDewQy9w+CgcXVIkyTi4DrhEe+o+Ru3vbwh5774jUSGn2EEdklUVjVMAjPQBfXeqYbZ0ejqH9a
k726u1gKZK83KZ16lc3QU6oa0cQ2OOJ1JRPlc3WUJNtLGzja/Cj+6Z5MDiZINXgOrKZynovztlqQ
3EzgSDFDGc90my9eEUSvLlu78Sv6evAgt3jn3yMtFVo4xpk2N1X3FrCv3LmD9dOUtQmx0WqzbWV4
9FDzWU9LxYXnG/zKsB5nB3SHnn+p1u66NZ934D3N7vny+pziNQ6YS/BLoG8DvTUoRKMW/lth0DF4
MuiXHCnBI899LDNW3ec6X4TsDryXW7tGKu0l/+p85uwlQRFiVlG3QVtF7BCnkm3amsmmhGfIvE2F
dKAY4KVQpMAQ4j3Qfon33dJrnam/9yB/mtncMLA/8IQ7cjsE3IS2mVgEafGNckfAAQUWe5O5ncGZ
EbsAM6xJRgJDB02kRAuECDuVI8UXoKjHPvPUrZTerxYGARdRpG8sJLxbZVD8vqeYWb5z1qxPeQny
lWYTiiGqpcT90h5Q5vfdRb3NPsFrytZX631A4/dxJVehoRj4qkR8AXsIb25GU9af4s3llN6Y9lxQ
mQGQWDNHLvehkTj7LZmxZp4RZaatBROah/n2Fj5QqGRcNHv2nyNd4PKoLAQIZPKfSuyNVJbdpA4S
AKBI4eDw+6PuRpFEF5W76kpQ2qcfr4nMn35EjD22+6uHrAtooRoJ6JUALb/nQeQCyeI0c0SvDJen
z2cfr2DAYvMGEwYaxemIRa3BetSZo3UW3MyojX52bpdKiCA7XqUVTBgQL/BjH8yEcYdaZarJYw8K
gEYgfTi1zZFZ17CzpS3k5LDgpgLal/6CSjoGaW2DEB0CMwb2naE1rinK+uTtlr4O/Q0+hD8DUSNk
TVpNL5FLYZ8W+P/deHO2KBpffEBtCHvCtN2bYg6rLBhfFDPe9vIzCLs1fhigai7bPdk4vH+aczUv
weAZgs88N4N576ilLQICKpIRc9leDwlzvNUP+x7ifdq6u/0gH3OmsPqH+jl/UNjugE6gmdbDHCHD
YJTlil2j7x3iQ6Vaxk+/F9ENnZo1aTddjJ2IvlbyEgiexRzCZ2rYZ28Ql7BjvQmsyjRbUt+sxhcm
GDxwIh5FuN+GZO9Y6gENE7IbOh5BnwFbWK9ZFT4mGOuQgJIGoiG70elGI3oP0WeRlTIFz7L5VtIs
fq0lCpi+6QXgvt56KDoYoVeQJmu6ZJ6X24vEHN8wLbJ9uk/cUkEh6dnLJLMuaFwyEKDhDMcavgTm
Q8LysDEwuH7Xv4zaaJrc5WNFeCTgkDbuIZK5cZyyiZEWpOrQF+1AS376Ys751ezTxf5d0qLq9u6I
8WFWxyJXEDEP7xwy0AsqGrQmGXXdK0YCFxrYV7KKkWNYVX/W3ElTtocohoj9GP581sKyi0z9gvqs
sw4Du+E2aPhSgHkBckFkS7iIcoLn8zx6LYADYoS+qcqXh+7sLO7VEgHWOxA+vj7apD75gE24mzO3
3pIPjYpb+w3VgQmL3jYnE9AfuBVaU4IuQnn7ndKiDeLiB3ExSE9lvUZXO3eIRDyLQcqCwodUfmye
FG2vTKDUeBs1pjsxznDXQYtczd2GDtUWNajv7njwRFVo0F/8EeTrew+puXjb4xJZCawmsXvAQdZ7
Tr2jnMKR6tSBFD2f+0FLCOXlDicVomqIqcfx4pW+OmqsdtOOpdkLVHCBf4hc4yYYItkbII+Jv+Hg
gJJWu9mv5cftaGOayLDV0WV8GX95qmOoIH+wBPxa5UTy5Yv7vqOvbPxba+3mfNDzwpjDwno1rdsZ
FoWtGJLQqkiIh1hXPlJBytAmBrewnUpMEWhgxHSxKAIiqp09Y4L4KuR9CfT15MLoJ5dTvoRTYKMI
ehguvwX0G/g1S2b8PqwTSgIGvcrk2pFnw5FEnNShRaaTsfZxzr34oLl64BXdC/0ODeSOFEmisbh8
75Y4Vv0LzRsrtTbnUNvLEWop++6fg6d9Zn+Qi5Ba5e1w8cTJThZJ9mrcmwq+Mes5G4L44MdtWE7D
PTibsMXNyzUK6m2YDdq6YMMI4qkBFM+PdvE/MZXB3CEuelkbCFQuLJ4IDKqlYudEA9fHApmCPy6+
fD48pZldWYCzEuqlEb2GbLioZmtWitMR8flF74iOKay2N4sZ8AW7h5IOBMewx494N9ImHGZbwPHX
rVDLo5QhNkcyLcPly7BVobkUF20T1VHxYLLnuZNrdCXGs/Lab5gJ28KZ4CK+SocF5ZV3RyG6gL0A
Pa+QK1GM2FNidyDcpsZVx6h3TXB9Xb0nXhA8wJPrfA0hMn77j0jdAoaRnVJMPrSH4ivH/IC1SKRW
wK3SoOxAXZ52SxEdHzObsuDviUXiYzbWZ3OmrlfhLlCMDfkS/cIedMjHuNn55AgLhIDK1E5PAFzg
T7sY3XiLPGZYhApf3rucVpNz/MsJFapANN8o6nn+3sOj+7MGI+nPxMbMig/DMkA5zTGHRcgLtpym
kzh73O3g1IBjYcOXB1/OVImctAtL/+Vfese8ZbqF0DVJtIQ8F8Mnsc4+rRVg9IUhtkoenC5cpk6N
wA7GihBLd4NrgD7QUk6vqREtuuXtt17WzOKXQJ8MDsbV5beJN0BTX0x7X+87rWxtku0R6eaYN1dC
E7Ejp4jf/77gilih+vJJKhvRfEQIM6wNwM3mVFsdsCuBQ9PzoYLguAOtvoPbWCK9BpfiLWBRFFxW
y8ld4AtzpBTZkVeSi6PxCD1yvc3ejy70g89E9vFKoiZeXgguG17mV1puYrBiiRwvr25guGyFRVj0
gQhl9zKGKqKWWisbXV1Wc9CFYoTYVCgDOG+Ivj4WcTg28V2rwr0BEQyTg6jcrfeEMaYEyl2cH6XH
jwq7zhvG7Zwww7MorA/DjkKDLHpBsdSRMdbSfsD21zErKaKs8is4R3RkO+ZTbvjf1+YL+FY4Ok25
g/R6wbu4l8ettt1Vs6aZ6/SXxbhYZJNh8EQQo5hMQMAuhtVRYTgloUwiF+Kwq1kTd3Vq0zdYL7Jm
R6Vt2ef8H9ReCMRxTtLFEOHd2R/Gkvxr7rw7+hoxoZCUB4yf2Uek4qIeNOmFIgAflMEFORXbj2i+
QSC18AcuSIi5QOJ41SF5EFqAu0puG/TQ0Jre9IsMjPPI7Sct6Q7RVnT4QZ8slwqJZRK3N+Idft5j
8sAs0VtqSbaEwreHAHCoZL++OME81v64m+bxbS0EQj0CINffCCcYe2hoa0Bu2ZDDC4H7pRzvPC4f
zUUiyCoaMErEoVIyoJUhFO9zRzks8Z7mfBmk5oH7Awl5QnIO8PJa5V5/RMGdeip2nwGHDmLQ3hHN
FTOs6KExusQNQuF5md6QOiFv5yXMyYxDIucwNbGvRtR+HTmxQzfcYu0bCAgI8UrQI/SCdZzAaB8H
P4klkRIsEgAM4mo8frpzI4eYG49p3MkM5ugzPiH3tTK4A94uAx242n77XUsUGI0+kqPURSLWV5B8
F+c2dNi2JsL67uM/1BDdGVF7UJBfW+NbRo7CA3t73BGcPFon9ae7ucZ5onHvxuLmuI6CbNRLLwnF
kDcXUG/VZO6TsXqJYmlCtR7Y5X7w2w9aZAoOi8vRjhyZLqMXkfdrbL+AUm8ibE8t9C5gFVSRV/7U
na1zImCI6RyoOgzVgPAAKMhUGRSEBkkHDKuCGpJQEueNCDBB9LYI1utFtn34/eRtgrJJ5s/rpxMx
t599G7H2RI3lKq2K6Uud5GgY8P999zt7nC11ek9sU3WkOT2uuCcnmlEQewU00TPYEbY1f07PUR0Y
H1NZvwI2JMA778G4IRsqrIOFjVb9Tn6+Oe0Aj93B4YblZsr1k7J2UGHXjdV/e1i4hq2dPi/xp04u
h9dWIljLGgZ9eiwRgkD82Jw1QbMibFcCPej591gwvWqiIUosPSBR7n0BYeON2nFC8H1ZxDCbGZ1d
6X0+cddO3tFwzlKGY+9o4Mqf9NfFlGB+oxfeBr+lEpqfD3qfiUQ2sRq/oMCXn8M37RBuUEtB72qv
nF35pvbU5WrBz6mBHqkQtI3mgayM3HQhs6khqMMoHkw0B8ibP+90Cx+AVBP5I20GRmm7Qqtfhre3
mdHD2YVGkKbFH3x5t17RsO/Kj+mltJHL6mNJMq+TLABMWjPxZUcsBUy5RE4U56A3fvpYLvpJ4WlM
d4Axe2wmdKzkTGwu5DKA+AMkBdIjvDyt3SvVm7mCjqC/+NJX/Rof+/OwP2CXdJ6EGNI6krCMktoD
tWc1ZQu3ThnXfxXSWP1L6VSr5oFU3f108e4WfNlnoaQsRXqq3pDPwmXbKat7E1SYEMddG4jugHxU
lHPfQ49Ov2ed+w5/K+GfZ3xsQ5tvVocAMJw2d2uPtJYd8AWSzW4qT5XC6hmuVq1aDq9/AbCPzg2L
TfyhaC85SCOklr4U5bOsDbI3oXTAR69UUTEeEnVrq5jc75MrgW+irX7jEThP1BdaMHWB/BCm+8tb
zYoEn70OAYF9IMit24Q132tUgi/Wqy8EfOPmx/s+yMjWQZebe17nYzN3BkvjCBnnf0FuxvcLtj8E
yj36yutK9MDP0VefXyqVpu/QYFO8e2/yNH4bVE8tIjmuprvJmtRHvimOtz0xtZ9H2LI/RWfH1apf
zfga1ZSniNtE/32wbAv64syuAlHMeKhCX8WysIKMVFYrovTBTNxGz6grvF0+UqeX1/hMU0dWKID5
L0BLefafhlsh4kHpIYjQZnnXYwnVB7odZTVER8C/lLAi0oo1Z7d5ITntvyyZfHE5ogwPHota2DOb
JXv4Qoa1YjTYUEouCyR73uY+xZ8DRIqoUYgiRk9QG6bYOqqhylr4eN1SlNH1+3XoKhGi6FyRh89i
uHqCmB6QDMc95+ER8+K8AtEdMGwKYp9e6bqqV9no0fr83uq8cQTELXt3n9uUDFclqpLzljeRUJpL
4xhBn1NKE8zVSgLI75uh4jatcZHuv7nL3yCnOwBeKXmmhTAshsLrcOvmQ/6xPoTQAgyAwWQyZILi
fy6LglMaPJtA/Lg36kxyRv1zuIsv4PVv0BqeML9mXsDoE23tCsyA3XSMARKMRuMwiKLFBiJSuJsT
0Eh2n4LF3fw7jSPVrOc8weo3dNtl7spkBOmx+rIHkGkGcusX+4T60WswvhjoQHtMwU8OKX1qrsID
aNuHoAnwUL4YEjgXA17O7FcCl8zdW4Xortnc1TR/whi/EPB8wecubDv2n9Tfuh3GID8CfZU1BBJv
hn9+0+7Ntj/8CXnbkP7OOX4N3B1/gU4+8YOx63PodURWFyhJhhzgjspzJ4CSSA1fFyfMcNv+jbRH
Bbwfl3LjY0Xu56MBELoclUVaDpfFI+Ykc0VddvZQJ1CVwe1G7EbhSYb7wV7A36FCJuKNUD+cl08b
Vq/xHTx8iNmxTywOJ9ZuCwapNzlShNMNFXfAYkVgvNJwGpQqz1F51i1957ORLO9iDW3OZ68Nhjb3
W30nKd8sHot2QCL58HjTse6UTC+Skpwz3IP/yFv6b8yeY9OzWHWssfZL7StEvpFv8f9kz5FNR8DF
v8Qq/l///b+z59S/dJVQO1nSZV0nbJ3sxL9jFcUfaTLbM0hyZMu0TMDHP9PnFOkvIukGutjZTQod
ptl/hiqKPxiwzHuosEqWPfO68p+EKvZF+My/pCL8++/d/7fcjld2LYefp975Z7+/bJ7zN7LLc318
95Mekr9d9NasiprZho/W4qKRib7HPLKUf17VqX4uq09lfje9O4vUI0L5tdzr7tafR/vfeYoMvc9q
HfIzh4ZBHByZHP/fKWJL17+dov/93//7FEl/cT77A1XntLAARSbj4e9TJP01JAyRdXIDSSahk7Py
d4Sh8deAWEPZIPJQJu/sX6I5jb9UNqrwJ6wCHCh9sj7/g7Up8uB/HaN/+8XFqoF/8cX38u5TXMs3
ZmO9QRunG7MPflGe0NvqZaVfDm7j7A5UJuf+p0Sc15MHt+hb3OKPwR9dO4JqSqQ3+AyeT+KXd8hK
jDYtyb4yoEda0skU+IwLslCVSY/cz/OdqOGu55b6/3B3XsuNY8u2/SJUwJtXgt57iXxByMJ7j68/
A7VP3e6uPrFv9GtHVJuSSIqkiLVyZc45JsBasOYhGUJ5RBvbxODTLAa5mSaNQSEcF/e49xYVWHXH
QY+VsxYTx1rhZVNcbarE0WOQkmekMx/PKSVMPPStmk9LaKC9cvKp1ZLO2A2dPKnTwU4ifPPtJbfu
YW4tFYW6TVn4YXnpoSRkADR8C614R5FA19GVOZi5hYHbgTYs+twop6xFIOeMilqkcGPQiOcvU0+4
iYkzVUVqYv0pD7dKqpON33a7yCVcug9yBnWZsOpiUhJ64dLL2tbXtGHlWCUjRhWRn6ajuivJd2He
18lrtszylIbloQg4Hxtme6wz17/VFe1+j4xHKl5d25ZdNHXDeFm1w76SkRCrb7qFYyeOsJs/M+Fb
LZFH8wC9Rl3qlPMgC95yqVmnJf12yfxIsnQhUqYSpHP0FIqmXCPC7lurGLGop4Rxl9dcc82cxIa4
dxsc9Qmlen9PC96TBJRU/ZKULDGQ58hXFTuaFVU7aUnJ9nt16sio8wwFhnNFRDUIzAZ0hiuj0yJf
Dso0c8oUmX3SzduOLk9Pvnmd3wu/wm7KIEVL7orSIQiSzfjfvCixzKjQKuCfjtGTGtfuf1uUFIVV
6y9b29/v/2tRUuCgGuxR3ILcpp/7169FSflhkjMLKENXTB3yA1iIP7Y2HYAxIE9TEhVx3MH+tLnJ
qqSMkGJWNFZR7Z8sS+q4nP51d/vtqf8G0DJVeL6tDl4hCjPmrSYSky6Y1WK8zmjFSnQc4/AStwzR
cnzLacIp8CMc9IXRQeEkyG5i1sGh8aqLlZfzZOjmldVdBhOKnV9u9EoFkmdp2xSXvFCiYPWqgzjU
kAuy4s1pWjoQfnjJLOZBbSd9q3m7TOJyIabyc+RgKH1sK8JCAEmkxXTxRY34lHF8i708UV6jFEs9
beloCO5KKB7DjDADd1ca4soXFOy8VlNPyiKkZSVpi8GBudhqMD592FNuQOfdEd7jTljrRklySk/B
7dZTp6brI5uzqFDAJiugF3pIsKa4MqJ0LpvtqXHdngZLHaLniw3hGVsERQ1xwzEsEgg47NrXNKDU
9/p9QpaluHWF9tGU9dwUwmdX0zoapHSpVvmsqL1VJUTLlkQ5oRY+wqS8hT41aqM1DAN04aWqmUxL
EvgAU6jJoM7OTV1dAk/56ixa86G8qcuUnmNFEFNjHLq4vBpi+hQ8l8GASkJVELe3WkOYVXNgYTn5
aIP66iR7y8FooEfgOZRgnWfeovRqFIqu896RahxEAGkE5xqk6qqq/I2TF8xBNXqIUTcX28YuRGgF
oX5T6nhjad7NV5yvIHTnsd69RAhwcquatJiJdRFgby+dXc79yoCrB4mvzLlFxS1Wk6CQGKuWboVL
GJXYn7QwPsYVci21uQwJkTIRi7rQN0etRkloiMajMRR5GscQ74YOW0hFljfHnQxHPMMlXdgMavoM
xfTOFbTNs+pRme7BsWKgsm20j3I2nHJknwQE202tYTBncuUlNm8EnYhCW7fUb+aA+Kd3Tp5Dc6Np
wqUpMt7NUMg1IH+jwrrlA75GL44fEh9VPahmWV8vrV6BIB/D9SSnOwQhon/0g4J83otpgbSWTWj0
h2TQwBssYjdTXXt2emvagayUzC50tnZBELBTFqugam9xH6/1lvO9ErnYSoQMPIe00n0SPdrwQ6vi
deWQfODDbwHZpVNIaJyL5mFpEneqK3Eez5oBVVCPOM8k0tWXzmKAAiIj9QL8n1BBPuu52GQ+VZn4
ovhfWoxCc6AHFneAdeEjB7i3hGYySPI07bKZ5jmzpqQpDgvCk427luNw5Dl0sbt2nepbabHJCGO8
ebtuJUahFfKvUFvWvkyfIVurBBRFHYKLhtiqlheVu/WsAGflGJx2k5WUGUupRNDq9ravIMFCoZMc
cpo+nXvKlOQhcmj1XW2fDfSstexQp4yDHGxZhKA79GlNr4fZH7xUWrO1CD0rjGWWx9bcMYJN33N4
C/B8RyAmin7qtB2ZrOklywcivPX1ICMR1onsaBNxkXjKrhqapymGUyuT5mWk2wO8fU9t5qWZzCma
FkC6od1iW3OqhZNBcki1RYVONvOKcatedl27bwV3rrT6tSM+3qGRL3aYdXtxUnbtNdJG6UK2dyKI
gzUGJl21O4WeZEwjI2vgXBXKQtUYsXEc94qtF2SbIEC9zFFXiN1tFrN8pTEgs25GYUt8qLyUUuuk
t9AHcsfClY77RZaXlXAZanzfBXEzxjCNM3kZFcVrzmhJ4yKUlWkozM2WFZn33Moju4g9u0lvpmNM
2oDgECMC+CU+/CAEv+Q/ahCptdl8i2XX227W8nu06FzXKq1nN9NZdBWw2HIePSzCRAcD0IjAZddX
9ZtFIISfeM/QqskTThdKHx30pqCJGQSLPghXlZs/NQe9jBrfMye2DT42TVqtgw4khBot8wjqSiHW
gKIzqCQuv8yoYmrtFnh4E1LUZaAVhqNjoWlVkBTXhGRvaWDkUSFeongro3qnq+1Oo2dgGP3VMT70
lr516c5Dqz32DZLqNvZPbV/3k1LDpdjUX83QkpgCfaqMcQ5isXdNQncqelh1t1QBBnQEK3teMR8Y
YmtolSMW8AJtXiCQ2c17rojZvEAx4CtCtc0dtC0V7j0P6ocUc26Ubans8cS6K1Nz7FgGYqUoxzDI
D4osPCKS5yeJAJJI16AuqIx4Yqs7u4m6bJN9rsGFKGirl+6HJAXS67/5YKnIdCYs8h5MlWjv/17D
0Rqg0vlLDWf+7f6/argRjc9JlTYEWGwe/U/tCfkHjRBZUzXDACv45/aEbP4YWxAirGSqO93QKO/+
t0HBt6gENdMkEuI/Z9V/UsMRMvF7DffbUx/5Yn86WnZykA5V41kLr+RoNRg3t/OEiZwy5ysDk2sv
x6AvRK9qZqeJeokACETdd0uniwJM9pAPoC0uDmQ9LIhtasnu4uRVKMeifHgWEEs6l0dlq1dziSmt
XI4Ly9NgLPZWozSqLvq4TE6NbKqr8CnmanRsSUyLn9ILfsJnzHYPExeZDV5PZDzPcpcdsguEnkN7
jlhfHCZlElPgfKEwtKtv4VMrbVl2sQACecckHi6sWbFR2o/A2XzVFePkqY8nTkIqj2Ow9I+jocVj
8qQjnx2TmpCZM9WRPtN+xf8rmEXx9wLEYjY74DxiJbQ/a8RmzHTRlCz0kwUX6q2atmsR7Dm2VQSx
oy7eeFgP4YElI5xcvKewOgE9WkFa3ho85D7eAAGdITaedlh5iQIdU64YiA6rDNE2g+53zuxykE09
VhiM2cTDQTNi8IUK5T4cCvz6bUwjeXgjCrs99ad6DfpwGiOdwGWmAgZeeiLvahSALJWj8miJ71Jk
LJp+azju3XQZOQbZFh13eq6c9qKD4+23iveQ5JtIAzvY9zgO6n3zwpycPnDGVIscpeLSMCKJ5sic
aGYP5jzh6z3WxGBmBjNCOyahcHYB+KYd724sRVuv/zA6ur1AhR4fWIEqkEr8tsALYUsf4Tp2qC+r
cZzU0K03Fp0mzjNPmGu5vxtTw2SLd1xic64hOqw4Uxvs7uG3Eh/7yHijAn1yZd26BTJ42huzIpeZ
jrmwOZlp6X45LapbIxLALlrBpkvrN8FwFwk/Tq5As8lSjQXbayBcCOatV1lhg4APv176E6spZv/i
BZF+rUQmxxjdrNNsY73774dalpW/LIh/v/+vBVH9oSuWJYr0yzROoONx+Nehlm+RFmKoYyeORe63
Q61iiLSOeUr8d+zP/alj+zNERFJFUVJ18K3/oNcmW3871P7lqRN7/NcFUbSSMtOTDrkNDqtpNQ9W
2dZC/JmsUvSC4zhhIp4RpV8h3RQCQmhKacSGfnWIhS/XmsoM57v3LgUQRlgkkElzeMvNjZzBBLki
7mhG8paBvASi1E5VEDyg7CMTzM637XFkRijr4J5/OBgeEXcYoIQip+X4ZWsGZSxjDR1JAg6kMMln
SrMXEmhf3VGvqaP0RwKxTWtnpYCHrMCLwbRMiipCL9dSGKz68tG3IB7g44XqpsnBnCGsYNlh8atQ
yQQs9QgGpH4vUf9X7Acmwvg4eooVPBZmN8iyrPIo6NFU1ot74uKK3UiYbr69M+rCk9MfS0iA9RaJ
gJbiYAl6biMVM1edl9ALOcejjuIpcmEnU4uj4Gg8ZqOZJC1IQuC04//wx7FIS7Qtjq5U1sqCG7R4
XSpWQ1LjJlyizht/S6opyajeQjxLx3twG5eZcwY7A7Mia6pmW9eQAwDFD2s+U+NrgdYL9X/GGNVu
0XSLNt1HXqh0lD55zPGnYD4aLsOhXps39anvKpxKMKe2zdx8dkwPP/y7drAu3WuQnQd3pWn7IbU1
eqHFBBgtSUg6m9G3dev7Y8sxuBPRTsOA8GfBRvNWUr7x8xUpaip4bdkHrL3sayafNfoUmrcaU7Di
4InCUkeRy4jJWZIERiYdMk/HHGMUa2nC8qfc1K2H5vLL5AjRL6NoKiHQ+BT3Hsqolthr2wtm1JG8
pCLh0We+Or6DvEaclxOxsJ231Bi/Vfd40WKUT9w9mTs0Fd0XFkRDxoVExmTT49bl775/tVB8JPNa
XpbY7VHjiJs8XkmrCP+BDBNtDFAYPmkUEmH7r10zNVY0Jn2moYxdubF8+69rpiKOjbk/rZn/1/1/
rZniD0kT6elZY734x3op/iBkxVJUmVHDbwWk/kNhDMA9tDGHhW/+v/VS1n+wtouEhjEbY3n7RwMu
Xfsbmf4vr5pUod+Wy0AOO0Pwa4yWMYL4AEOMh3ngGn1K8sQ07cxaIM6cD3PlQ4c1ze3QQkFeDQlS
wBqOPTxbEXg8G7m8MpIrOAvPYl6viYpF7S5zvA8nnk9wRxUfHDwJ5qFrNnyB/I4knBsJUo8ZjaQU
FT1KF2crIJ045BE26WwakpIB2vHgIWR3sI9gIZhFrz6OjLWjzBkzF3gckg8ehA64JtvJhwkoedca
9nAhktkCboCXaq7e1Jt0PRRchnckHR/NsTm0i1BD4iqzPlE88q3o42dO5xg72u/5Hl+y5hUai+Wc
uE/pqreHfE1FKUbUyfzoFBzru1PcsyhhrDwBEDjrD6IyE74Gjmm1bS1Hl0M+4wLk1iR0mtAYl+IF
xhGYEFZb2k82SoQZEaLNcUzudO7mW3vmr8bJmjcHfGXIpZT3JP0CZIRUDH7ehU5Ce5TyuRYtUGlT
c8lXNbmmDnbQ/SJ+NVF3oUXWc2OqgpbS8HCgn4PbH+zSD/WKcmvTFBbrdLd3tBhvJsbBYM2rbRc+
rnxnq5O5Yx4dgOCIbhEc451G+5djN7dsN/mIYeCSxUo/rMO4aipnDz0Nd69PZDvDGXJGJuq8Ek4+
S2CTmtt46dyjjXxt5FU0kGbhLJGPeqxURFzNvB6nMPzOLV8eXx+aVoXwFpnMb36DhKl4OBmE4U3f
RjXYFFxNEpoyQKc4J3p+aZTbAKLQOnfT8BXESXtI0NHjooIO8MUEpD6kc+I9rS+CMZ0N8em9TRCj
oy1v6bRY6xAqwVN1C9GZE88BmYwI0bnXw6mY4btmWUYai0a6Ovmv3bO/sHjDjez5lM0aytV1KJwS
FRIjZFhu3pzEjJsJnU3uaICsdRMLJ41PI7ZjEh+wN8/jKU+gsHl2/Lc5edYxQhABXvwQA77FD9yc
6d8Y98pW2G/krXUvjwEyHOhhm25f6zP2DnNpt59miUYM4s0rdXM+Rw3B/oF5eUakKrIMu+UBbvpS
2o0k2uHJ5Pnov/K8zU34AaIefEaFZ3XdLBjDwbr0UAqN7tHqFM381/rAVjXstFt14pJC+IIZe0Nx
TpLJGJE5jO8yOxmEErwFlzGEVbvFHz+fEcI4e3wK5nJMp+8vlPHilYCcMeiVR6ALyNt3GXbSrj3w
G2g6fjM8uQPvBntqhEGWtyl8xfS1HiNcab7v1vxFwZ8BD2uHC3h8Ez/YNZ0ND6Xdgo2042/kwgKp
k3Y8wWJd4X8mkrUwbH4p1le2bhG9U+7g6y0Q7q1rLPfasljLU54SQXIzYamWxPBEKCarGT3XyIQz
2Y1LlQKwYyOjo4EVs41eWWX0G/VMkWNFaKSJwOEEovxN86eSguOAUzCcJ/elO5CxE2/qZI2BBhn9
BSYGbIVxy50UMDkWpTHXtVOKlnSaZwvWyXSpFEB38dqcotcSyyowx9fuCLsCddCEOM9syhLCo1G1
8rpR2PBbOHcHijHWu3F1qWye3UbRVx1nzJ2U7lg5xWf2kU25Q8QHktcarKnfmmbD2oqBrjtwp+qU
g/PBJwtd8K3fCkhDAT4d82P9k4TO27guTs0uP+QHeZNeil31ld3a94h/aCvSLP2IBBL5Zvzwf23Z
MEpETDI/x/xOkVOR9t97T0hj/lo2/F/3/1U2qD/GUFHGkhbzjf8cmv44atGRkk2RHFJd+ilQ+PP8
0OJeo6iBGaOo/UUco5qarPM86Uz91EL8g6MWZ3Vqg9/UMX956b/ND0upkZo0we0gvokEL1bLmvzp
ARxThMIg30RAmfIXd7i0iN0GZ+4NmD3MmQGBRlqaztqKFpWyrJw3K9ymBtOhbj2kRzS2uXXImeZj
qtZHsCIW1IuqXzp12YRX9jxT+M6Ed0slknmlwFsskFOkdijvsjCblNJO854eWNBkHTYAMbQl0PfI
6JGgooXTZqNdhN0mCa6ORFfsYmUHU71UPXObEInBo5VPSprjVWJicK2yc9FccrrBFk4oIzLm5HHQ
itBxSjK9j8ladHaVtRSFEND31wA0BeSJr88S5cvvV748pzc4bY2Z3i9UfZNZzOGDp5vtLW3lyNDw
P7r4VOnf0tgm72Ag2gMzTSF+U9Jd9Jni4tGnTnoTytVAf1uxFmp209SlKZ8EpEU+p053OLnY5AKW
orHHtuq6eaDNKuWjqmapv5Tp6VgsoeZGl66Gtaq6j65fNvqmCR9DCItVw9+M+Nav60+V4Upgfrby
o3E3VWBMBTxUXcGaiMPFw+Ei6yviVWZB99lKy6LddO6XI57MaC30YLXza2qJNJBeYm/VBvz2ceXm
lxbuNslX+ILlW4lvjjBolT1y1jcPnfZ/0V2ajLEzsdLqQ06Pqvcy9PNKYcIhHNJUnugjsU3EfiSt
zJKzSrPos6NR5VOxpwcmH8yGc5ySbAeJOFAFdzyDOpP+j+i9dE00c1KoI9p7IgEJoNlZ1K959W1q
ZF1LL1oT7BvJJRnwqDfKQmTDcqx+GtWMaQgNU2WOtg12tOba88FS3WIWd1h5yZ9ukbg3JlHfpPj4
A2Q4h092rNqaAwlYvsuIMBW/m+ZCsHIdDDF88Ftr0zaIps1djESZEslDCubJ2cwLDyHRCIwCWsSO
JbqgSsU9ae10RhwapR9D8WnVcEJtiQzSMVhqN4Y4NU4hh15evqwtb1oBs8/NtWeJs4xXZCruORZ3
agCvQt52GdYuESBQyaEd0EcFJR4QXXMILUw82HANGCQWUDGyhuRgJ3qmrcTU8YT8WXcNXJggf/eU
LSFpGG2yMHsodwwjTQfUhPM24CpgUBcPr0lESPBXFW4V9abInMsjYCP+UhIpJhNK5BxgSf7p+y/q
uOWX4syNvpqCKwi6BNuehpY+GtS5wMjF8TFjdBh2hC85wFDoflYG0DwnWZlso40CENG7GFa4SPXY
7tV1YOZvcXGrpYco0Viw3orq2ivB1OJn6064DFOHHRD6LnZ9TTkIwjXR+MgaxaTpX5pkIAEMP3dv
zXJLpTrfSfKxhIFQ97vIY0bVrGN3VYdfhoifK/Lgi3P6lgwyLqL5KXCXHgL+kGQaBkTMtppqQ8t2
WvlEPbYfGnD1zAmxkpEYW8NMDypMFnxYxKqeiMw/q1KdKOMn18J8Em8VJotJsDXFjwz2lR+slATf
cvUuStesJd3SAHOCeNc1BOLbTcsv8D44oEEqZ6+pzLeFwX1tTHGpqI48LRKIeIMwS7Ie2RjC6rTe
RmSoKxWXiFSXuN5Vq+Uzre20cky0/RYhyfnee+aWhNrJEyXYxcG5rhzbgSIkSriMESzrgXE0ZNDr
7puH9yHMdgrXZj5AVcqzfYg9o5eScyLvUq0meppZbb0biGAImmsWA1k3s7VDY9jRwpXb4EwyQSgM
p6YDP0jaPFEkrv8dCbEttutqHODTnJGcY81Ry0KHPSTWsYg4mjBLDxEqKI883HewmQt52ujlHh3g
1GjcaRRBx2kRRbirkPdY1N+boTym4TNMX2sm0lkJ7TOhyS7dLLxLpHGMQiu93QsSa2uC1xfeY5fD
yKx3QcoW5t/DAUqwe8wbJMxDdFU9dZ5n9SaXvxIU8wIrb4QPoXqPOJwksnkZiI9Cqx0TFWkqh6C/
tv2xtjiIWqiopfdWv1W8EDfDZKqFUzlsuRAFrFtVpsxdq9FsJ9sjd41tpB72oDS3MnDJw2Gb9ZuF
Z7gPOgh3o0a1Y8ZA5ovIedZuwKw+z+ys1/emK+x8yd0aQ3E1s6PH6L3KSEmVmDaHSOXZbMohP5c1
vhtWYzSBNDqBSSXaRmzcmdT228TQtjJ9yN6EIBtrW3b2HQ12VitCKpD2iCZ1MtxVHOLxe5yu8/Jd
alYuvNgxxKDQJr2+ylpMq8MiLZfgfjHApgzbQbBp8QUXih/uVOkkKg8q6SDai8Ktdx4DG2rhvuTl
ruTjIEfXIjlbDqklIC+Y5ASzmDZqHmPLvXlkBFRHft9Wj4r+GLhroVNmdXhwyPYqfRH9ud0S5BlL
Z6+ai4S6fA6f/+J61TRE0rlVTaTppFBA/tc2F9LXv81K/3b/X/Wq9EOly2WJTDeVn82uP1pd0g9N
GecGqLIVEVUtXfk/VLgEiZsMbWlrUdJqjCL+mJWqoq6O+eOqSGy0/E8mA5Js/H1W+penbvxWr0ax
4jlyIdF8iQ+heUmbtwRjFTPfiYofgDrGs1aFeKxyLvfRiGT4eF1p3OOZh6wE/8I68imDAmM9uAGu
mmaO4warBHt9fW+2DQHP3qcyl6FxY/imTU8f3LILWENzriCf/Jb4f8F9zecBcyLKOjRK6SXcYH4W
13G2kP2Tmm+qBLXVFmxGum9nou0sBIuuAQTM4RHTsKWbNK9WoKrXrTVtHt1D+izwQBGDA1Y4QCdC
oG6VnmSLdIIC7mU0LVpWdXHBqiDvugNnTtpvHGTHVcKd1iSsiQCPLg1VCUdDWEzNNOvG5lwab9wX
bu41L2NYkbmj6c+Bj3ub2G9HbYbkPStjQYcunNyTV8Ofcb7kDgYjOvYJHGejLfFpLaGZcKAej6Dw
tDlFu1NqOH6Iy0mUPp5YIq2dycw96Phxf/7wczh69+LMZO3lkM6xmqEgD8w52JKBahav9InC75Lj
9ijBnaB3hp0bbRXQpSt8JQfWHpAlxFfTLKIqZAvsDyoD51fpdTBXTb1wIU2SGQaPC1KDDJfArvH2
4Z9Urp257EV8I3ujeqW60w1QLBZvLvF4Oi4jUipqO8NlVTdvfU8Bk58AaXWv+ilYeVhq6PSUswpI
ZDlDAgWpsl9HW+MSY2jy1mG2TXGP9muFca66Koy15wMMTIC1wzKzTjWmHwx/DVOhQ9DsNedRtzsT
X6E/r7211+z1kLlVuNfVi0kQnai9FN2XpUAgNaBmrfpDgsqpO/bFrP9sa7A/4gzJE4wQsmkY8F8i
DPuz5JXtT0uu1QfHnLma3+p6Wocz1HBsNRLBNEBiMgTl0HWIelk3A1JoqIDzDqDVwY3fDfUgY/Zk
tiVSr/a4nzNkl4nONCqgg/g5fsViQhbcGYAzzJ/yZcbU4s8bvvk0mmAMA45s6Bduipj4I4M8RsrY
ydVpCYBahuHMu3TLdKe6X81dv3oXAXwUlYP6gnOXw5ykgrddEeEFgkmbhtBTQZe6M4icp/F9PFDS
se1DMyWajw39FB0Ijfef+Zd+qrFRWvRtbW4zEI6DHC58yvoxKxZgosp2lTVH4mfIBMbOFh2CaX6D
rfrCwyjsZHjgnzxyyDWUrriJfypiWkCAMETSxEE5mZjXavLZ7u1RftBgBhfzQYuaC4qLzqKbFM7l
HThRnk/LGNDJ6T9feE48FsZA3nYfBYRrD7zn7rd3CMlWMrQd5rMG6NPeObrhTAw2FRROio5ze+4J
fgjsQ0+Hdolsq3+CpSnoa6vgcbq5Sidv9vNfXrB0q4XvjoFlNcDlnXiJQNHhPyeKZibc9W0cznXJ
Z/S5zam3z0SHCTrNXqyrml3QWi4fsj4Lc16m9ZaDw5rTjCX64tPR76mPzPY1/cAsRr85rlehsKjb
BR9AFWVgQ+XKLQ3bqghqsyt9tLfzB52c8FUmc7rhKqJLDY0i80M6nNG5IEFiFm0Yd3Jep91NE9kf
Y47pstMCr6VPAz6hAlWLWqOHaZItyGgQ7sZwk9JZIC+L8sgDe5xDe8h9eLnIUFNpN/Mt4U2+8gIN
YCyM4lKLD8gypmKMN6Y4TdBaxVudRsNyQAupTOmDQt3ERL7klnRYBdcuyQ6JHnQf6USaW3KjzslS
25mXFmipfjAP0OLBw8Dbrb9i9QihpUqWAJ41wrbO7SnYVTclRBhol0gJOSqwEdSLgpM/FTQgQlaS
t949+goQT76Fov9o3JGVGaZNomwLTbNiGWovAuZJ5iwwkzzsj/kqwB/JeGAi3QL5EONJoEzDxUBO
Ga0K/LzYdyk6Q9wMeBYZSuNjRC7BuOe9B4gAjkwAPtmTb2k7VGdkRbozJhb9rO02BvkTzCxoIENb
+8TtcTEAgSDi2xClYvjvDUS2uQq3TyJsQwIpggKcMS09zuoYYcwFd05WCsQKInbUS9vsB38Zz9MD
Q99pCTffWIvXbI21e9FusO71mBzH/JsO6JNvy49wl733WEfOwi1hUvEpGXbKJxlKFvbcZ6bNaRVY
ACXBKC1MoGeq3expnptLmRwdTI3NWYX/BCgWVhe61sGOQPZclD0vnstKIK9E6LcYXgwOOjSRHuYl
56WieNfnLmYNQKYw/+ghnZtTcfLZfV6MrxivOSueNLKprfWow61soPLIeVEokRvj1rP+klc2+pSB
hedDVG3pVqn4n+VzzaeOFFjatYbdejbBvwkM5WCJVqcgE2OiPgRjkj8TWgUxYZkTlzk8wJ5nc0yu
0Va4tu8YL60rO6nAoOfdTSYNQlXOxlU4/emuPhThFANjTrccrzCn43rjaks1o/E2st8zWmhbVPZM
+MlKOudb31oYPuF0NLjuVk5C5rpx7JZPJ1gb9r54ofkEGc1d0nuxXj6kNz6kGa9emyt3PhIZSijI
oA2uTYw57Ey3JDyW7VfRckh6uDTjdeUtOEndNShuYvhoEFJFR1m7aeGn1l2dmstIxEuUsJUiEpf7
nWq9SGiQ4kXxQa5tAJIpO0XJo+4PcrWttqKtEKfevWl4xqURWDiLFDpvSzmcFs4hJJ6H6eIKKyvr
oHUeW/POUzgIr8mxN0ASlMQSyQvcpCzT7CTEInLOS1lnNWcnBVt/D00tqe0cOC0NpBa/0lQ6RsVZ
wGcvnmqGi+K0QTg31Q5ddpVJT2GNGsig/O4OtPuFJULm7/QbJxbUboOIo625I/Foa97o14+FFX2A
ic6eyfX3TtTl+Hhy+UaJRMmFTKJc00MAjpZNm3zZ4M5QCavhYNjvrOVYKO344QAbqhsVFZ1LDEkb
dhnkpTZ9fTVaBJHNZ4PHGjXW7DLdWEtRcVF9Wct+obm3Diss3h+GpjLzGh4RcQhSLmMRvrIkQobJ
xsyMdcOMIJ2rSxVsX7Eg/+UZrMc3F0jVl0sqQ/tukQ5x876MYyzZ5aZHLf4IbtEOnwUCuh5+q/iC
6/hQ7KKn/mK+1Jf2wmXJKIjLhSEYi2nTTOVrtiQf1gL0fwDjwzNwlrjMfmJ7mrv2nZzpD08Di7V4
hqRC2FjrIiHHEI8UrLqM8paXmH/7wpjCJqAAVwkVsSZ1PWOD6/2FysoGXIGtCivER/6KXy5cOKQo
PP3TmISkbet8EwOTeKvP8UwCpuTw+8WAnAKUbbQnQSsmIoqFgPLvyUc/efM/Ka+LRY/Aj3PyI9Vo
0W7EhPbZPgfnS3cOmJw3Deu16O7/g3i100f+yJ0YCMAuUU4eiAVy4gKQuj2gs2VB/bfzWK3tYtGO
c5upca+vwTl5CwsiiKNzeZQJmhtAoJBZvg8P9SVMkAKdy/wAuyL/ZDBXdCsrOurRoQcBR/RDqXxL
RJxbq4yTwcTyllL11PVdi0UjOPh0E0+6tshlm7WSxikvuAFyXtJhWmbp2iP73A6SpTkUy8rdKe2t
UK5BvheUdR+eo34Xyme3OyosOx5gnIQCQr650U645v71X3vCHoUguqRyxqV5rlma9v8RkigSE5rf
hCS/3//XCRshiYK+TlcVkX+JOg/9ayLEt1CvoDPRFXUc7vCtXyds/YckMRJCc8wT02SFw/evE7b+
A0kKLthRrWeMFth/MBDSFHoHfx4I/f7KLbSBfxYjZ04X1VXKxixspIt0GYMpvC0zScTBZshkcjzp
/ZRzJB/Vg/Nc9sF8ErsXw3/4ksU8pvA59ByqUMNWc5AlSChGBVf1MWD9JPWcsYjg3kpyQ5y6XySk
kiz6k1Ks0+SujqfEcLKpxHsrr1g8WSuxPlJwZyTp3pKPAAb6Xie9nbjJI8aceywuW5lD995n3kz2
dm5DFSgBlK3dUwEd5VHuxTcVTYaBmQrzExss90UN8+Hv070yD8/yWl1Er+53exJoTV66YhlALwCf
2F2wPOCVg4em6hP9joKanHV6vmQgNGMKJBUuVAyYEiMp6o3Y9L1BscvxfSHciVueXr0XqrPsk3wz
sNzSARBJXM3dDed0pVnwb2wLFaYdpAhvY5qzEy9i5wW/jd2UqNHsSJyXLP3rcCm/tcnUWfT76kpH
Ncc5PGm/qDDaG0zCichogKC5uVycMdshwJ4hmWH/ogy5yF+w32DOKckOCN+7qU5in3fsVWHWFU7K
YUGw4cB8AqCiuIXFGfYQksL4f7g7jx3JzXXLvkqj5xToTQN3EsFgeJ+ZEZkTIi2993z6XpSgq6qS
UAVNBZWko1MmLPl/Zu+1n6J4yQ+FhDu0LNvizC8ztkhUSKm6yZ8xNQXlIaMJ1+HXQJJrYAwBeE5t
/tS0Wgq33ykqKBPIoIMgx09EME7HB84+bBxz6wZZc9+My/o69PzJOOWm/9EK/FyKU83WsjtPS3yE
63SsXliCFRt0PgjO3wvE7+/jWkYpeOmv3YX/u3zmH+h6OMSheiN2bxnMWA4nwLY5G+KO8vtzOFiO
ym5gY37SN9s18XcjtQgUI2QvO8SXtHzxNqZudUqkTGgeXgx1U4iTXkjg7S4cQ7StbRix01hYGLcp
g/1ZB8S+fjQ/+0uFpJIOSJvniOWjRc/pgR2LeM+Z6y0Nedl4BxD/BxZxF41FE/5Aa1y8HlwqVIuO
in4opG3vB5s+41V6gtLEysisrhugpgPaDqYgoKOsR53J174LLrRv0Vr6ksr3pEEqiViag5AndHMF
8FwxxQ6Y8kOKHXQSk9DaVuVDpC9o73WfWImK06R+R204jxB8KsskIMLh4Gl8Wo/VA3HqgfDMKL/n
CI66qxFee9p/9VTd5WqDp642qSzudeUMNj5v9R61lPIwqVLyd0V9pSfiBvWMZzN1Q5fQURt1a0Qw
unzyOKUS7z1IjjQag74QTJscp3LcgKvjiadTV0bODTROkgkRKKxvPDkIR04wOvU43+CmYVCurkQN
ss2GCp3RtMc9QwFmLiDYFSHhFStz1Zj7dMG6118jttwqJyoc4KJIfSiI+hcqR/Ij+kV7lstNECFJ
gQ2FAmg50Jfum2Nwn/pDBCLFJGgp1s3R+pyEOmhZKGti7IO7hsaTeVgN6ng8JsO8OyPYmHJi2OFS
H4ov1bBS44X839ZVKKqmKqAcDBG5+WTZ+ZmEHef2d6couoq//f4/T1ENTw+6CVGVkHlOZ+Vfp6j2
Gxp1BJmiqatoOUxOsL982bLIk8G284eA4htJpvUb6BJTwusD3MJipP4vTlFcRd+foj8+c+0H6Egm
RFHXqXq76k0osYyMW807FGO3LMlHqiV5Ailg7wmizyGOv/Qu9Fe6gNJJjx7Yc92ylEBo9AUkBHuM
RZtrgQhO72lqqujLl5Sv1kSELUQ6TMc8Iqc9jh/1Sl/5svlUAbM0WnHRpEPPuIpZN51YmvZXMcHR
mVdbKexsI2zOBaksVqPtW/FLdQ9m3d0tsVu1JmIv8V4N8SEzFomp3SWE+BkZKLlyM/1g2WVPhV9v
Gk78zPNvIiMFQfyQe+XDR1znx+HZEyUZnx+T5sF/FOvXMsS3YnAHKIBQmsVOH10TaEYD2YyZU56j
TVCE7lop0J8JOW7c/kOZPN59dRhZohWFd6pIljbJ82wnoiGJfa5x6esE1ISyj2N5tA2V06TcZ0lx
jcwUssv4XJQMcgxyGTTmfbrsLUpwdmkh3i1w2nnwXDTvTWGdk54hWYcQTH4zeoiuOdTC1N2UIlox
qEe6m6wskTtFU8yz7DUyys/RC3HOKjkTda9fdxHZFwaK1Qo8PXHUlZweIn/jFf5ZCvV3Lcvvkjk+
yaz2Kh/K3Qg+2v/0vfFRQDomxh+97H1ERvyQtKQAt8k89rVVSFWvIzIbWtGJxHqbxRIzWY+b9PAY
9rQFyDxS5cs14kOIdNyfTmaBQUPT9E+al5JQ+xaPld0G3TnLwWWEDPgZskiXNPIAdX3KaO+b6XRP
9YwJ3jgLlGHFym1eT4dY2H20AVq9cth7cgsmrCOGtD17WByN3iX3B229UvjgewPav7abWz6ZXInm
CBZq0CG8BIhgTI1+P9MrW+j8/ShMnas4E0X6lsw8iT1MXMl69xkJep21t5giB5w3Q1Y/mYG/TMV+
EwrUElSEp6Bxd11kPNZGpDHxD4tz1CeCuJD8vLv7o8IQMHXdGntBaRisRcIiUBa6F2IPSC0nK8nM
yfcVe9leEhHam7MmRTgpU3UUvHo3zBd4/ZaRz7yjIg0R37SVpLYui/Mmg9mbl4saRUcrDK+5x6rI
Ky+mf0lhqvUEGyqEyDSUVq2yq6rgtQozENrMZVFKkFGmxG8+B3OhKEBay9Tp6mwXNXUD2A2VZKn6
K7N+qrGE22GZnAWVOswPLWxXXL/wZuANKmHsdAzcurFeDQqVVpeq+sr0DBvui6NFqbocKwWZb1Go
c9WKiMfU8+e+lfxD1woUIGpBalDvv4dF8ijo7Kis0p2pUqvZsleQxRBGJRPFugVYV3i7xCoJPU1V
Zg/R6MY8QIlEaNw1iqUuvQC/hsywqsq67eg3MssxZW8EluUYcbIQuTvMlGRYRqqLgMICaQNDUvCT
Y1K2D2HLAil/DgsgeQEOYqWqnvVsOMeTCdAbRltO5XXLPF7o1Y08yGuNbXwjgp3ETSvEqHGUdJmq
1JxGtUqVEEEu0QcMQbXw1kKVKeuPuKd0TkT7P9u2qhxsFmZVSEmWqOjYWn9+4CpT9/dN2/pPv//P
A1flwGXjrHPkipjAxG8OXH5KVnhUGlYL79fkr/3rwEWtqKmWJeOg/YPp9JdnTIVd8ueaGU/Fvzhw
JfH7vbCpwlqx2DAbqiVJmmLJ089/46H1wjiztLBtVmP8jHlgEDdS/Ez9RTXGnnLA7BDoTGlvrBGf
zSd9Hr+brxr06EvuYNlPFhXmJli9dH0SqnXX3+n+Vhtn+QrUHFxIdd3hRL2UU7QPEWvWgsiONZsK
YL7QDIgtYoTk9NsSSPz0F23memKp8oevxvVE3sXfavfwlZhFUpwPC023jVtAqsm4iVGigWWxQdkP
AIQdeogp546Oi0W1dcrYakK9IODJR2Fdos8WiS1y111+F7v/tGEcsa6uQ/2SDU3+pWhXl7BVf/dd
N//2+//8rsuIIFTZxIuu6eIk3v2ruJR/02WV4ZCGVV1Hn/u/X3XZ4mcw9Ez+ckUXlW81ENZveCIN
lBNUlqaE6edffdd/9/N8p9n9/pnrP4xoIjENejWtkYw22gCvpUGqwDJCMrJja1Bi4YiUx8g71SAQ
bnGtfUlRnF3UJndntSir7NWa4SQko0dVkzybQ/YlZBVpcAQ1DEQu9Ww1AraSUUlNMGrrEuvGrPYg
T2ainbB+x68nhuTZNenckCGPtYPM6gXee0DSNa6eIl5b9YPfIicG6UkLrMUPWk8uLxIEya2ftQKn
pRkT2VQ1m1osbQWJpEDyuwkoC5IVgBcZfzdcsBFxGKI+A4yPXhcTqLRnFiPA5Nv4Ywo7pGFLFBve
A0gfc5eLlBNdzFyiipmO1J1+ErUzJttt1B90ihYRZIZpgDeT8XMUooB6A2KGm4J36Rst2IxB9BT2
FexRZi96LmUHPvJ94sGrMREasuslD0yXiShV1npdbwufdIUhAGmv4BFKG/m5SLzuaBrdIe2ERQwP
I9TQZxmCvguS8WyObKxkAvEGUhA0XOHyZ5a42zzp6SR9z/YyTHylK6/0EpFehjhVYVkbt1vNRcry
Xz7WTAXwH5ZjFYalLv6ij1TUH6GDxt9+/5+XuoI+X+FgsziL4HR9y4ZQwFCa4MRM5X+lUH8da7SW
CKWmvtaQ9L/QELArJ22+iQeRDnQ68v7Npa7IHJ3fTmOnp/XtK//957891iy3MOsiKleur74hZ9XW
PlcOOw5eUUHdn8RvpVR91VqNjDjZI05HuN3RcsoMECOfwysW5kkyOJXf23o5vLlDEyx0NZA3fVx8
tGYE5mhZRYC69N6QZ36lnzv3M+MPL+LIFtvOqWENGTU04N6lovXcu+Ix46VsvlkoTjLBB8May5dc
ZJVoDhIn7ogQaZCdenB1ZCc9ZtW4fWK4fVXLcj8ojFJ67K6YmdsSm+tYnfOsERmjsqP3ETshQwfS
n0tvDYt81WB9MSKi3aad3WifuYwU1+c8bdF0okGsE4xTIIK1otqKrv8lB8yO2LxIsMZrhU2fISIp
EiFA+SEd5XjuyugStY1OJ1rfx45lctrSMIvcEpvGG+wxcpdJFWD9QRSsdFW7iKoCMFOx80Z9p+Ty
unf7RdUNR2tEPyXr4VpKjkWE1zoQvvQU9SbmS4mxdVMS8JnWuwpTgtB6TMw8OhWNbAbNd1D1Xb0a
akbXXPS0QKTWnkqhWMgTDHkMblbEXUb3bvHobcFJ3mJqhiRswQFCOXZ1DaKR+WXJCOhZY+SLPJLP
o0JGi0xfKlgedugK7jjiAMrupjnL3lqKblYzvFtqtdBqYy4IyrVG4zxPqx7ktMwNT0VLlso7X3EZ
W1uV00rQOEadzVHcIQ1OKU40lQpraI9BViMFaZpHrtmVOjLnUIS11oHhKmoQUZwkahw4aQ0lKRj2
vo7R1CqRtQQT8Sr3OlqqdJPH7qeMeETW0VQZOVExxoTMkv14o0TNYwhLK52gWt6E14om0FYR8EW1
ECYjsPdIKrGGT3UMj74SbCxfJEIcWlc/YbuyxHovJpBXNEqN405wLympV8ZE+3ILPCvhs54TweQH
xmPH1qzADykaBS5KppvBhA6TRraXojvnbztXSM1rm804gcaUCTnmTvCxViyYG0xAMs1jy2zK4UGY
YGW9JxwKvXj2BGlXFclTmiUvXcx9vjMOMNw2vcHpOkwAtAR00ayZoGhK5D5zQmuzUIRtVE6jGghq
6lhf5bR1VMhq43DuJt06g4kB7trQMrjGXpCyate5IBL4bIKM84L0xRF/I/S2oWtmETS3GKqbkPoO
H+ynCe1NxqxbQn8roMCN0OByy3DCHqlXUaqwAaJtADdOgx+HGH7ewZNTS+OtUmPMMIGHRgfkXA97
zoRBx/HoWeVDMeC9baBUy7m5Vqz6kcIKRR4Dkpk4mJ8chA9Crx0LQ9/IfkTYZSduYxw5bSZ+Gnl5
TcT0kok6bG+5C+y+cW0Fel4zYfTCCagXQtZzIey1kPYqiHsF5D0FAl8i1IRwwuQzYPM1MPoEt3tO
i2rnp/C7YmiAYXNXAiOYp2HJuMnQIJlP0D9rwv8ZUkNqqN5WwtN/9mxl3ydJUxlNv0iB+it2piJN
9KJvyuh/+v1/nq3ib4xaKYd1WsMfzlbxN8TLkH7/18f2Vx2t/WZKEp2kYWqc9frU6f256dQgBEuM
kWW40TLV9L/yzSs/sjN/eOo0Ed/3jK7Q63qVhPWS/QEaWL19wc7RI0jCr8l4H4kFyWVkO6H1V0Bf
7kZC9PgV6Xu2ycmCoL1TyAoBLjY/RqjOEqy0+Jn1tY9bk5Mnz87kFAwX8A41Slxl2maKxkHP3yI8
9VHv9O4usL+uMZbmbSdu4vWeUR0h6RvZOuWb2r/hdE2VSyjC2WedlKXk/uTiXMU/p3KJmbcUQlG/
LFtso4scP3iM1avAmEK+YjxPxIfSiYL1eGcIuCjCDStXFrSera/g3GGx/pwcu+7bSOaaUy+7Y8la
ZLzG9/E49KTA80rJ9T7zL2GFimYTxfbY3EbM0M2VUVlg19ay30E/23mYT5s1Q25mjDoWN5uaA5eN
khDO8hbni+gzfNpVjrQJPurX7AF1HBW7hNZaWcpkraHCDV7GmawVy6JHtzH2pzI7s5Jrb3CrYO/J
L+Oad9bvNnK8TAasNbNpDzfsMbwzHxeu+YeaLnR2ebhsV/qjvEec2V6r+rFAcMfMzAldKCck25mX
QloV/ouZLxRi17f5OVz4/CXY/pm/SVEmwVs4AQx0iboKZ9Vbwx0LUSsQgbW2ZiKlHwy7WAlO/xy8
0RYFb8GtfRYcCcaUqTjIbjvASihBjXqWMRB+6DQ0KNGuWjrZBpG6VCwCxUk+1Ww+fFpvxptx04NP
jFAS3uMb/2bjGzMLcM2FzpACbSK04cdmmOv7IfqU8KejNCvrfe2bK28pmO7CNNql+yQv4hMBGdkS
hSRyTsLOiSmn8eCveEuCibuTXsyifcySYz8S420OCws5XOKmToHIMM8NDpEdTnFh4JtD1CkLbaou
amd0YyvsQiFGtgqWYurwZ0M1Sba1ehcogCIFB1aYFisPcroX7IADyA9ZR03BVLIIlrpnQsST6lMy
CqtdjAsoYXjsNnbWScEcU4xiQ3ec//k3/v2BRXknxU6+6S+dsZT2/mG8pu/CtjvzuXpf8R3ktrjT
TaaXhNrnVC225uKjmmu46NmYf6KQyhZ1i/3EUd0dOvRRZA6c20J+Lyc1QXz39VUrfsZ3rnlEVYit
UMxr3n/3GJgaDVgk5ANooJQNeXI4/2xVp6jM/745Bv7p9/95DKhwUPCMMJnjhAGTTbf0p+BF/Q0E
MhAqg0OCecs0VPyrxcKDomhs8nRJMunQ/joGrN+gqkDmm1CBDDz/1SnA8fFji8WSEUYzeHmdZyJK
P0xThkHKE1cOGm5y5r4A3H7XuaehiXTUjfjELH1XfuTr8sE/Da/tTrm3O8keiUeyDcgmNoZIELpX
dDFHad1sMSywcLri88he3SUNE2ipDUmhN3b723odbMU5QuoD3Ue+apmqvImkGGNTU3xHlW+sIipH
OfTn1JhpS9cxDh03niWJomR0PnuPuANuxgWJLNoRdkAOvuTKWIqCzeKNabxIcFy8GSBNZFeTZJtj
iHqep4Uo88O7WjXY1TmeOeHjm8/+9Mfg6f+kTXLKgrSu/uf//oOH/Pt38IdzNB9lH3dt2Kx47TFZ
atJS/NJZpSV2/NCvhbu66c7D07g1DhxpAdk+A0md7rWLdhNRFR0vYbskvFyV558/MWl64O8GZb9/
tJYpK5qG137aP387FM7MqFMjzSMIt9oE6lYFht9OLvCZr5H1iEmFm1R8UNO1V8mznz82X+qfPfSP
C2AtGxqjS3hocVihHZVJkCQXJbihZSa65OeP9ftX9CevU/vhKyxqYSVEnVCv6Pw5H9n1zTX2wwBH
E32RxWfBXQ9oErrM/vkDT+/fzx73hw8eXuyoDiEvkrTl5BXbLWEAdXhFbQ2XZPCPP3806e9YOL5n
lIVcror0R4LJtx9nNAxj44tcqd1ZZyCoO80nzR89Rkju4PhhrH/xeMr0vv34+hAYWEyGcJ3Bc//+
+2Olfa7Lqcb7mixrbSE5dWC3VDzk2S6SPYk+qbrGOHKduJAa29QPgvSQoBVY3eHODItgmJmP2TFf
WmsHmr9Ktpp69knZleZP3ZcxowSQyVpYj/E+6JewFnEYRKj4W4zhUY+tkvCChHCSjuonEED1sj+o
mC5Uw0brP/LyVuAcGSrynlQIYIhPddauBW+HC7o5mjXhe998+cZZVfBjAaQRCOsj3hkvTeiQNmVK
c2QFeb/o5EWXrVx0MuQpImdF7x7QndezUEJIb2LZr1+k9M1M9gEKqyw6YoPg6QSTp2rOTlCRnJJE
Vs/OMM0Ym6w51AW/DC3U08Q/9kyQfYJgCyET3J6otlVTXc2UPhv75wx4sEh8YbQkS0yLtngchDmD
5mGFkx2QaAMqfv7zD1b5p4tzsiQaKnZF8FzTkfDNVE3KXCk0tZGN6qbbS3Zy8B9al9kETowF9KQn
LOMMPwgQdq/5iiwsG+c4e95x8S7ffZHcOuS/hwAy66q5IThwstWwFbfGKX/8xRPl1P37F1BGJkoj
BOvD+EFG4rttLLZ9R1byVONcjSvTE41c7qdooxwIT4TF7X4EwsVA62ucMVfkt7FxBgFL9krntpfZ
SJN76BQzi1B5du14epMcsZtHq04m2a9uCJI8DUx/+pR/uBeVUtFrgc5Txs1bxXCbkAyuogqDsYyC
K9/nIWt9z+8OZV/eUpJNVWkTi+FKYliFZ77LnzIrnBfZV3KoXW6WpexE5r0cnVDdNaV4DYrmrRSr
o+X18+4QlBOuzAePlaCl3CuUv6Z1H9eh9eGTWtyvfRA9Q/zE1aF2eAs2Lkcnp6tv1ocJaqD36yFQ
dp61Swz/XVNWJTB6kE8NFwyrbkcJV52/8Lql6b1KCe7uS13OauLjmi1GL0/qsTQQVNm7dtm/9NAm
JKrwHkJfQzGsXttbyQDRjN4E8dFL33hGJmGTcFoLBTvWMmv2brmJ0yXi7pa0Bq4PMt6QPNToEjRG
Xufc2rThO6rsqWNBx38DiM5xLidzHyJCaYucs/g3fHGRDDfZvPR9M9fVjzb7qOVNHa0zNuLRuIu0
DgXqXMsd7EcWIcgCW8jxtQ2YSW3Y3Ey3a+GMqcqyboXTkW1bPYhwGFGdIkTJZs3E695W5O3BNxgW
WG1U1S76Lb/DoAASZgY+HXWKVSUPwsaGEZKYGh1j+bGJnvDMluRT3AvXFse1RpSJeRU8RHzIMOlz
3KdsbK7QdhPuXh3sekfQ31uM55EV2220y1mzirOCtFYyOcOzlqGtNA+D99loBF4gIiStSZlbuKA8
hD6RdfUSWzSvFXmR5Ag+A8scXBwzl0H4gpbPSHDA9BQg8HFUcA5F/9AOfJLCWvWJl23wA/Wz2Wzl
OXk/XTHtY/9oLcNXEQU02ayE2siz9iI8GB/lXn8TbY0oiRiJDM8EPBYWLts4VuVMffGXq69yqZBY
YNeMVWH3j3Z5YskVVmuRza44o3mSoJEvaIBesQd1kyx4Vj0hk4bm6B62Twb76N/9i8ItvKuLBoub
G9nIvEYaMjEcNgFxAGW1I/Y4POVIIIpFr+/lfkOqdXNqymZWROmz25jointWe3bP9w/vSzcn7MLg
y8/cG+Esk0vpy7X2hbrwwn4VAF2N5oV07RBuWET6pE8e37JWhwqsY/mrOzuulIs3QW64a5a6aRvN
p4CWNi6uy1jiq2u+kudQAk6xHr1GQw6JL0eDZY85w02eUSZxRaUYyzBYNCuZt5wLR+svrcmwBdhl
ueaaUwVHNMh2UGbacPF4daYya9GytMpr1y364E3/ag1gr3Oju4Ku0Vg69NCFWkfCzFb0uEzvncmC
PvWe9c9klZ8GrGMKU8kkXMvKxgBFn1UHV3wMCJcrlqWPZYRNhYT1CHrXBMJ2o1PfHhyGnlcJQ290
Ip22Fy9a8CzK8ZrsDlNfNf22McHD4s7r8AwZ+UksvXkdugst1TZRsffJBsD7B6O/CueJ+YR+IHrL
MHxjkWyY0tQY1Pr+q2GZqeuHJup3evMiP7mkXBMk6KrYQcOvUHnTChYSfGHQY+vSdFtC79Ruc4IL
+fZiQSO81/80Memxr+lt8oqY2888JHZmIFJP4Br0Wqak1sJAGZS1rEgTprCWE5F4y3RDwAPo1XYC
cikB2aJCHPIZNGMYj5I1a1tXYlurP5diz6Rq7pIxna51jvYEEIbnQBD0tUMcQb5O9nWXzMP+zG0r
Xrbhqdm2wkXqzkp3FOLm0xMEElSvlegM/kvL2AGPto8fV7l7QJqu1Qk1sDpuE+ZcwwAP5NMPwbbB
i+niZclgK0d++yU8QkEfZtJZPuIdbN5VQNNcn57d4k1nLDcQUqwe4WJLjESaOf8cISCSaquBcJ3X
tCbNbLjrR/+1/opYehXzP35E6+E+/ZWyoyAV/hU+NT9GoCnvO+Gl/Oru/CH8UKF/T9Lu8Km5Cy/d
u3m1XvoNgN+ltY92xt7Yt4iF+6XyWReH8rV9IkWeqVf7VZyiuxg6ufwpaltW9u6LxEEgRlfMT0PB
CiK6gpycPrFSO6QVuwprohDNi+je8ip8D8yM9OmNsDkwNwjrslnntvJRQuzFfA5hNw23cA6EnWec
w5cWUFe1VLD4Kvuae8pQMZG5EdRoHhR9J51kOMpKv/SVd4vRWp/ahJVcXLW7lzV3Jzmwu2zDjRsC
o58tFG2u0iUJOgmbQmj77EoYW45hBWu0n4tEsSsHLbQ7tIvzQlm7Rc9nQuA1inMVOI+LqRxhpqQT
oL3rrfngL3SMjOlaIXmyRjgWE/werwHDzyvj00g2/DeQmzpzdHpydNddSAKf0402Od8I0JZQdyIK
ZuMy4C227jUycHeXKjOTQZUA1Jx51KrzwPRdfdEW0Bc27KJY+HxVZ4A2Ka/kre0+dWuHLqgkGGSS
bDp9tbWKZYy+Bj4B63e6dpdrzomTi5E8J68GPWPtuN1RLgEERHdNGNfd24j9gvFulq0V1YbL2bGb
rPjJbq0FJ4aEOfFfDRaY8m7M4gzOyh51pdCecc/4sWOrZ3yf1/qzg5iwPGelY/bHDk5qeBRCLLYY
KlJCZeQtV1nOfw2WMffdcIGPWQ+cMD7lxQX+ZfscscuQVmSdxQ8+LBhkh/1Hpe+zSJqVLRXqADB+
oW7pU6j8Z6k/r9qtfMKjGpH4XoGEnGOELje9tzIeBGWWka4CWGORQbVPlvoOT4SI74V9lTL33zJ2
NeY+6iYgdfAisaIiyp1ybTKS4ipu1HmNFDPbBfGbGzwNtd3gBog30ams4XLEe/WFzxDmUszGCa5D
sWxwKdTrXJ1Zqo3IPxdOnf4mPwzGSSHRrU2+XGT3MepbIrWnU8tYS0ZhS3i+4droW6QiJqNdE1Qn
6JyVETnqpShE1JDTNWynhsXXwumpQdmf20n/wqwilJ327Fqkq0SEf3P6V3MsGyS0+QkdLFcnwlQQ
jcM8dQ8Wtm1A+d1Ri519YJC+c/dmsBrn5GjxzmioXrylzKo8HPeCOM/wLhHdDeGAgBmlBKp1ZBnn
44ohDLhkubZVWmzs2OuNbsCZcMkP3c7ajHt/5c2Vue6UM6qmeTejPsIQyi54jmtkkWyLlb8HLlK8
iNixtWdDWCcSS/YZQ1wTQiRcW2y6R7SnJYKg4ZLyVUxUzJYCd4GTtDpWM8AC3VIE9uutJNC/ktPb
8ryGr85FOJ68m3pgWHLD2krq5W5g77vQ8ODqF3bT82BLHPpcYPiF2HfG22W7G8PxVnxw3nMz+Xbq
L45gTdu71FzqyS1eMgw84VZxmQ2cokfYbMoLBRM/gtNgH5pdeqnW3t1j9NWPd24grktwzbpxVFu4
KBDAssVAR4sYWyXpZpbtiofhAVcoBFAorQP2Uuz/Drp6bCNcqvqCMZSCN/eRijR61E/6Q7rNdsom
Z8wzo5/AHAKDlC/OXlpQEE8Fgi090BVQD1qVrQSL5mK8pw8y8zoPMycW0nSj62jAHyoGx9uiWKO0
nWnRXtfhK1xlAjuCoyvfRAVP0LIBbTVlREX3Xl1KSAJLnYKvmxeWhh0I0bNQzweg7yYLCTdu54Ky
TOvT0KxUkmtRGZ0a/RTLCyWYoAwcyLhPIn/iwyqpHRNkO2A5s5GSK3vhEeIMwu3tcEDwH8AJe0yc
9IzB3YAJwoiLLpoM4jFbef1DKb8SW9i0D8HU+LkfiNZnvvwo93e5OftQUUoH/075mohOO8AzXVfR
g8qfsU96VP5vUE3KYJv4z0N4FG81qW3dPpevbcZkUjt3OTnoie7UHsTG/JbLDEPi1yq/hWz0S/h0
JKd6OcgzFgVRBphNg6uP1N7sgn2dwDYJuWkKC5Ea2JcnyYIu/6LhlyYB0I9dKTJUpMJMknFRTmEu
33b8oSl6boJIfCVkMjCRnoXaKh+vSgl9djHwIwT0uISVXChnmf5ICwl0rGcSHXU3n1ZgOIt6WxLs
UbQ78CyH8Nifp1tegWl5FsSYBp9Vqlecis8x30PtQlasgRVLonqoyi1UsYrztZchROAbmPfB725K
blrplyycJMFplblytN5wDE6cDcrJV05rfbIh5ojPn2PlkI2rMjtm0TrAOj8cBQNyHlUArD6KViIt
17zV2ZOoOqqJzSx+Mcc5La1BWsJ8dEHkOymWa7b8oGxGp2mXjGI55/1m1h6JNxc6bICtatcRmD0V
rC73TZCP4oDvgZlHWisAn7EU8uYY3B4tleN4T1qBbC51xn5FM62ecE0HiVNYCFZnFREvPcY1MlKB
wsynFLaUWoRP3AFOEVS8jDU1oFR+NSczupjusmCxlNePAuZn05GCP7Yx7/3/8z6z0x9ju2/H1JNq
8/vvACsOlT03nltANKb8w3egiIPRyD2/WQnDKeqzRa8gJTyS903OAhWwt6jIlnmPzmBygtYGLgQR
sNrQFGD5ku9ciQju69Fh7hjQEsfI9TwE6zu2kTSVDfYwCZPdfjr8ti2tLRAhiDgo8AeHafCs+mAC
Jru3hE2bu8xUjsn03XxjBJP7T0O+dt/pqhvJ8dW1MazLp6rY4LnhuKDQjwtEmQgkkCpPlvSQluHz
55Omya/8szdH+WHSlOhJ3MUmI+RxONDG68aCJrW1Nq67cDdds4fggnI0UuZ8azDvxctfPP7fRq2/
fzgKigDNtHTimr6/QAdvtALPtBjJkQBXrIUaZ4Ld6+fyC9+g2yyZmwPI+PmD/j7//26++8ODTl7o
b+aAdTZ4MVnj9SoLbiVFRc3hmYM2XSXsoU0HNY70ler2blkJX+lUrlu4U3Z8z9lngpaXDToqjENH
V5tTUUnL8uY96rQWTGq1o9k5oblQksuUABgO9/FlyPcaF9Z0U/fqbZs/ThZHUJUTgIb4kMXPX538
t+HhD6/uh+97JhiNEAm8uhq+wrAoYfzLj8HC23mP/nG8MRBGib4oD95dth+B685X2Xb18+fwu1v8
b+/wpJRkuSgxSf/hORgsCKRcN+uVvR8W0Wp0cjt76t9JHrBHmEg092tr5S70ZbCBGhVsjIW5rqO5
tpIuLqiYeWeLJ9V+9w/eUr2610l7n9rFo7zId1D9l9Fa2e/YewlrZTFusrUPsLtblfvuZu8Bzzdf
+WO/l/FIzdXdawURW1mWb9A91+bSnN8d6bZmKu5eCR96FB4acVZffvUG/NNlxapSwzqB+luZLrtv
vmFNHLt9qfEZ6I/ZEzVYkC17xGviXBQ2MNV/8W7/4sF+uIbGKvcEs+fBhCOqP4UB+xpZFSUpiDX3
F4/Flnb64/722bKRYQ9Ltjt31e9fm6KVRL/HPByHp2au8mcKMMISbXJyPIZkZxIHfXYz6aID8VQs
u34VvqE9yDGAfybmjQQbztZ4KZsOjBiUpQ5jPro337sQywAnbarhP5EipuXWZNIHeyueMz+jkuhp
TTl/UIKOD6w1fXNtfajRnM66NY//n7vzWnKVS9P0vfQ5NVgBEdN9gEfI21SeEGkRyCC8ufp5+Kdr
pv6qiurp04nYsWObVMokrLW+18KA3t5hhABIsaglndckfvNFwDTQJ65etGVl7lVuy+lx6j1o0bMH
YrVLRXdGmkE8Fyr3lp0pwjbpvi0OCFAyZne0JcQCQb3QfUjMDmO5uNS3lU/ujwL2Z8dl+OVPKSRK
8GhR2AfKJ0GxDeLUjzRe5cZe9MFBCTgb0CQe9Zfdzix5k2dO8wNsj+40/1G0IL7g7y8Tt+6mWYwc
FoMzANIY88DFQjjCi244wU1kEvKznoGayCFgIasn3YU+M8cpw1QEaEeqyqHDukGfYGAMiX5fdduX
THpcQxN2eK2CmW/MddOrZP8qAw0uhfPMGcTI/DSkOYkDyzv0sTjP8wUhdtd8eY0dmsdHCGZIZCQs
AD9VIKjWFfrEcGaNn3fWlVhVIgVmnojRhoPNibxdaeYLyUIzg+uTJXDNUmcERNYJxO5qYZbNu+48
gnbf5hylFMmuW84SEHscwWjCRuQB8YQFFGeB35DazGdUfRCzhOmaXympfSsjFNJQvNvjbQk6t0Ys
WwxBgmwYIaX2E5MvQNaZXLnmNkupwiXbzicJsCYMKLELYKJ0y+LIdaV8I/jB5Yc1Nrkk6+RGOI83
6Lubs+3s5kYimzsFIBFMrDztVz3dxHK75DXqTQCw3kzHdCvdJ1h9qNDESG8Rayfk89t7sRwXtCjJ
SqjxM2p/XsrX3fh8IpWqr44mna5fFDNz1KjVoCKm+Ra0HPPIIE7m/cuBNn4YHN1cLIM5AQWNj69B
fwR5fuDjotelWs6ai5LZUmxN17HcO8obhlYiYlHdWt8Eu4EazdwUIIfwCsXpo8Jw62/uqg5+Q3rL
EkciKUH8xBsy88lsP4+6K0t2Jx6B+oFhMcG/wBvm1eAapC0vzMSdNRvBcJmhZAKKSJvhvS6VdqkQ
DwBK+8wtxtZa8Atx0Q8+txswhwzJj++elN1HwEGLkxBwkFDOWyNQf3J/bD0B2hAfMzMAywZ1VY9b
IMb7dHaW76uuW94yP7uh1N6UsdvVLtmx2KSoNHF03Qo1iGAKvbyETnUUbWSZQX1p2pTNhBreRa4R
XJ0uo/+UMlnHlH4QZg9wOJRb5E7JIMz1SxA5MSbDYqYFIGV8svJw5Ojby6QW42axRv5w3cQTug22
Sw4kWUbiUinXpfl9m0XS1/3SQEqEQEbYqrFutFGCPHbyh5AYykC0gHMwTde97+5jICXLpAzIFdMR
duxHhYqx1skZrMkLvQrLXJxP6Ywvm9inpvRV0RGhQ0pHTWgt8aVnoOcB2duEN/u6TYjGiTgHIfeZ
4tR8caXrCy3sXMqdJykTStBRmc0PHwhmHksfRf7VOqrbMmSqwBSOCjIle1l+vrMYz3bDikSl6Twr
h+RlxojqlHA6xDbzpF4zK2gdfRrk965bNMVxcD0wNP8h5+eMg407AWRl5SY5gqloJJrMvpLuoOM1
XbEncNml5SLb3+u3x1ykHaxwRQZS8Dae8YmCxiinNBWBRpzKued+Uu5Nw1Xj6Kk5dymEVOYpabqX
BBJp7Do55pTuoLe+kxXliOeSPCMr7Q4FRtIIXEqd7fgZx6zKcsBcSTVHYb9Uv2px0BHX5j/6Y/dO
Cp1B03C6z+lR0x3K2JBgTlwDNMDVmf3k2abbpbQUbc1k3SQBxnnYOQT5JhcigWfzdHQfdCHAihhr
Pq9r52uD1z8vT/2EFqPowoFqxOcaVDynA+Tr1e9ulJ+VanjvvslWZCFlWsBdpe7y2B21DdnN0sMF
Y+BFPLBo8f7gxM1DIVndJX5yha56Jej1i0wR5MtPSb+jrgxQWT/OtLmAfMAInqOdA2lxZ4rT3lLf
l0Q2lhHETA6VSeJdA/Uj2wNk5/fgM9MQAe0w/hjpmk/MDIldz17sABY6mRjuAYQMdtKiZr2IWO1v
i3YOApmwjH/lZOK84c7XR+tBA3RvgXv151FwePmKuIX4MpMtFe70BcBwSRZ5lMITsqG3bqlvkBKk
U8cZ0MGWXef0pr2uLgXpTGAaASi4l+mTdo3RoYuoUNZXwr6lKBb9up4L7EqZy3XCax3ELYCllNFF
0NoJs9b4xdeVDGr7cZr1nGzTFyHI4ROK0bBynfHaYKE5cWgwSPyQPgvkFzXRjqRde+YXI13x8yJT
8MHKaZG3wk6HyxMm1ys6H66AO1oy+ZQ/4+okc4YuVqN2aE+G+NP1c65gOqytpJqLaZRUQSmtyZmX
bu6rXgMFd5pHDCCR67kNOcvWpZy1hpkKJaV3lxdl6449adx2C4d13dzAtfi5FAFPCRfGCgv/xmrA
B9YYXvKllN6r2cTk9xhOM67oiJ5+tvK4MfIFEG+n/eIcGF1K96rRad/73hemSZ2YlTlazBiVhXFg
ZGW+pZOGkb0sfONpP4UN1gbK5KYEudovkPAzi36/kjlmFghUn6dnYmBJasu99tys2sY5rnjZHOIo
QE4GAgPmLJG67qfmhugEEFM1jdAFE0k2DH+cgSmtuDo1ZwUt0OLNyNeEcbLLD+bL6wLdycJ28RhQ
5ib6nAWw/RDXM9JGl0/D6jY8dxu7ygC4kJNdMx3VMme3oV1BiFeKlnrFSDRfjOpkU32ne+oMZ69T
zCdIA2EeseR3xlYQA3nYICDKiuCGRJpjFLcNF3CaLEwaQQw/Z+mGgZRWTf9dwtlnkOCbam/C5EAP
G66hBToIbQAxrYoWtYds1GBhJjLv4ji89UYkK9MZNWBrUcfPGv9vgnbPqVSWfDJrI65zAbw8xSX5
x32qpbsyJLmJrJ97T7OAfHqmWxOFB8mKV7+4HfjRxmSXFuee1DriHjBbEPMs2CozDTl+7M0Xs8U1
GBYoWy5Pa5WX9EmCBlLGsOgpTi9fH1W3MdGz1KTTOoRTQNsi8vlFd1AQF7UUxf9iDP1Hcdo0hiLb
QgNKEDgD/p/HBPox8uH1YkzQAMSnJFQ65pg/Rb93Z28sdrf4v1Clka7xz9AM9Jx/VbP+AQf+zdil
Zze1xslQ0yAfavsHzphPPfOIreKYI9OypWWesJY2RIhnH1dKDWrOWVefmwtGlONKYw+7dIVuWXrY
NGJkZEdI4JQkLHYsqcYbN2X1IivPEw0YdRHujELvAFpubHxi9Qt6MBy0BRmhCm4MJ2TIPgOZJi5e
ObzkA/oJXP3BRhinS2YHnDxZEHOubRy58MXZWlZO2L2qzH8pQaFduSBG56W5iYiA/Ok91c2zCu/e
cy3fPsvHt45Zr7u7bZKzsJCX+KvTlCz83hPVNqufkuRgdfSvEv18vvLc9bp/0iu3ex/ZsTsvGQ7a
GYS96bEfESamEmrR3fwCJ12J27c/dPkHehc2a+I5xHXxRUSwVkQTaPH2xKeuU1vSPyMtWcpeqVN5
5kKzEaUeafv6rXO77qOm9UYX2L3pmRIC8SzvHs9gVM838Es87iKcHxJ3GiQYG4+cq9G7DbeV2NGf
OYUG97ozDjB5DrGLl+66mkmbJl/H64dsXe5iiLAoj20qaXrvGuohzRRVTeWLj1KDOCogV7uJoMKa
5uPaukSZSx7LHjepgkQy934x3jEaP/VF/a5Tcf22MZ8A+LSKWFRvGmvOb7SlMvZkyFsm6P0W9N+3
493Se+Ru81iOKr/yYxKorGGjipxDi7ma0Bq9Es7Ar89opjhGZwNtFEsEebNw9u0XKGRlAKCwLCPd
dyvWckQQb1XiahkM5bwxXIgAR1CXqTt+oqlEtvDG8kMrxaPzOMeIoh31VEJYIlNkHz1ynCEhoLOK
NuRH+lQGh5Jt0yX8Y+TE0XhGzV5HFipoPOnbeidzop9Xt4dL+0dfuC2yAiQFTBs30qux2CErWYiv
3yL9znO3Gl0KTfThRywpZLGvlX83bODPERXAJU+8J90t9VEyrTRe1DKDkCP+dq/N7R6UJl1PC24f
pDyz8lglocilIdno8HFvVH0glHu94MTjtyKHVj9WV/nxjthQv3pAqRLfz0BKuRDuTsO5kQucIfSS
oHgDVHhRGeJSmiNVbsP6f22jdq8H4O06Y1T6cI07FYS1BaSKdcwiHqR4HU2aqDwYy6m8h0G8rlbt
nAB860o7TNjQLUzMWrF5WWfCha3mh5IWBLT6PSw6ZB8EAKLkUt6rZAEU2YohgN913ZOM39NLDNww
9qsTRxGjiJQ37icGIyL58/nIXPjghujnmmJYMhGqQuqKu9kuth0QCILm55o/0i2wYE1h+7Kfo6Mw
GC4GbgFbHWHq6eZxZrGTqyzOFtd7KrsoCgCbby7nTTYP4MeEP9jEEvuU58G92erZHIjG/xysD2JM
2dRYWCba1KQ378HUirJJOz2EiEP/Y3RbPdDXQ4PK4nXUjjfScQhg5V1LRJBbLYk9c+rtwush80sf
OvMxF1Koe0KUvC9MmD/AmZRmWYQcWQJh3oRAEXXc6QzbbskpfJcbc0P1a3yFkBvc8hCW3ONv2hHw
m1MtghOZ1bRgLLSVFV9Qpa7eHSQXVzy4QvVaIArScO1TWpA5S9ajBQx+tQUpT4kHRkTE9gpYfCCH
l9MQLGbIigUgr5kXc4VVFiMKd3MZ47AhOjYDTthmI7Rn39oFfcR0pJDSNt5PpK5iA5UIqCKhED1n
8dbNCRJngdOJUHVnyKvIdI/9BrHiRt/ohAMNUfsBUzdij+pBcj3wXVgFYC+cxkA2jQBnhNzXpzFJ
QJ2N8A45P5ysgRlZX+Sch3Ti6cYl19SMGqEn56lfne3evBjRiB4EyebaJAGZbq1v4feabyRkMD2V
WEyKrmWetUiLsAzhYIZN90pub2Q43Fk8tA7JvIq9BgvlyphB1AWuXwa6aPdW0rtPhjUSBaXIZJOS
tzS5ebPsNHtGRNuzM9RsOM1qDAV9N5M9s/3+afcyVWON/QjoAkA81vTgEhb3HzpFNMM3srnY+MRJ
hvK01SZs2hAKsg9Y0QUTViFKAG8p61K9uHJXpbrVsjAmwT64D26BjwIid+I/kFFN933FLkOx5I4Q
y9kExhFy5KQ7oY+M3ll3J/3KPOg8R3/4LEqCDj1DtfJl33qxQbqYXR84ZVA4a2X276PgHty0XMof
puCT5CXSEwH53zZuNTnoORJ1xC+uwFymEEbSS0UX+o1plfR3Tin1GFTDWa1ddD+p8C65xh4+6Fmv
1fw8O8bMOe3PpFY6sigWgjfcXOUzVXYjG/nNJy1RqVYdLQnBFY5gc4VUZeHgmlWacIjIVEbs1wUP
7d1YgdapCyy2ZMVtn/hum/lL8ut+8RDmg7EUYRNah13N/JBmSymqk8s4euJ1CdTUyasURzVJGJgr
RD8JbvNbF+7AFZEUjf3vbBOzuNDM9wmlqJ6QrtCh3jQrjG3CIRC+cUSZqiuTds7HXehvSChiA0vV
pwgveia0rTv2s7kmu3ky15GWr26FTV1H8pVVTIV0W7PjhzrcCOZGw2MwS4RN20XG/WfqgSuRsNsy
N9Klwv8nzcvUU/uVTHB+LOCd5DRN+ZfOxdhkJ7FYVCSBqQ7gZgKMqgJXTPTsyLCAfW9NHGhHFjR4
/Voao67E3k/ydygjNDKm6zgh+cOTy9BU5gaRs6tHee5URO77+PO1RQf7Sr6vW+RKCaTnpLY6dBxh
sq/sdlAe3uPjVTvFY9ukCjvUKUbugTG0+5Y+iOK8B/dtJVoypV2OTGR/4TxO180988bD6wAgkJ5n
O+T1WhqpK9V/hazHUYfrjgq/llBPZAVTvR6tf8sx9lXFQymSuFPgp7VaGV53OL4MsoSAUNpw1jtw
xezIgOiYRFXioeePST/C9TwV3PoYqKF8D+k4p43tOtee22vrde1CFNxSc0UfjQEenMmGszVr22CO
TlCBlHa7UZQjSKtKKmrHrsBPWzuiCUIknCKuRkPtxpeY0Sb1NGxCrY8Jb2AORlmNsRSKpjXmYrGb
Wpvmr+RYEmT/cjrCt0dK7aiIAU0ppRV63FFboKiQH/uXuFGQW1jjJ2sjXZJyBwVKIL9LrVdOG1bE
G86+hdKV1k/Oos26xWmlbCiEHMN2o85jxNYyJ/bv0Xt/T6xdH8lPT8HNOvjZPqPEj5HK53pzcT6A
D5INw5kInBWhM0oxE5eC6Al33AwcQjYoEiQxikHP0hN4AvNw3zjdJKicarC4AOWrp6Wr0bSkiVDn
EGJnRw0s0zy9+jDr7Fdn5ZfBgw2IOZ/MOU8aDg755DXXN3B+cj79YurMOEk6Qxp2iGUar/tItDey
7Z8Eub2c2cvnwDkgiqBFcfWIl9ylA+cFrV8azIrJPMM3nwa0UD6ue9LrU9Mzuvf4NLv031DHdUOg
a4aMbVxyAKb0N6OU1tjeUhegRWpW98wmO4822MfoQOjDVsiNP7t7NzRnLPyIXEo9mIlrndTedDrz
IV7hGPiKeG7ac41oUCA0Pqi5Bmc3wTxpAY6Du+rJIfOmVpyQhCeMjLHLtNB1bAHOzya1lqgYu9xr
cUqk3wPaQlQhlGy+l7sXPPnM4GzqYX3iXbOiWJsjQX5TQEnZhmWC+rwxqL0kRNbTN7PBuV6IwQMo
5t0b6SG9reFLy5NGtTFZHEk0U/3nze/1c3tzTXS1t1B9v7E19wDdnlbv8uQ0iimuEbSsjN0IE8Eu
bjombt2joMG8ezrSMHzBKT0J2LPm4Jk6Aiam6N6vVjJMaesCpM+QuST04to6fombyxBhXC8A/bVG
7kSkfvXXN+3pjdzoKs3FaO0rBXmPR56XhR4mRicwFzjdzMjvJ2FvEmnMhiA3DubNI5CZhAzub61w
nj+qDJjuU0n5koEZFpkKaOsS+IxaGs4pR1yI+2j2bspHZcvPFBjj+rBkIvlYGHwJGWZ3TNNF+60o
9JTTsbB5pgupwVFj43Yr+EZAJkjpB9nBYXPTFi4HXJMTRSet29k7Qwd6InL2ZPl4E4gpIiuTNI7k
fWzB0hS/0piAKod9bSRAgejrB7kXQaev2QStrxvyQp9dcvyEOTECUyLWgRKP6PHNB0TTeGvHU08S
hwDoGUAP7ndFDSfepHrTo9kl7lf9L8K6hhu5A7oDyVhQg8NRnwM7sDOD1kr9mHCjzjMa5+7lzMo3
lGAOIBRhEGQbl+mqI4V09fiEUKlEYkOs/vFGyts7qguqXqHN5JvNR1ooS4zGVc395RiwMwt05bs2
zLdQKcVc05G+OuPLVr84boo3B42epG9vHIgsLf4uCpR13v0AEpxXJ/N64NPgqDqmBzQ07ScHTmWB
Oo77Jp6rRMDlVnQN8X8mx4FEcFuUo3sJOhOSyq8PU9K2ERp3hDj2pPyl7yuGLj3hDBSBA/wHsx2W
hyxgoEDjKZa7qnUYkdLjjO0WnRLOcg4iTUDnEoxoTitt7dIoLWpBRcmDuqrvNvtkLcwh+G7wQdRh
cEIq2Uuk2B2SFZqb7ATCDcSP0kIvgYO+2nKrG4G2Zwx6yqCtzlRGkUeshdqAtO3QZEQkI/Tdm/Iu
rjwjJWHPoaZBRWCdsFlxrkVEw70RwGfheiBIhQoiTqYDY5xd1z83CH6eiYv/Gts9VzXuhv39us6M
ZaNH3ZG1ZEh3lRE+8+D6dY+nQL72E3kuVzL63SoNzOeJlqdKdY03rOrEvJTqxEn0HIE93PEc1ZGm
coIzkIl792KDSImjOFLuxzIOWwVt4UbU4bx8Zh64NHTtJrSA5HQnLVtD3IHOMzhBcnEQ7JD0TmMX
HNb4XAhEZtN6cYa8aiG8xbmK9JCfOXXDA/8MO1bWb5wvJ1HW6pUf0v5USk4mU0bzzpFVAoU2yXKY
0C/20VdkfggnZTBDlFDFm7acLa5nrjr1e3bIPvEFyxtl9zxnZ22nrfSVeiHgyLgIu/jSn/vPG3Pe
wzInfePtx7jAaibEvy7rqIxegRzWNFjNFmIYL5RdvCgjnFgRCMWWmox3SLjiyOlW+qRa6/j4qT/T
P0ZVplWMIekP1/Lthx8igAVPwYdOU1iK7FS1YsEyYGaYLLOIPxiX8jM5TguOq6/Q/J1RWm6E3e34
OMYb7qPHj7CrP5Mf9fI8P89k3j7P98/7J6txfHh+ihf+JfWT5R//df/sM07g1ogyalN+phPnzwvg
bU7vFNACjIaIe/JdcTMQPQAbkHt64esvl9dWn1veohqSWOPGQT0f1vmbfnyiI/hFzcPkf/29DvzG
/3p8zYqnOKsg9GdjkqNCIM/4pDg1hSOG6/69Kl10xk+Wrnqqn8+4xOHs6+lfmjW60+tg9zQf//EP
/P6//8AGJVMIS/0vRku2fgY/BNZ/fBsUB3yN/sP/p1RZlpBGNulLUB5cwROjDIT2Q87H7Yvn4Su6
fb2dqH8ek0zlLX88b+GZtEDtzZ/pAct2q5GNIc6fom/IXyUAg6BgBQ9SwlOZDgocIBzItpka20K3
ri4ikxF6pskPjEzW3tyjIXRHanNgfKxi2ClQDFkICQbadQNcWRvbYkeQb/TcCzsm89y/f7ahsKLp
CpsvlUUuxqHZxTggBXsCDFi2Nqdd9+q09uyr8mAgeRT1izQRWZSqIAqQ63iu5KnbIyR9aE55Mxdl
s2moP0PXm38YqD4AMzThU336WbwmQGgrXop00+uJlzzrQ5JmfqPUIVGYiDREtIJ3kihEV0W7UJjv
ZvfwyuvN1a+zEG8HUFfC0aTscgI73vIkg5V+3F3h5RXBbKvtNUwK5kLW8HAyA87Hb20zUIpDYQqC
19LLlvdjvFQsdZfebCnUL/lvthnmBofBYXJ78t14j2LIoXVO/eJCn3yXj42Edmkgu4LcDQjYBVx2
GK+1LXfi22snv7FbUom7eW6ziDWn2/M534/jHhIjfPnCRnOyd8OLVwR9uETv7vO9ZrcnGsTeEl+k
qHo+855LEC//6RpneGs6bnXEHJa2Rpa5huxIT7T0LrRDF1D4F4zz55Oin4YLu/4gMwMdVUejsG14
5nz6qZ3Q2H+VJ2UlBW1AvFdUvbEl2+UKoNgDbYOa2oh742v4vu5Ur3mbeVllzROP8XUGpshROIGi
WlzVwVPhYpQrlHKrco09acPcpRodQLjJYHSJvaYQzSsyT1EtSOHpVy7A7gWKxpkC254vIHnHoUBu
BxvpcnZWo/v84bGwBsVejfL1w6n9WTSF+cckG1TfHH7IUcP5VicIMTm4w6FYRImAn9yQtlPDi6pu
pZ0ywOh2CzcWNXsDwLRaF2s1es7r5XNbL+/b9vhYyxSdW8+bc8fBgtuZrFgWnSsZMK8jBfTb6zv/
DevMON7+lEvQXnQexB/vjTOHXX9cvuaoyrnvubtRo9P2M+y5eevW4W/ANGyl1AK2W9p4vwh3XxtR
OVcD7YdrKOXfAWJ441QwUKJpSQRq0ng4r6/BDZP1kIcv+3ynAgGq8yTTsIEvm2tqXBUDeWMIKziW
AGUVmFuA61EIKMcZggKl5XAXXhU8cXTNpXfLFHAO1r9wPPerDqV9wwfBqdG0yusmryjavAYyrcAG
UeTuDck/Z2b5i8N0EymH+Mgp4vVcC88LJ6eksKW3Ypelbr4DPXuFlVsEikV3lxf7lfXJSdv6FCzM
MxaVLvPRI/fhRB5E/9bzbJ78rm7xwFGoJgXkXPZXp9hx1+fL9pz0lpHb+pnWUuDtjcpaXH09uTQR
1PtMaiA5gw1cZGf8rq/T0SZ8frbj2IcJTqWFwyJcbQn9Kyy6iL2EHAxOfYxASkgO8BqG+fJyVF+d
s7UvZLRmn/RWjS41Vys0kISome5tboTpsv3EsRvcQpOQnz/634rUUWM+bguIqvtS9zoPShbNJQ1N
P908P/JwtxE9IFa7I9UCHg/zBr3iZ3449jCV330ppkOpjdeFcvBgtQOYnL0c0RA/0iyotDmlZA/m
wV3z4CB1qoH5JU876MRlu8UzEAlty/ykokzb0zPnuUki+FeUnH4V5V636N/LIyJTnf1Q8l4S5/Jr
GbTyKyjSda06kkT+jZ1/qishyhbqst/0a+2g8HNHr+pe/RzEfF5Jc6PwWOhmrqaTD2ndHWnFCj98
09IXo1w6sua3B0pcOzkYCbIiW+nuAoNmcz28Nd5dsG6/MxIbr2jK+i9K0Ma1glsAccQODJfvz5w1
B1ijyQpGSnCF337JFH4VQkH8rbqvFMcV2Clb0mkYPtGGaQBnL1cVt103hAX+UFWrAT7HhSERm5Qj
ZkUqEcVguNKGQvsBfpx7DdB/WTCa6/uBgyAB9H94s/tQw6OH2ppcBikULlOxINydYfosIrB0QCXs
a59K45YMrHBwhDTQ9iMGlUIxCI27Z5MCFh0QQ11I6K4Zf9+M3BnJgviS2RnvR13SUI1QesTCUhDo
wKjDJ3F1u9gHvmUPuX3+a5mnMsVq/L3wkqxrE0mmTDS99HfxBWYRS13XDzX5v9YgXgj/M9Ep8rwF
LXJMc37rQuUdBu/B3ptIkbYyVz1GjjqqdiP+OhY0HDIomRivDIzrl9d1fm8uNAaqDobYf/1qac74
Z6+Wcg1EsIR8an+nLDfbRpZaiUAAKhp8MOCNFKn2M+zmeTS4qlsd6cH4yDZIwLwrK5tNHNt25g6R
waoKzjfbZJfrGi72vn5GqKYPeIEUX/fjPTg9wQz9aSIrHBBFFHVBcRQv4iEWJuHjZHP8gE/64/38
jz/5CKo/ssi/8tdQpsm1/ru//schf/Drf06P+T9f8x9//isP+c9v6XzUH3/6i/vEiTlsm59y2P1U
zb3+a/D59JX/r//5n+FLh+H18+//9sqr+oOf7PfPn0KZCDOSTUXSRTLZFUmVJBTi/yLUCfE98uyf
P15d+P3v/8aP6h8f/9dQJ/kvtK/wrU060nT5T/0rMgF+mmmSfyuTya5Mz/qfoU6y/heyVDRRlDRM
ONSL4wL4a7af/hdjpiCRxpqh6qIu/rdSnUgF/PNV9/cv3eBF/El4TUSEVGU4LQYZ1FZqIav8Fo3+
Y0GXLcAnSk0ywEj3u9HRSVsfbg58eAFRc+ilMaxUgLQ+a9mMCIQfzGrwYC82scKMFJJxHWI7Qc3j
H1NbmAHfIn2ErC7RuDdRHtrdlsBA/jX+Ed+ZohuGfPvloN8bcdMhIM6J57Ru54fqozWETqUkMhq/
6W1Ej4dQ18kHh2pH/nh77XnwdtyXHt+HX7wFDo2KZwZmUM2fX4z2Iesj4Xep6cQnkYO/N9bYOUHp
ifoIKohuhz9yKIViQ0tNfZtkiUswFjwvGb47u9C9ikcx8CJX6/fawvh4Js5EV3zwbTq6uz8qRMVk
SyguJn/pAHRdKxu+noAB03uxjN59ojSMDxXfmnMzHTL5eESO99rlo73THWYknvFRoHwJBr1x+m/Q
X+sH8SaVvhie2hJ1qH2Lpqy/0xSYP6ykA6/M+DG9+BSftAXJOqixYlSxAMPGB6T6R/+dQxV7lGok
ov8IHpjj7rvHI5qK1XkPP4BNzZYPhdd3Q4fjkzzBMYGw2emV8gQz15weLB14F8Ype5ue6tP4uJLm
6F1tLXXLC4E9lYc8ENr/7fbGcJa+FZ52TO1xO66QY3QL6XD/yjwocI78cAek5VVvY8SABO+OLu9U
zyF3COyYcnZwHI1uRvyIR+PXIBII6YuKw8vhrbWkexHJQNXAjdKP8u6I5boGrgxwCphUu/jULzO9
pf1bCdOHScVVllUTdgBQdNpu8bUXSBws8ZuYKWR64R1+Dq+QKFv1DPfQSoX916z7x0Tcz7wW2v0V
dB5g/KKqC5vSeUu2oLhRCCNesICXrd/fLujwVdA6MN8fj8cPOiNdzZf8xsO5xYUE7ISc2AdKc19L
++FUa0KdkcjMxDORfsXsdKNr+/uJ85yTeruo0NyVH1d4jQKRP7PJAH/8o/FiEq9LXYly60CYecy9
NSSVlm5TyvrEReHRz3wXoUhGk8pahgn/gsOfvS4cf9GMU5LnKqdrgCIOozl6/yvEXxfMisKusOmZ
VLrhOhRuzqifr4i1RHDvRwS3594oV6gClKePaB7j3/4h5P3G1r4G2xfGQDMoh1goHCMBlObIP6ZI
YAziOxW5/A8ikYNJEhyHhRUzaBpVKwXVAI0QbK5DffK5ZOKw3DVhFZYf6lv/S8YwcTLDG+My+kH1
jZ//b7biXiA023rtmiqkxz4CVnALr9ogSrDwfF7ufuK8bIEwYAfW0rp6CSwIHnM/DxP7V+NUTJqc
m3rIwqLXTnTuq0dIsItPbcWqcC6lDTMr4FL0yGJ2pyi5c7JAW8a3k9zVIllcGEWtlzNYRw6ubrFh
MrBFD5mHRZu5HZkOJyC8hzZXhKsuYosx0iN81AEVKM/oKyi+pzZ7WKeLgq0YJt7KgsI7mj+0KDuK
dO7Xsctq1/vIK13tF+kJ7cI23yF1vjq0Of2KuwpUBT6WjDJBOv9/u1fTGIZBio40iRD3mco++C/3
auousDf+zV79zx7/17169heNtF3NlPnu7K8z9sLup6r//d8Eg/8iQ5HaFjxaMl4eDgD/N4CRV6FJ
hsKDZqqq8ai/qW4hrdEkHF+X1Clb778Tcs+J4M979T+89Mm4+TdqvafyKHW5idUgGwDDseR8dQal
w7EV+62Snl8bhpKSgHrA+5SqZFTEE1gL44jpWCCtRIN1p14w6qk41JGoXrfwnfUL1NQxHiYcOrNK
qaPCgnQy4esRtaS5tux35di9da/UniQLz35XNNt8zBbNCrcS/D2WEt9cxWF/Tt10EtvbVFPC/xD0
ofho6ea6Xy26RX6oFtXiEWrc9DXojDmEseQJ3OgltIX68ZRbp80+Ss1/5OceQIg8LjbIi/IIOtTV
rU0wvR71yJfMKPYlB28bG3LeUoXJVt2ub5HXwYGUmzaEOs5QVS+oJIuyr+79+naL4lNR2vV3tZvZ
KhzEjF0YHeKBnAw/2TGBsypuYPyBvNgYgEmrKCOk9qwlwb1P6FmnCDS6HxPiApTySZA5FJUaxMRe
6J0dr1IPpiXSYQLkuZygQsC+Zxq+VhEfux6o1GrsK9pbeUrEfJAnZVHKRKoDDlKEYfzSSiftHQFs
6mFX7H0fw0mSUXNjI7WJiWKph4mrRqv+xjJ0G4CNogf4js6WDO7PHg2P8M3RBV/+a0+iBQQi9gQc
//f9rA1x55cxxW6ipXNaQBDP9onKDjrxCZpuiO2keaug/xKQEpBuktT5XS/Oupba6eT/ePZUhIMV
or0AuQBUmKD2SS/7nRxfANY87grGQErdWdxUF420sR+DyK7mMQcJRjAKBQsFRY8mphGrweMfqsp3
UYb9LqW3ekYgDgylLc0mPX66f+WrwSD780RuSIucONuL/4u781qOHLm26BdhAgmP1yqUN6wqer4g
aOG9x9ffhZFGw+YwOFfSmyI0oY7uZmeZRJpz9l4b3efYvcr+nWfdWTQF/Qkm1aEFugg4VXQ+um73
EZj1WtEPlRVROEVKjXmDZrACiyxc7BOar5BNeu9gj1dVtaZaEU0Q6qNSGMgW8Zt5jqZcUiwAHfwv
9BUKnCoLqREGZwOJH3EuGwmUjEkUt55ssUHFd0PL932rdUsi4TvKtkGeOI12cBV5bzvqokSVFz7H
2a4NylWqbP2iW+ZQbkL83p4Xrwnz9WWgCvXE+W2dNMCas9G33d5gfs38pyY56OGikrTZeJIE3CSo
F+N1dEwP/VSp6ndpu+7KCww5+jvabXDQHqWjN27DEZTypI9esY0Rs4QSfUZFayamQycBeNrihr41
f366PPEEwdZSnXKfHAWPFEeCmfIRXIILSngn36f74pjNaoeZO4vxg7ITcvTxrvLDQGyp7Ny3s9fH
GgHo9PU2s2trRvGuX0VOSr2CE9DsiLRvSWmSKYfR6mhc8ttubV0oIFMqbA/+KlgCvTpAAZvXt8re
oLAZXsoCgwkMVGvDIY7tNj7X2izMbvM2xifGg4CswX2js0LhKMCoKpboM7FGhTxM12W/0qCC8Kwi
xDqSTqf5c/S+M7y0s/DdoDydb4sTuDqtZZ2kb7NQkMXQZkR9rQmYA3OL8tfQ9E+1//Y/vNdObHkZ
tDBICMOeCMI/3YvZF6lp/LLX/vXn/9hr1d9Uw2QztWXo9cIU7GV/7LXqbzYpeRNkWOP/f98G/9xr
Fco4ig1q1GRLtajo/HEvtn8jO01nu/1XXPgf5YLTP2pC/yhOfM9AmCpDXypHZJnLGldsmwzyrxgM
2x2HuK9VrGcEL2Qdytque/304fxzyM+YhW+k9wxBko6B+1fwRn/dzDsllvKyGxiijxapLVAjoY8c
h8N/MIwmYysg9pwA2C/W/TSWAo47LcE4GlX1DIWLVu47hIL/3TBf/OtyFkVaY/JuAil78wKxlaPm
Oi6s/3KYLyegsk/btou6ci3l2iH33LM6hvdmbG9+fjffOLahoPzrQzO/lOKUOnXrwuzLdaNgcbCI
ysbFrEnpMJMqv/0busL0Dfxlrn0abDr1fTrVlZVfjU1AeIxBk0sBGeTjAA03mJt+flNfSz0TevyX
d/VlxnmZFptdxYeHMIizwUmbHVmdWc5/Hufbia0Lnmy87pr1dcbVudubQdSUa2hTJvHkOria7j+Z
1Z/G+DLdKKlFeScYA2rftaH1r36VXndecv75rXy7DHAngCzL+V1Rp7f66auJzVAxR7Ms1yLChywP
4boJ6uv/bowvtp/WqmrhkiizDuUWMf9CoMr/eYTvJpgxVShh+thkTH6ZzZrdVGMU8WwOxavpdSi7
pgpyQC3ppfIf/4OxSOISMBy4L33Fo9TRmMWdyLjtYtjDQ+SROjOzyZ3RnJ8H+u6rMcigFiosehvb
1K9fjReZEhHpIU+NKm80qXKUprz7eYjvJrLBwqmIaafSrKm98Onbr42htUPXxVLYSGcjJSQkakFQ
jcufh5m2ur8sAIZl6aD12fh068sM0Iey10VgF+vcQVW5h4uN1oR+H2AK9A4naGeLDGD8wTw1W/tx
+GfA3S91+s8bETl+37yAz9v8l4WhDGMtCnqjWJcp/TrO601+7ZvI/0OQgVO5F621rWcUCNmqWoFX
2Ub14mOZUaVi2ShQXofm4Ev6Vi/MFbGKlHKbfG/7IVVEPMo2DE3f4x8zymaXyNwQS+q98Lq82os2
yggfU0285xIOo1F2mDpsbnVF7x5EB/K+wPhW9vVbL1eghrqDhXQ7J345L907P+rUo1GQyeSTbbVo
g3xhN0gRyUIaluAoUkfvjRfbHB7C9m40yhct0x4bT+13pkUCll4tFZ2ki8YuHQvQdh8JZ+ho6Bvd
MvK656ygGmfpcdxBNkTf52v+kvKEida6gb5idCCnmrqrVgZhEWtDNGjqGsviCFsX0nWcJxQZG9U1
XWRddv0UW0FwTDSNOnAv15S/9QbChpfRnokje6Xn9osI8JzKo2hQxnScoqVowGinIG9rRuh0RpED
F+zuu9BwtCxVsNsl2PSC6JrUL5CAnafjMuMv1V5Xr+zU+2gDVLZSrpRY9qyDb3OBSMPxZrD1daEW
b1Ra9LUiQvHA1HwpNIUEtA5Um8bXb8dBNY/zajxquXxbQ2hBjSnfJ4HhHX1du3hDCIErqgDoFfJ9
L5t3jdVA6aIoqLcEMXfGvIpQZfbtANDQbU6dRuc/GRo4XcIP1rKQn+LAbRY8F9dmxxzv7fC9qzjN
q8rARK963BnGPFGNlwSactU0FIFlfO2+QTxL6z60wGjtqeWlotixNCgByrygJco5hwLnTWPSEU/i
XUbnVBXksSgGoS9Qj81oP7TKMuH2EPRQzaWIFmA7V5RJaxFfd4r2DDr4KZelTW9TeTT8CLddmzcY
NUrsKl1tatBDpXxgEcWY1trZeTSGm1gzPwqyMmey5i7QEz4UkUIpGyd1TLO0MWpQFMg/LdA7UrPo
kGEUrbLOioouMr/obRWJIHzd8s2UJOQiQfgqYTpuVd5yaDDjqZ4otDQCAKqSBOKkv3Z9rNBFV5Hn
i4ExNT+kEStRK+1F6R4iHzFMZd27Uflca+4dC9ncBNLQZelDKivLMRh2TZWuhHcdCvfeNehJW+Yu
RkCsNGSt+Zg9MgN/ZNB7TkKKUJ/5i2ZgnwJO6iOmhiSHJgprLqFOjiUlGxOtSoGoqEj9rcJKokJe
H5p0GxkRc3V8UAp630I/JFQSfNqozdQw4vENBc3kEO6E/lAE2q1sAuJU0BKqh5yifR5MiUDvdc1q
Y+FOTwEcohHv+m5ZIaeuYWnHmL57iJVeZ819ZLQ+URYktzqd70OeSnFvVfPA4BGnlmRJV7V8a3Qn
q6A0jDi5CcWjYXm4mGmQkrttIEM3yV2tU+0gEOwq4XCY8s4Hoh4Hi4u2FV9qor/HRqxVygCK9Z6U
RxBZq8zvFsRhgvynAY4WQqT2SgVVOEqzBgV58zCBBXMFeyR2x5JfR/mLV0FDGcxF1rkzP5f3MbWX
sQJbrgLhsPDzKaCwyufBRAnYuwRsefPSKpyM2KjRcmeqMS7cpFtr7bXl86n3zSpMHmslWRi6u2hw
3vbUnTinbYuBiD7rJkBe4CM1ifViOWbkx4pbz2t2bnFfQjiu7fcYK7vpqwsZWYHQkWTzuffgcgv9
JUVyE2P7svj4PSNbCXRLHbYAHdOyx+s14OBY8jnHsJfWa6v01wJDTY4lTDPUhc41PKO8ZVrhMYFK
K+hcc+GbdYGOfBLvzWBucvskSa5TIw5M6QZZY3AsItNJyT/xw5uWR9Qr26Pi+fsBVE2Lpw3bMZb8
HtVqtuGquVZQeoySOBgq/T85AyiuLNzCX2YAAsYoXdUSXZLk3apupIQOZiCtraZZmAXqkU7au0pB
SIa2GuRqlcMQCLViHWMQjcrrNKSKoF4Cia4RCbV5ze9qq6zvnRRjq03BFbr6DrAU9MyRXZzWSFwc
+hwTn6I/SAHNAAkhGYRXEaHNje5jyVz7kwpK9pAaXSgkZbJYcqJhWVK2BbJGiS4+/J9MNeBx25c6
05zWUw5F4F4ncrIKhuZKIj0j5u2lHUstfO2BRN2RukYv1KXZJ/vK6A7SMKlmQ6R4fb4MIyR3Enp+
+cFToHv66BFJQ5AmN0esLbrRnNcpUw6wTeKnOxOIipbIWLm0eZl/BBQpXUqxrtIvTA1UVB/tPLHN
WOMlwdet2DMOm7ct5Mw6FZggk5XImbysd+172ph3gda/NHr6oJkNOy9BGjwuPiDysTcICQjnAQAf
vS8RhfGV1ry2Gm2Vquxr2l6uinsQZWSvW3sXd3mbkCmO9rYxc96rNHONKdkj2kctgJ8adzEmyP7a
EAFCmmgBeHPeKDcxT3DRsluYdLsTnEJYNJo+vS30keSPYtHZPTFq7cIvh/0Q71J0ZG364eFcmTJa
Tb7aESCdLANH6iMi096FBKEKzoyFBy6Th2XT5fjFH3RS4AzkkiMpkBI8rYma5DmjYs9lNyK2jAwU
zkLj8KY2GGECb0NAXTECoeqyfVRKj6pHLqNRLWEwAJV3Ur0BHoID3czmtviQ9BvCJSGYmlRm3/28
OulgfKuxm494B1vjo+kohE9S1UzZtNp4FqLHp80kV5Odz0VT9giGca1tW6qI8ogQ8DHcKnjZQSWE
ZYfYsHV6UNTg0mYaPEeV1hyFg0Vu0ZlHPUKvlPvmwo0lokShl+RvDV16t8+uUpO9NGnxJCCnN8hr
MLg4RQi1CJWTq2StQwdGNhTqxlqRJZoQLWzTKRFGODDULkHtX5USOjr2SBe56pAJSOroPCPdGYmq
z/kqVcAfRMtKgbeFnOqUjT7TqsrJ6w/u9ZvR9uHbUv7mMKWhmEuwAWlAgSo2htBtiGYgZB5jtBop
UF4xy9npnKPWSsARZU3HLKeweRhXNqukWuvsUu8ygkxXnGBZtz7ax5Q2uz/xC4aVUUBd+/1K8L+o
nZmqCqSVcQejjKQDpPzbGiE3tS81wq8///+qEZrGlG2kKAh2vtYIhWLRGTRp/anaJLP6s0RosOYL
9DOarKqK/G9JZ765gFqyYShcdm37ryFLsZH0iZIP3A5xacQGfjJ19/PF8JsRbE2gCxI2hVDV+FJ9
iGJP9+NhzNdud4npq/j531Rqvrt5/jLCVDn4dMOV1UhWq54RyFpStvKxBFdtL+NlsqWDtwnvxVN0
E+7aY7EcUAD8/O6+uV3/MvaXUp4d6n5kThLMDLtRAdYKT6CW3Pw8yFQF+FJb47NTKeOiwrKpZf/6
BoVZaZpktLT5q01h496oRmzDOGQMUW/TXpsZgX//85DfVFsoWlMvV4leJTrpS2FCMuTGM6MyXxvW
MeteWvgmjXWnkn3hvf080nefoCFT0oMWY1Gn/lKfMETlCa5u+bo1ok0+vBVmtLLa7c+DfPd2Pg/C
4/15imh1JnQ3jIh3wkdXoT7nnaV6vq+8J720/mZCfjfjPw/2ZcbbYRQYRs9gJi3GjkNGY/0dy/a7
Kqhtc7Wkj69YCEO/vCHRF4VSpRJguEX2AXoJHRby1CsTA8uACfxvKsnfvaPPo01//ukJM1ROY2ns
52uViG+FLBXFvfn5C/puin8e4ctnVuZ271UVI/h7StNwH6/BGbSXfPXzMGKaTV8fpc/jTBPl0zvR
AtkSpW0T3w6nxHQ3Ce240X6VQwROOsKbCRSoaE5qFOeATnFc7n9+Ad9NRFvWNL4ypJGIMX4dX7GU
Us1NK1urKlbtbQgoH4ZevbTC+c8DKd+Uw5gh/xrpa71UKhi+E4zEuX4JQ2X6jzminAoHWuMycfyF
7TSLcWnNvaVLx/Pn8dWp3veXTxoRqoY8VFZM5ctz7XlVN5g943Px3YebAgH6iBzRsWdX6g4l3kzs
ETtQidpEK/kKfTKmjGVMLf+ZlCF6s8O+nN1+gMN0/u6lfTubKYfqNOcEldEvlcqWr5+qu+DZiXIo
g5Yjay8/v/nv1rQ/TxNEbv/6Lbu+a1X2KGfrwo5XnXrOhbQL7P/kkfnXkUX5fap/msqBlwqlyRjE
6aJt+QjKCG8OKof/7q18WWjknvCRRCJXwMJxkyMt8ZmwOk6Tn4cx7W/qx59OUHw9v35mhuFVktny
dlQ12jTRmyuQ5kpXOtDeQd8RAT/3wnurn9IWlmWBLADvct7ZLLDnoI5OosdH6EtpNQ8phyTcGke3
V+ddV4wn34utiyW4Z9v5Tq/TJbvtSs65ERiDgnPEIEwbuIXakMHaHDs3Qr1GjMIIOa7k7rbUBI4/
CrmhiAcnGXH5x64L14i0PYlDNt7WsLrRBvKWtdwptBreOyqUvMVtUmdIOmv5YqNCGg2Ne5b8YvjK
VRN+2Em38Qx11cT+U9DpZ33EusMFwY14TKTiJY9zWAboiq3KeIit6MG1JwEM9iYbA1GexxmxHa6/
CYyrxAQmWBevkUU4uEgOJld/zD+hhDlT1OdcpcRnSHWEGVrNdWleaHkBE8Y2r0IhPsooyvedpgCr
yGJkezaIj1FpniWzBH1VQ/lvUwzXXkPUT2FfurzGNGOp7VqxQvQFIVaQxrwqpiUUWS6UGm2r6ues
PxjWIQlWOQpWWX4oWu/dT0JfUK3Rr6o2R4ZMgXoocdRSsLZ6EACZBhxIxtIog3kJ4iO1RhC2HnjO
tj5KSf4StHfScBs05bm21Zd2SFLMZdjSrKlc3lA3j4s+WBhShRsuH7gVttK2Rmoz+qhe+neTontD
8T3Knbopj0IS1+5QskG7AErHcGUPkEK9bYIuVCRN6+hTHT+krJIr/ktIDmeSwy3rGjxEcRGdPIr/
JU0AZQwXOk2BePAuRtq964q5tV3qA7BrCyItLVoINa2EbOopaDQXPJoMGqiLErJUJD6qQgYihlmM
PoRgMyjc9rUBr12i4pW7cBFBQ2jT+txP32oZ8xKBXuKqjwZCgYCu2sOzhj0m9UuQPTydPvdFcEI1
Rl4JglhUv5kR4IsBZkYUUQKJcewwODYzS7uSMxL5LkrHrLBWtX52dTBfab9pY+TJYHf6BDAGzru6
1vbl4O2DsNnliKENG1c17BbLU+dhfD0KlocWDzsK3go1FZo4dtiWKDmV8muHZc6W6Bo8xSPOb6RJ
GjVuup5RZBLaZM6nEqxOvTIk/FCE+iZOupkuF44ZAYtIHryJoQYoy/I8inbFBgnhpiSnJwOE1oK4
DMBR2yVK4UECZoDGmZpkKy98C4oCYN2sMw9GAtgsERc3qXeeClpNjjeDO25VJoNU185QlluVfmIe
EP+CEDvL0I6VGHvI/oi5hwPBtl5KvdyVWOxUmQ4G1VA6NOB9gKqhNTLeJiduH/ukB+lzQSWmMuY1
yehteQz1qR4/nFQslWVNVc0jktUtcBuaZGMhBDNLlwIwYbMuYV50UZVlWiPb8u2dHGIuhncsZOVe
Y5s0UuFk5FAHCl4FLAbtMCxUWgSoNCi/wOtiTbQxLNjt0aypjQTRykThL0G7Yf1d1IDA/McxgvJM
1EI5WlcdiMQWnlWon3GvLBsVnVORP1oK8jEb4BHKy6qhcGdvUhbLsmy3Y3kqkqsQ+rmfAyUaOCo1
+NeCYwNgTPUeRfKEQyKScKjq2aaqX5CbYYK7H0yxGoqJdukvXTvfR+Eupfyr5geVtolN04R4ReTh
FValBNeZAMeiFO7KGtVdoaYY1mKnCEjz4SVamnlnEgOlQMZFYaWoHYEl1k7CG5moiLeNx7y4K2qJ
dom/8rkvKTHWx5bwGfaPOP8weHZdM9/Q0FuN4YuUqnO5Az/qSWT+bjVkgGmy7avBsXkxKUXP1KLF
BqFBuFhQo8opySeTYnwZgXU1AqatoucIqk/Re3ulzpdNPFXDYISEgNhr4EbySqOEGkRI9yr8ZV6z
DkqbMuCdZGLDD4KdwZfGuQHc652OD8W2wk0KBrYn4sVVi5lKkgJBxD4NPEmvQYzpK4CQcbyNwfn5
Hf6DBObzSIMmil/8RAHjcWiQ0Ssg6C36EeB+Qi9a9joLRa5e9149j+nImBONK4BlKL13JHrp2m6I
rH09QqjjJtGg5nG1fUfIoIbZLIr9VS3srdXZQFgfu6A8aD0JK3xErWI4ST0xGpoXFY8aVjY0QTYf
G1SErMd3519U5eTiqxGAMlKEl7KJZ8G2HolVu3QTrGTkc6E5JoEeMz2UtNLCztDHZnuJGGZ8T0y+
az1+LSg0CogLeOD6iSIFUMhjFQyqY0tDkViARrvo9kI2b3r/rLLk2um1xxkJXyAJxBoJA08qToGG
iTZeRk9emCrw7PbcB7RkDXJaW6rh8kIhJqcivKJGNNOpcz26Vz1OHxBZG1mbJ7xQ38qA6hwG3eQ9
tfjTgcUjzazdjz5CMwhtUVeaWR4V1wmcUNE8xW616pKPDiFklmw7Igoy/wB8vQCxXwEhZSHQx0ej
SvCxxPRrqrk5rjIaiKYqnRoLsL7L2YN+sFf7Dz1tvWjV8HxEpTqX7HSl0GKxyVgux9CpZeSC9W0S
hmsZAsGQ27tBIrKITLushq3v9SDZTg2YPE3ZItiadTCtQ4mQr+Yx0u460ttUJmTvC55ukA7DtsoB
y2AEUUq0qCizVVXfdCrwff89ke5d/DlJd/EhOKgRzp7orJPJWRlnnOLcSe+jwVyyF/KYQBXoDq14
VKJjQVvHJ34xWZooa/PsBVS81+hblVaxFb/5OQ9jTiKwftuCDynbfZY/1dCX4KiN5ZuNnjjWryNs
wS7t2o51nRSQvn3u+veGFFbPXkujt6qDVToVf5EciATckm0sCr29CuiMQTJpMoST+H7lVttYHa5P
LJMeE3SQX0MIlhp9YYmo8yY8tMGdV+Oz16qZJtMBrw+Rsc2B61ZYuxWPLKjgwTfNRayfNfEsR5Dc
obUEmGSE9KZ25gIOHWdYolCyyjHr9mQBz9FLH0bwPvPPsJ4SXN+pG6xk/S4TACmU3BEZXqY42Cc4
SxPoJgm1agvkQZ7gRCEmsSTDc0TgmrE/Rk9DjEJubDlIsZAmb5lkOLmJk55Cf14QbNfSWFGtiq6f
TAvhmRQTGs1g4UDSqDIrj6beRzl5FDWg+CJmQewWQdmzIL7IFIAk9WhirR3TlIXwUvTvop4eVHkZ
Su91Oi5kjqVj86oHMhmQ6KolLHPshLQid0FGTvWE58RRqwOgiVgZ9PI4EPSXx7iDsG3ZOlEK5Z0b
suXQ7vr9evG/WopWMYcQAI5DciqcfrpJTZ7Rf9adj88JXtBJzkU58Esp+uvP/1mKVihuC4sodI3U
tM/WEPU3Dvj4OE16E8g8DK5nf8pVDXWyf0zaHpmzKy/oT2uIjrCIqqRGrQHlrPbvWEMopPy1ZvDL
S/9Sdax82Q2VQJTrTM/JnR48R7GiZytmeapT+9jm2oc7DBsKrvux03b0zMhV4mQm6746d8f4EAUN
mzGzsi1uS7f8qEuI3qNxyRIwRAVrU1eE28QLDlGVUWXkDlc9KsAXhMyGb+b+bdtIL4YcvLdSgI+t
PXlKeUjH+uCBXYu5AJlsinGrzNDanDINup5lv/cyejcdBMJIvN94sSVIfS3guFxs0iFYWmO8r4kz
7/DR9dWh89gNK0OWBJeV7jAC2VLjYNkNdOaSol7WILoGlUz3jJhAoa71prkNE8xs4+DdhLrWrPO0
Pep+Sg4mcstRNrx5KCeLVKfJyrata7gwfQXHWYq4p1IgTpexcW1nePaNeoE46NUf7oW3qZtz2IK1
R91jgm10bfwzioqDLAo2GWHkvSyRSKMMwUzyCdNWJCJEMujofrPwfRz4XXEfQTW3Wveuz+05PfR7
F0hVIRULtz3paWHO7Ka+SBU7mcwy7fmOWW5LtXd0bnRpYaNrD911JOrrhkKpR/Zm2Sb/qFz+bz74
qA1t/GBUpRQUgX/Xg6Jz9OXB/+vP//HgK7/JukrdEwkgJX3ECH/q1JXfhCZYRVR9WnKoZP3h3rZ/
Q9LO+QvjtzG1HyjIfGpBWZYl+DOc3fy7xr/z2FvaX4q/X174tCx8qmR58tir/pCGayF165beaJRu
S64MeQMFelXA84VdVrCf/x73iokY5qS/kPWlMnDfWo7WpovWZQPni1R09aPrgiVef4Q0G5cdF91h
cq0Ub9YWS8SwqG8QMQ3gk+/0ajYeEyAzj+4S9SXRou3sPSNHM5i9sMdjDUZhgovkhtj22fvEO4Fe
biNkmMvXK/ohQJAf89n2+bk/tqT1EMnyHKyiOcYwuT1k6dyvgf9ctIKcYoQfXGdv5PY6e3g1b8ej
vEnX6RpsoKM5M5KR9/Ip3alH7W3ieLN3EmUy004Gx5ZH7ZHOMvoEh/wAdBWBdiQBiF+YJmaYbG8P
FJeWlEYOMTcrwI482zOQPOV6A6VdnSEZHAAxc6qYMFwwg+lok7ad7vllDLED+WO5y9rzoJ3Cft9C
Mx0ulgTebZNoDn+TPMn4xbpRLz2ulzftDQmGYMTurhpvwbWqfE9hDDG5wk5mEwrFYCah37mHBukQ
clNT5XQx0dYeMXzZL/nVaNOEn4MATIFjqSzv5akqsCeQycUZHk+RU2Jqg0M3a/BpgWmyO7RO5jyD
uhxCvQOGpCwk5AsLbquTcmhujUspcQIwQWSQEQxnbMib6sctPmDdiZYmGRvYT5MFARakgSvsKjdk
2Tix02+MgMRtJGIwkNQDYa/qopHJGhq80zMIqI00g9xC3Lx/6bITKhhYIJr92AJx0+2tllBkQLkz
5k9a9+pWR1neAk1xta0c3g/kBl0Z+dy2PxCNJDsdxVYBl9pf5e05Eoup8GiAy0uydSzzVqNzRF7N
OKx0Ayo9YsBzWt7qUGKvgiuoFlWCT7Lp0V04UPzQk3DFSipKPo6BkBUu03iAzMwJXuUwNQ/3yW58
ZM+Iarpdc58TcHGFLs22HUBywmk+4k2rvEYQle/w6+egVVfiRvVXiLDg96HrCmbx2/Ccu90cYjSu
danYDoLZDw5tj1GvrucuFmOD5/BYnQ2UJwdbviAxIXkKdmF/HBE2QWL3Dxylu8uE8K3u7XJlWjg1
Z/2N5Z8r5UDegr6kWINbb9Feg4GFqbyGWvSW03fcMI2lzGEkAj7Kq/AhakgitmZwBWC9ND1AE87D
kfsgZZuyW9ZQFMEdtAZpy/PCh7e2UoatMLaIVJRmEbqO4I4oUwIt3sfYXCk+NFd49DFAUcCZPdPa
hajDBruu+SJKbs2d/aZI1u1QTbqxcp5xia92sbHy4HlB+CNUbs7mRkLE3uZ+S7FLOY+ET2j9MsqX
0h2SXE3ahnjksfAFXJs2SXibFNnSeyPXd175+B+rTe89IKlJ/CMPQ0EZh/Jf02x88zHFr/GYER2E
QEc9xvK8ODU3XUCt6jlsqw3lQAOKj4xn8oTokkaSVOwqYhGaO9Fq17aPjPQwlnNlUyaodxGDOMPb
CisqrB9+JyYHyuQov+XKEZa7JljV3R7KQH03pPcqV8rd0rwPU5SOt5024/TEMpBAztbnwIfddF53
b0lFlesDLq2wXay6nE/IdF6H6UrNTq19zbEsYnZS2RUOPFglImCNc9bZFzd5dld4l9o6xv48JngT
pCE3cyKQeNDfbO5cgNPfPbQ90lIKCWPbQHaMSR3UdwHlS/6ZInyKwAFBhqqtdmWDvTNXhvIqG5u0
gBX/OFbPCba50hOcXTZ965hUJ21Cuy1SzoIXcmghdrrj2TKDvd1S1k7Rbt4o23iT7uFyXgfWnP9B
yTLrlcL5yM9zWp5UImZF55SEEIzAPh1JzIoPhoEtxy+Je8wwzLPKUDSffo9fFhFqxQV/Jboj1L12
YqKnKJU82KS6QjEn0AHL3oqf5N+cfux62MK9OsCuWuV7pXjtYVJgwi1Lh3nWQiyCCnNnrFrnwPQn
rwrUNqkjnYnWfDYd4TBT8/vNCny/+ioemgV/O2GJn7OAWckCNSZey4qAcX1W19tovOIfbOOlO26M
aMtaor8SlIO5Ul+SW4zGsEe2DX2LtHD3rGxrfJTc9gIXDFtKgZSsr4btmWcXTbyg+FLPwfAW+l5V
ccoCUeBqy7yoe9oOoE64ScwL464x7iofSO6VUp9D9cDOCWIS4BsEgUV14sf4QxlOBJFIhGAna4Bc
3U17lPckwc9R5gHdEgti3kW81shB+4AGAVrAWIoFUs89XlTn2K+GTX3urqAAUsN99637lIi1aFkU
6+7K3Wl7a91ePJ6rXZ6swcOSgy1ZzrDxvLvKupSEJlLHPbq78lye4216NrAFb9Fi4brsQaSgFZ5V
yI9hJriLghcjzztuFqyzFTffBCnNsdYkpzGXvUyi85XdTgAzHmU47ARqHa1LfEB15YLJBB+BoDcI
F/z7nOhFcFfl10r80AZHO9nnwd7TbtvgLdYh5S5U7xJrrxbmUvUhaN6SkcgRqVrZJ0/+R5f6f/TU
jKcTKBFqKVsgN+Ti+gP1SDENzrG/XJf5uS8//8epWf7N5g9V4mxNTs72dCf+w90pfhOmQQd/Ovx+
PjRbv1GHNPEbyIYp1N9tY38cmq3fsC/J/DNItgzBIfzfOTSr8l96zL++bvFVMeGOeZYIdrK06qMH
HWJfQBMHBXCeU7NCxjtvi5HSGfuPwtIgK1Rw5VNZK2uPanLQeK+J9SwoYcVu/GzbT3quE6NzyIl1
USck0tQSiK16oVAtRNoJNNFjglM0dO97hBNC91eqXm/9dCRGDRqNgvOksO5lT0ZZnmQnOxMY9U1I
phqY5S6zgbcgPSDlNNbxaEckeenZxaulnU81rTMKpJsmoTQ8MZq3aBDgyhPJW+HKWmWQBSD5PRnM
9jFeReabWV1M/SzBMaBLtFcAYOv5C0i5BkmjQpM4JtN8rE3OzZDdOWZpqsQNNXFYCNQJw81a1ZnS
QYwvfHJkcu8pjc0zNXHAms2bGm6Ecp+j7q/Zw7Q6mXsadIH+qbfIOizBh5bVLApvlYHDjHsiK5TU
0GSWFQ9D+qBy45jktcMo3RelDw+o3CZBvu4F5BYvXfieWI8cQg2aKyrbyEieYEo7ualQYnbvbg0z
E4iebOClBfRuczxKPLJb8nbRx/cFS43iEsvQXht8PpYLOK26khqiqBqY/tNOG2B6sQW3pFuA3wbl
yrR9Q5M06/JDB2K/y58s814iVMUIwEwUPV1wthYJAk70pgY3BaCAsu8OdR/D/uwBQeLYp5JoVY9l
KB0zt5i3+sIfTqV3kogiCh8080qqDnV7LUh8ivdyeVXkV638GIF9zvW7lN294TvxuTw1RH30JMVY
BoiZgcuIT9Mux7Bhc51yXyOQ3wCczfGlVYedKKA7Q7B2AWQG57E55SKeM5kN7oN2+uaa7L31sMU6
ACA0J3f9xS7eEvdNsjnvCHPWFm9y8CjxXWtEWzXKHc0ZGN4KwQo7xF85NeXYpkencvHwwTCX2rLT
30VuEvLKpyGTjwe6phrHS9sU/8fdeTW3jWVd+w99cCGHWxIECQYxiUo3KCUj54xf/z7wjKcdpno+
33Z1V9stiSRIiufss/daz1pbZLuYVGNwnE3PWFbVe9lJy6B8k+fPm1wva+2C43o55a9quxtqJwwf
RDrytXTOdCp8+dM3QnvyOAgYeX0rS5GWMINda1njLBv053C4i1SYl7iC3DDM1iE8bjXkPNidTY0y
GRU4oEMuY8lnQEVTlotXES9MmDOSSF6y8CQMzyYmhDYHOaANq1bHjmI9e/SbK4LNxXC0e40DLpJI
k59QtCs7FnaBfFtCqlbA4kZArQeGZd4cGpm6VZjzCeDc/FSO2bLGEPkPbsvqCO3Q2+o6iz4+q//Z
lv21O/P77b/vM+oXjNMy+kfxN7qeCkVA1vCh0r9hW5n99T+2ZaH1WOwmJsgAhW/91ZbFtmrIFiAf
w+BypT/ZahAi/9qW/XbpusF+Rz+aOu3n/gxigTRGUdKTEkHHIO+bfQ7QmhNugoi/FnoGKcrdOPLR
MM6FSBSFnK+K2LpD61uu1WHcJCkVl06EotEe1fajntwMOmrJYbaWozXy4DsCOey+a9Ytpyy8XJQ+
uAIjWKOT5/Q5xZIyU+P0R0/GYUQQTJF0NAuihcYkVgGNrRlvo0/mQsvRRxkOWSwd2uYjbGDxYosT
Pe5NuI9l5mTSO3J7GznqUjG7lUUhq1pXgUItEAx6tjQH5OfIexGh7vsam6O1qLXu4Lfw3OSeshZa
HF49kwU7M10jbFxZOCkMvwaIlDGLqRBzVMNl1UHKaSqarkxv4orswZZGrcf6nErFNq7qncfISK1Q
xvUsQz3cWB0Z5yTw1GRioOn8AKYJfW81FDDvSWtNSUvOLRG/Vcwwa3QKo4bfkuyHrt12IiQvUWSd
DOTTGD/R7d0Msy6i1UEl+Lhtxg0i9HViVasgehEKQpRn3HjYOb5mER4DIKcgrE0YcA/grguxu3e0
M0qRNWGC30+ErpZjG0kuGWqIHNCPGNe7gQW+ksi8gbAswTdW9EtWvtDNW+BAYYsyHvyKY/YkrNIu
JGfgs2peKJHsnqqWOZslMgQufCxN1kYvxE+tYNc3BUJJkmTTpOVtNDizBygLFo2A1opNpqPSsLy9
mMHZwwrYwlCx8vhNms7FQMskXNdN5JTicNEKY2EQWTv6/smb56pwVO2yZtgkQ0PoreTOI3+0D0LC
6NpdV6a7kfTIlKyiqYO+Z6pbK2ncHsZfKR/LOHcKbXrMRw2FGBtnzoDNB64sS9D2gm4fkI3XJwoo
KMav5ajagUT610CsjBIk60Yn7y7Pybx7SjWOiXpwwEl5jS1CtIamwOBkCYwQQScFWswRkjl+Qvsh
e8ikN8/o7c6ipLJO8Xjf6tox82+ZgfyE7IZRuZOTx0B7Vb3XtHP9eDb8ZeApv4ZWt9MC1dG07L7q
jL1fncR5ohc+xDlHl/bQWEhWiCUZDbJIKbqM/i4kA8mIecGFQyzdctJ+pMogmAahQP7Ujy+DWkHU
M/ncgMkp3qPgRaXnVk/MEsensrgoEPOwWawVzkc5x1nsmoGSbOIywbTF1v4gdiVzxo86R7lSji86
R/5iKmxPDrd6mDvYEU2BxqVFwlBfN25WN+s06V1JJYc9IgqjTdwwYFSrEFMF5goe0oAjfza1sto8
m2hydJ/kdItybeTgbb7gaL0YoBlLqTiq2bBNhbtRIVqeU2lP2t9UbSWUWQo8QMCJCM93uVQ7Oroo
WdDfcF8sU+Jf8Kbe+5mZsMfGqNI0WhVGsm0nAEJlhHmRbMkhh89tDMSuCIlG7RG1IJWZDdGHGhEu
dkm6CxVCsVoi+bpSulNxUVZCdtWQLijhmkjP7QAlXxmFa2FNhympSMzitRoKtmmvPFUCAZ4iLaHx
uRaGJxUD6zLR1PvAwIg7Vh6rsB7nLDUpIt+GPF0L4lXqq7skgTzeJAK/TS1KG3XKlWXl1U/e2BVL
2UDOmenevtekx1gbD0P13kk4yiBWJgMrUZCE0E79t96AgG8Od/qMhvKb1JHNwalTMH5qXRwjmrIC
a9OEdMZsWD91PsS9vk+T8OB3MWFt1RnQCeEPSTGsFD5pQhSQ4YQ0eDKlTemZjS3248pSiITzUvCe
s1amiu6rQN7qKZD7SQhWsdDx4uZEkvOcrk0CON2rQNskAdONRZIii8Lv5+OcV9+UIR5uWkTHLcmK
4T0LBpMWjUjEoxpGMptGHogPYpJ9FUeEF5qeZ6sm7bX1/2uCpLDG2hggZLBQi8kJOYVTV9Ppn133
zMw+zEGzSWM+7P7d+VrRqA5+Ol9TPPxy+x/qHo0xtMk5GQPSt5nz9/O1+sVQdJBFKqCqf0MM/6p7
DBFnCmMpBaQwh/Af6x6NU7dlwaEw2Ef+zBoFWOi/1D0/XvovYv0iVfU4NfC5Z2HoNv29RjtOqTBQ
U7hExG+1lWxb0b4AZJag7bnvOGvVrNwdgdpBT6Q5CqWgPNcZoqwUUGe/DRRib5U3nSNkNz1MtOL6
6RzGKeE0bABZ6o5Sio84OupSb8fdvUC3NmoP2TdlEVg9/y5Ui0tSEDzPGhFygFGZDMQTh696bbav
nUJaSWSdtEpciGiOZIZnTeORXXSRo0MxyKgVm53evdUwY9PwK2d/LMv6IczDgc4uQ6apAuunjdpm
ytu9N+XvE8nkHjt4nWmOqlJI9aa4wer7pKuA/PPGu0sUr1BWsdWlhBd1E0qXhI6wzAFwUNFkBcZ0
1/ameczZF6apeBR8DMtDqbHNY+ocEM2KXXapDeUpNhjhJ9NFHAw3E2joisPX0oQ7b0gbWS8+Eqnb
K1bFZ5fGpYVExmwRmoyoPzmN04coSDLQckzM0ngnhDTYGksObb0f/JWocHwWW9fLJLebwtROUCEi
hwYHmZKY1czLOcv6FFn+smGhLz0xXHpK+yAz/1HYCsQieq7Z2Xu9ofSKdxJl74DRvCKO2SArJgYI
TFCKifRNvMuRAxRsOgVSxJ5NSI+EF2EAz8jEgy3KYKvK2bIitq6eLaxkKyuC08TGFrDBBWx0Mhue
yMbnYebxXv1McXyjJf87JueBTZJCbOTIy9PbNn1pa2ylniG+VGytsvgRM66IEgJq3yM2X59NOKpe
s7nDTMmss0UbeHuL4tKMTxXbt8I2HgYvEeyNf+w6h0dFYrWBYCbJhoaxkg/736xzyreG3A/r3H+7
/fd1TvzCGN34Cbv6fZ0Tmb4DmMJ0OvcumcD/53wn619Y3AwN3NmM7vnWffzeSuRbignYi7cKUbRk
/RmRVZz9gz9YdX699LnP+eP8PZOCAQNW0axHCzneHManp1Rkc8BiFaKtXE4AUZlqNk7cPETBTgOB
7TtwE1JxaXRrsduHsDOYhO19kqoIZuGDV5OodhPlAy0sbhqYF4FIAN3hB+tuL5uAoY8CzFBKbQK2
mLt02xFVOJpKwtIGJgvqfbgcP3raEfKxC13RRQobvdJvE16FV8s/etMu2U26jTkd0e5KE0kiL5+T
dEE2ipMyhgVbgNSwfubAoHj7UNoneCD2pn+bhpWsu4/CA4TMkGA21WbCoxxOBPtqMRl3LsFQF5qe
6RNfyUA60I00EO8aNour53A3BOgA4DbWE/MQVhY3XJIAhM38ohP1thguHvdr8DUSZrnJcMnm+GS+
Uz8z9MfO8iG9GMsJ3cFwnlHi0t64YdDXFifr1XM8Zzx5m+lO+MzneCWqlRXHCbq7HERLwkUy8ntm
Aee7QgEPXunATG84M8azBhT/6EdJP1wxDabkO/WkP61R2itQpkFtyP2SP4wlBW7p27wk7C5W99JL
C0KiqhVn9M7ujwTXkBlpk4NYOuQho29ap+8zqppIG85+zCmzFdmOfN/b5TZTOngwuk2P873aYt1Y
EoZDKgaHRLt5aV6WJUE85VHd5EdxYb4NBOuIcDfVx3GBDvsMJmgXMaivC1sXF82tg4LKUJx0DaJa
uxuXqxl3XX/sMO8Giw2iyGqVRtesdNtlx+S6u3bdDujpdG23kH2QPinXiX+sTePw5XobNGsNTP0i
Ftfw6dPdID4oOjFMhBRfSYM6phqxwcQz20x0sD9LzAWrxUaj1cdAeEU69RY5VEzAIVstGWtIUIi7
by5J5mjCGyNBW+cdJ2nqVpFetMkIcuuuvXHlwuLoamT3XCyYeA6jmXD2zFPPW9QYd1Fzw8gjL2TI
60RfUDULO2HXEhsgOEg2lk3jdm556VzxtTidl8Hipqwa3m9btoHALq7XjzOyVeSjATzUCgufeNmJ
d/KhX6Lm3LXdUnsQGzoA586Bc0MLnFHUgznaHkPch0S5+OIZ80/Ny1GrDvsoXJvEvh+IZGbGJS3G
g7ZL6RjEH4anM8KmFW+HqgNGqhhp76iOHSOvOUjtvlsXHoHdR11mCnVVqrs6eiISAVj8iEZhN96z
tYxQfe/or3rkdjHt2ygPxaW45CfIJVugvDyjYMez2tB/4BlqD5L2PFhL6ChMBJONDzacIKsHhV+o
4U46jG57Gq0N+HkAUQrhBQv4tLyQ7cfA5zlzxHvBiaXl/O7+Yzcz1TIpf4kBYSdDzqmq/2MoRgPx
l6L999t/38xmvZjOt0XdVCC9GZwHvm9mMn1MDUUYjz1vSrM+7S8xGUAwa1aefgOR/lWzy9YX2aKz
aKkWPUxMk380FpPl3wy2P1+5xjX8uJcNTcxsuujDTZ5+6D6WoCrJ8LgYPpnSeSO/RFK+y3R92qbp
EK361LRzb7TrEHU4YJxkORLh13tY6zEnJDmdc93S12kdkCxPlkGbWm+GNtARyQhubfPS0WLxWVL3
iYIVzPwsq3AH8JXQz9bJrHQl5/XKtbqvio7Qw0YFvRy4O5PpUR65Y06IgRbW61osWYrygC5ViPaC
nR+jo74fSxQCk+Cf/KBoQNel/drKp2QRFdPaqk3QMozs8WBIK1paxzTvxGU2m1M6f10M0iosx6dQ
IBOzxs8nzCS0HvxjoGI248RhYOjx3mIoTAltWjsPFCfN+UD1X5UysOM2Idk+wY6U0GergQSRSIU5
ygNDonr5fVbvR93A7DWT44BxxzntNBS08nCSQ/kw6ky7XiIuKGbXN81DJpYrQe6WVUPvUv6Uhk+9
MTeiEK6lcW8mzRP8OJbIWHqlv4JuBKW4qixSkS0jKfZtHh9G2qtarN5Hdb+bVb2cfZb1aO16Bp+S
wVFopzYH5o96GRToEhKW4yGACYNumNZupb8UguIOs+5IZPZhetBiBCJFe41NURQyAqXn5GxxqG2V
l8pre3eQ65VeetvZc1aXb7wMbk/afDoCQ8u/NqLl+lnrTnV2bNPGFcfUiUZAOtLcN0aRQix3hTC4
79WTUNWO382JIZDZVNnxrdxO5AaJABOeiGXRb6HD0xxLJho4XkvgVJpRYCUFrkXFmM4evYttayIr
mrQaiGKnR24f0vIlmyZoOJsaNGTyXEX3FX81oocpZF9Qhm7Vi1gb+kHG2RVgGsHUkhO84gWXsUVN
VafKdN+GwmMbV1s1bhHeIwo02uatVn3klOR36AGKmB4UOwS7UPTWE00VRFE0sL2L3CIimlaoi29j
xsrejjmnJIVsjBbzDXyajHLMNHk7irJ/rCu1s+ml0ezWxdFNRdJgteRrJbbD6p+8UM8TJRZLFYi0
rBt/P1WCkPHbQv3b7b8v1NIXTdRJXwL6OWv958bN94Va+jLzKax5Y/gWvvTDQm1+Yd0W+bpsMuaa
wx6+T5VkE4sAAJf5QGKAs5L/ZKgkKdzRj4cOtqgfr3zu1fy0UIehEASJF5rreiwtghEspGmCz7zG
QsWm4hMDRD/eBJZZSWi3kqk9lAbdRzVx9Nq7+Wn8GOSIH6T0XhXVbRKivYpMxzdZXovqCnD1oAtE
tswHYzLfyvpRYWX3WeJyEe2Sr7odgFL8vauywvUT9s89bhi/jW25oYKPkfLDhZwa1wzfhthc+lJO
W4PuPDQ5OS0f5hYFZGw76kW6OqVTqVS+c1XUf5ix4BTzzBq3UV8T1NwV/hslXq41zSouxWsBGk9h
WDNg1cbynBNBRdGVR/nRSivGBwWZyP5qiotDaVzlrLZD/74Kq2soaa400qlgYsa8CddByTA7HmTc
0o2wDnTtEFl0dLp6+Jo2HJisZDY3EYCsbRq1OdW+yOy+Q2MpBq9jKj2LPRxNnRMHAdh6YK2qgdCC
qV0JZEcp1UnRy3UlbguFvndN6zY7ZP6sqaXjZDCDU4cSAZWxCanG1b4BMFmA+kLtkAziPtVpigwB
G16F/APZuxOP9bqLCEwvW1Z6+uVmv08nxF/1XvZ8k3HBeaC+WMZlJWCDQjUmZN5aq7R/UZf/ieIm
cs1QH9EZNcGScNqfdft/15Sg+flTHfffbv99eZC/0F0FHWOIOHvmSvGv5YG0t1nAhFVIxg70rfPw
vY4jt01kAi5KIAhVRdL/GjqT9mYwwCbUDT4pzWIADn+ArqfB8fP68Mulw+f6eX2IsNtLeStY6+Rp
mE9p+q2wSWw7DEfSUJfJk/fpfRbv47py6q3wryOgecNdWm+ppa4EgMaLdikfsnfOSPlqOM5Ja5Uz
HeVDvvI+s3fxZbrqt3/dDz+LzrzeWhuFx5nvmRtFpVvjRFzOX57vdDgipSK39lN86QeShOutT1/i
hUbAUuER+jP38q9//30qm67JU756CPD8c/8bm/AUa/HwsAN9KtrFu/84B7oZJMqurQ33eW6X8xem
a3+WS4cJul2QC8d9CbsHzrEw3HiU+ZnIh4jnQFzcYr5N+yDs5kvMV/5j05LFGumb6SN750TqZO9c
KadYXhATCu0LsNEzqFLvk4c4yAf9xutKwv1KPgR7/SbsCHNll18zA5xfZ+CGZI/5Ng++n4+nPF2+
ML/a8425n2S4a7eEv665OKgNc0rd/HPCbhy4emvTLrkgMuz6s/iyM29cAv8zXyt/46TeLi1g0TmP
ibrpqd4yultlT0Kw5+jpfc6sGAyoevcCM4Z7nm/HIsoTXoov45nXrd56D1jxgwUilhHZmLzMaats
aGyTEmYr3ZJR5mlaA3oYDyAvUXAbS9E8RSfIxdoeBGh+Nhyi4+7ZXu5Z8bgbqhNi8bCxYgG4o/ri
//kvHTDS6LoTUXj9JUJVz5DyuVcORMzBPCVZTrElnRQ4aaG7FeHrBnI2J70QpiemGwgd/Dy3ImAv
PBuiTSpdf4l3c4of/BttvrCmR3l/rnIsZi4PGXRX8uwml+98i64j529yyVWZXC6GVs1RW+EdoSVe
Oqh9PKz7wjrD6tIop7gCdJIuFLs7lWvvAfQCXAEyxCjdaUrRXYLAiO1k/KBrJN/XdJvoMEE76Dbi
FZ6mk4drWklJtAVbJTaH+vk929AGm2htAWmYO2WExzwQFrshErtYSi/Si0f6GbrkvfUq6zS7RNd6
jdsz3aj+NHfEprvpbqBonf/U9/pevueiuGlJz3k5XLjHf10BWdTRnH2HLH249CfR9fcRHR7RTXbz
zerkEi415YkHuGab+EDUNfHnNLC4tYKuFh8NPa3ZyIMXBRLCns5cxcGOtte3p8SzOo2iI6k7otGt
5mFobmi7uDRxNZyt7N0od11zo7k3XHga3IOmrEkqNCxeal6r1HvRUB3zOsZujdEk3enonLWzcohd
HoCOmkiPsn6On6qtuUHEDE76oN3aE4Z8umrDuj/KC3MTWCcTIQashYWvb2p+Aaezj3ablpq8GK9I
MuiaLYut9Rk/EaLwgkM4GjekpvGXJHvozpANMCVzkFoXBEmHzrjhA8qnUtYOerUZF+OuILKGwcZi
ht+yp7LwxK2rMalBNDPa8VJY+qt8Oe0IoyPFOHSFl/lPkrwXNE1W+alA+Dxex2v6Pr2YG+mQO+k7
F8qV18I5fk8HZ7xKyRphBo0/1XOmFwDJPCV+ICDCB8M9FIPFsDbRWldbnsLKeJ3vT7sBcCArDlZ4
ueE5mxsl5aGkg8FzVW5zL8x60G7pOw8nnHnECQBEAtxyIVEpdXaySdYMyfQdWFmURvtpS8wVrUpA
JrziyF3W3o7lhnTY+Q/lnzzJkKCcs6lLpN3MfRp29r8rGtS5xv9pkvH77b8XDUwy8OoZ2r/FzT/m
3YhfUIcxy/h3LfFXwQBoi2ADqIUk3ekqFcxfUwxOHxxBZkYZPEsMhn9QMMgGPaQfDxQUDD897V8L
hkArSsXs254wNzKB0c8urHQQoC/5x8nLGeINpnJQ2xFOv2VWHRGoBiVChTyMSODK1bOSOKosBDLj
GY+FaCZYatvnTohJ/sh8GB3pcDRUsuYz4wlnvN17gRPn962CNSl5SkfPUdlTgkhksSBneXw2B7ZF
QQGEzi9l7bmWn3MnoGt1mAJBvC/nZVNB50nLJ5TszAgh3bbXsYh2WmIsKH/Avqa2miLlBuwyEydq
qCJ5/lIEuh3TZvVM2DNmuwaEtBzlDxnusElMVOAlKzm6JRF5l2F8novqwQrnPar1n7r2buyzt8Ef
z4wzt42cY6y07E6H75zDPghER2mx7qKIUzmGMBj07UTS78hAkFxNFNhrJd3Rel67ZidWyjFrw4Ol
s11b4yMdrrOVXkYwgWKknkQTa5eIGM6MnpNAcr0mPsgd9ZCQvULGrlBXdREqJwX7hCSsdJjTjWws
Mf2MKYRjjxZFYxARh2+x5e1E9Ja255Q2gqwv/Gx66iaUw+Cn0mJvNCxUff5a+CfwBU7QYboil6Ca
zR+Cq7e73iD5UvbPUvqmtDcph5jDrMRseKmYe3o1Sm7dWLbEs8s+TZAy2XUSKa9NkJ7ENlhNNfLh
VpB2aQZuV+hvEq4xUEl5KLieSDqgoKB0eo6Z85dMABDWOmRxvPAOeUtFxu1IO+1UBMaBOSTyqmBj
ioOGASSt9wUadVloZVA/hBvoVgHuvFvXgsk2Igl3eszmxqXJ2DcLiM+LUB0XXoMuulX3ip95dszZ
tAL0VEbSJgBmbY2y09XKMizfUhV3DM2uevJXwTCRUwr6ihDYrAh2ctvvs5GFt5qbeh3OsM4OPWOh
ZOTQS7FtTpsRRyUqjW1sbeOeDFww5pPY3/w54ZjhdDZZywmhsaGXzO8fMM8ts3Y6FqDZ+oKDaO3T
Eiqn4RYNgJSFLHf5WD8PBZEB5iDachs6RRTZsEMO8fSgcggsCVEvQir0Ij2XQKPkNj3lU2PLHq7Y
LA2cydDwDQkIr4sI2Fi4HmPCTANy6DiWjjJIQ6yifeRf5Yin0g/NKlAexfTWBLTawENHg52SH5V2
PfOITSmb7JSaLC3CphYW/pg+pvXXb+vpP/G8OWOQkSLDFJXoUv9/RKX9snX8t9t/3zrULzL64f/M
uX9sR/EtGUGPCQdZ00wixv8zN1CYj+OGZwgODOM3sQ9gSRzzeNrN2bv+Rxxkwtd+3j5+uXQ2z5/P
m3obTeI0mc3GOuZ3w94bF5iRoejHF5+lIqfpOk8Go3vYdV/Lr/FD+FC9mzecbtPThDawt8OMjtVa
YC3DZ1cZmw4jHcM1CXHogjhQbTNHnfKj2LaBAbaIdaLnRnPjLWcXpVpzGljNbgsEHcKzHBBZ8WLG
q0gmAxNTxPITjthy2HoSy9pCOlerEjzegEeRj+9Nwh+ncfwIQCbil90hvm3XE7ieN790RGU3NI+K
9uqB2Pf05ZAdjOaaTmvVOOk5JpAVuiVSCa5qKXG0+fCBBeKKp+qnNo6YfCYXiQVjeF312Ct3hQEP
i2bvNTjTnm83vlO/Wadx91Xe5Y7u9HvvyXsnKdUGxOUgGLX9k3WQj8Dk1s1j+lmvp02346ksha3q
WGvZKZbZmlHwVn+sj83Fe0eT8hW3CuxBAnvo+usst1+TYje8WiRKDquvEOyZgcZOsSZNyMWVkT9q
jMjRRMW2+EjwBea6TrUTJMtg3TCXlivjpLiEmJ+9t9CuPuljfSafbKVko2afEeenT+U5fbSe02Ah
bpIbrwtEp36JTfRAeAyKTrZ/fDf8ZeIApLiisai9ZfCp0mLLFv5jvctuDJDGi/8WHLAJ1o/pY/8m
RYuRbKpFzKn82nxGPGakop9ceK/RDWozg+7pc7glN3HHWPdr7TKEPUjPybk8Gp/zqJyEiuFWH4tz
7/bX4szNz8nZf89epk8ISCSdvPXyytcJvV8ljNotfaHybI80Cd1/8BKGlpA8QtpTGiJAFrG/rX5p
jv/aUf/99t+XMO2LCKcds4UEMONnvaLG6BO2uY5PgwXsWzftu15R+kIzDbI19hECIumd/6cCZnXD
t8igFooPasc/nX1qv+h4kCr++NSt2Qr54+wz0QR/kkeLD9ggiIs822hdN081N0VZbIraK50uM070
tvExN7mxyYTpLKa5AYiPIJSu1VLE5yEQc08RzlkcR3AT9LexrPpjkA86jvZm7SGIVf2Kj1RcPfU9
3Ze80hsb9N0s5lYeLQ8/QVjHtWPoaQwgkcJNhI4WLiMfL3TXV5bbeIiihSlw2qLem2K9MU0fIrOS
XaN0zgtKtRX672senEo4bkbtU3IqGwSD1CRRtYTV5zudlm3qOoKCgYxwmCX5uNJRh2/VNrOHOHaJ
bytfTLkzVrKKGjIJKUqQR+p2N1r2JMjharIw5xcNllwYS8sYciPutfrZTxkvRDA/o2sTDGepHTeA
0PVFZInbgZnrsZbpYJit+phV1WdoYcLuxgr7slLAF+mVVeH7h0Im61XPmn09SfrOqkR6FKnp2UaP
rBtDR0lCdZ2h1W8G6pLRu7V55KQZeWLmySsVuymkS9GnrggPhJoIPwwM2lzTbA11Z93VT1n9kUYF
9mOLFhmj0QY4Al5iQznr/WfOwVnmqx2noQjOTtTTbFBql21/pRKh3JCdwnPiPR/Tp47qMRgldqVc
OlQxgIioIctIpkhfYJXZR/WADqqSzlOjvoUoOrxxow7Bhw9jk2xzW60TlVFGh8fjapp0OjEwEpC0
TDHCyI2xTsOEhU6ku9PLA6GdXWCHbPWuNUinIoxDau7OX0qlIi9CRCOZYgBLKQhMsvUCvVfCowc5
JEjPSzUwEpR5tdHvI+bh1HzSScW8bmUbaH3RIpo0vHX+YdJwq2n9qRToFuOJHXsVr0BbBbzcpa2r
xbafuo+BaQYTd39TJRG7fSQk69HXHpQ4vio9ATYiTRzD113Pk2imWIRtMKHPSnUb5sYhFjEtwWBN
caAkSGThvAExhcVphOhP+E0EVamXjkBgk1W9mekNQwjASfTr8aUjqEPx9EVg8qFJwQ+DaINXoRTq
pfc0PiOQ9ipTfhtM/6Djc68TfYdknq2f6ZYQXksjXXn5NW/6wzw5QX2vuYo8RLhk6ffG5KjFSfeh
BeN2DPJsHYxhfjI4SDUMXJd52T7EpRWeKgWYXtO85nEe/JOlMjpdC+ZPsIxYPtGi/I/94reS9/fb
/7VfMGE10JUT14Fk/Uf/uI4kFKYSYhj+Y84Epe9SGTYFSzS5HAbCqqyY+MS/d0z4FgoZanQdAY7E
3vZHvj5kpr+WvD9dOonDP+8XajNEE0RJtJIo38xwAh+O2VjnaDyEtBex2mkD+TbjCrlYbBpYVWgL
jqmbWh0iL8kuSjC1umIXUHfrot7p6P7GonXK/OIRmxeDrmhlc2cq2WbSVKdUmN+UxC+1B7FtuH+G
FhaJYhS0ofY4Fp9VX4Isoe9AH9RsdkmdulGKPMNimmMMri+kx2nU7v0SPzgiGx2NxBAYb2ZnuRjk
wHNUB8Py3AY1uZkCZ+g+poo6EOZL7vc7/NiXtET4IvQVWMYEc4q/ChvaxzFQkUq9iwF2pnXhhIpA
d6cCRtxXd71VLMek2LaW9R50VHOI6J2wSThzQib2n2v1NemifUXTPeC+QxwoTQEefVKw83lSiq9I
SS5l0R6TMECz1qP+7iYnCuADT/HLFHFA9Z4VBjFtWq0x8OyaMbVL5gTmwGWq3UOunfhNWKSGtSi9
CtEMOaQAZ6Zp+DoqOzX1KGNJcw8gf3turPT7Kor3fKjXcarfRXIDxTqyW0XfWHRePBio05jez5Dx
MI9XopDf5MC6khW3TPH+zPmTyYTTX6YhlREVPHJgJr7L9bVk9tStJ2HGOIrhpWS/TVpC9SrLKaen
OUaMTMtjgo5Vh7jXtjxTDwQ3vxdtLJwtYh2CRnZKP3RagaohyFETC3bQpVsTgJFRpRcdZ2ni3xSl
x6T/avakAVhAuWSQuYm87VLoMmVrdwPjZqDkIW+fmjH/DvgVoyfDsk4klfpWp7HTxZe5L6QkCoDK
DMRqDKv62RrBhccPCTjhkdZXHehPRY7OpZ2WWhG4cx2T1eJWVIkJVPO7FJGnEtabUdqiCFtZ40kS
aHdZvCi4ClJaC9O4zsJbJDOmZo9OrMkW+PU1Eg3HqbcsjK81qGu9f0sTSDVF7k50lsKod6R4OiUS
xAPsAV2i4aN9UFioG9CkvZccFLTUff5pNgTHFfmuqzgENuFeLsADeflW6TSAn+m5MI4xDbpWiJZ+
2iwA9DtKP+1kCCOFtA6G6FHrc9590MgKbZ5KtJ7juD5MjeU0vf6Y+gDOKm/lRUTWF/XK9NNdbtUb
Uc0PfgMgyBOAB0mDPeriSSyVFPmU5xZtexD0FG7LLgSuigbDHsO3yqS9qJGbpej9AtP7Wg1hGLRw
vip9dpN3GedkuQ0WpfwESJzSZ3Rz2VrpsNoWsS6XiHQh8woRZ6LYA7mQ+W7UQXPFOwpCCwUXcolU
0PZFhUK1YP/Fq/LaN/MqJcNrMeQXPVHPVUHPJ9MzJ5Pq+3zSPy25uE3UHmhIxJMgFluyziCgFtIO
zRdulHCCxF+fZK1z6oJzetGXtO8C3k6K6Dx9hEa6xZLmNLyBY9+teebuaAWMiibSTvNTHgPclqdt
Lwy71iSTWh+bJW1UxMII0LjbU+UxORKbDzMT0cq10p1WgPuSC383SNa+/z/uzmy5cSTbsr/S1s+N
NMzDNesXEiA4SiI16wWmKTDPM76+F5Q3OhWMKKmrH6uqzCojFRQIwOFwP2fvtbPJjfJhW1SZmxVE
qEryuEeJhhE1X+GoThZWlcb0B5FZUVSOZhxyFtPqMWmgpNEaq+n9mKprTcru9cF7aFjpBmAbE2un
aKeopPXSdISKDT4W2pmpEVoUsk2gB9A5lqKPhjynXA8/wsJwHKM3hqaVtbq81oHmFbV8DARoe0AF
Bkf1M/HQF+22zNoLJetXRi2tB98rDhmrRMvqAL+VyuMIcHuZdrIbNiUV6kGnqdpvjLg9Fbm6bCZw
8You/iiYZJdKk3uLtNJXgxqhbB/qZdGZxyxCe634cbeiMrlWJ2ljxbGjCSKsoWFtZSa3V7iV/DKl
NuC0YnMhlpRYEtP2UQX7IUrMSEAc6DGyNKi8EZTgYw0trc+yhWG9s/vYjAAtFJgIY5I4pdjYUoP3
MJFYwoGhShuH7SX9YiHD/JPRrbcCGi2LsewnJMbB3LU3nCFFLKBmCGJKFQhTIq47038yBfNJGLFG
JxY7rQmJet9cypLnZtAuRshlo+rzGJiRYw7Bi8k0l1KCpEa6zqN2LdUZmIZ4r4jwkSc6YuFTS5Ah
OYKd7G1766jo8apPYzAo0s7MkR224trwxlszVdapgZuR4qard5mTFdFqsjr851axSUrtEh3hQkUC
SIO5d9A+7snrPmY9MItwLruWdigkKxmE9JIRcxRLU1gree6YKEElggWkjt6GZ9kYKB1jkPcqsXdC
fGFSpmmr61Lx7VkN4bmp/9iAUxlLeBz6e8I3DwyaqtSU+hFBgvCmFbWN44TuQeFGinXwLaThUVis
Ys6/D3XSOnKmtpD5HkW92YgL7M9rJajpcAiuUgpO2et2FmLunPzrtgZMMaWmKzWVWyWWW9esyyOA
ZUZQevA1csZh4ibE38KEdafpViijtwQflxQZ+yJITh6pv7V56Ktgps28Wl1xGYjRbRxrB0kIVlGe
H3r6EjF5jeHgFmFlF91w5PauY6G+tkwi/gQheskq/8EYaBxI1YPHqkNKh82oTNvQSy56oaCsX+6n
KcQU3gQXwIGuS827DnFpFMadRwWQ0QCPsWlPkzG6OhJU2AErY+zdJiPTg9CHOO2RnwSIX7XQJdJv
UwaYWhXpVve9q77191VBTKKcSci/XisvvohS2VEg1JOhQOt3oLDuCa8yC6/UKy4GE/Z8j2AYC77s
mdjk0yWhuU4VaFtdqva1wu4xLx3/P3tvMKcCsjlAnK4YlH2+VmcCUT2vJf3++Z97A+UvnLImfVQZ
m+ss0f9HfgWKGfk8mtCPhqlIYfvn3gCxvCUZiME0RTaoRM2f+tlNBddqmJBa50BBDV7Iv6Wj187U
V3M1nN9CRUnjO857jl+3BpHVdE2UJ3AYgRTf6Fpr2HLv14yT2duTpsexwF7UMrqEUhSWcSffCXlK
yykUboPSL9gP4+cBb9Sv1KKTeYZlSDZiXpxkow9d1m6TXc4RNtYcZlNjhhFIt0lJubFq/aEn9SYh
zRO3LUwflqqypy4tSitjqxxbyXvse9kt1HbTRD/GWLwMSdXJRGVlUljXyvE0sKKj7wt3QGYpruON
zY3czo3hVi7aG+8jswfqGgGsWgGegkCfrPSJ9lHNgx9ncIOyjpAEAKN6e/OfXElV2KKiAhbxYjPW
GCNf6AgY/exUP+kIGDy/ff7n6P8g3lAsVUVkxjJV1X9G/+z8xiXCABZnvcCvO2PeewgWRfDluMrZ
/n4a/ZQ7DcXU+ACKAunfApHjvfxtZ8xXZ3eMrBg3KI7ys+FfRWbdpmG7ltPkMObjnV9UpCO4anRd
DdZKTEFRjvnbECNF8Trlom5N9hzxrg1MRLXeqWb7WRMQzj7eurZk4S3q0YUFKOPMSaYx7PesruN7
IdXvixH6Vk1Ycinj2OrqtRSGK6EAzkJAwpAX7MNaUKNifTuSGjQUKYul10CNL4MGPVpsKRfR+ECY
9VuKK0KTIypG5AMLiV330g7S9q4Q0ecQWD7TeftCvs0T/1j0wZ0W6i9dVjwpUfWuITLOcwpDLTxG
y5pWqVfa6ezqHggchoeaUeOLJPZJ050mV2sDy7g+bZpBWBmeIl5U1pM/otYLO/lEc/5JCCLXZ8mF
NV0AZjja0CfsjtTrusDOSPxzRFJBTzSIFkSOJV81fbazwIpURbcytRYWzlYZrQsrMZ9EAYac7BPy
EKkDPe5YtGw1Ea8lvXLUftzq83M+GdNOnV2IMm1iecLEJxjX6MtnKcZzVESkbVO+CFBzdwlY0BPS
AOCyKI2kB7/DZNLBsxmhDWXdRlYnfDgq1T7Zf9Rqr14n4YDYkW7DUovCq5jNriQhcM6s1WC0pyFW
ToHp7eNYvkn97NHXkORp4WOBI1SvYzvu2VdYNJAGC8RG4tfI/1Jz2uQBIjhNMMWFHvf7PsYaKtFN
HEx564nmq9oKu7z1cApOT9mgNKDh1Js+St2YlTeJsYc+QdqeC+1zrpTkMFfNYioRUU8Ye4ZuB4xd
KkxH8qXgUpU9UoInv2LH2YYA96Sihy+Sgv4t9kFt7aupWHkt2Z5Ss6pq8iMJhc8MZdM2sutD/dGL
QzSVVInqaS0aWHsJt+JfPkitdqgGZYd/nEov3tPIosFP0aeAH2hWxxE4WUzZ2U9viZBbTtAzJe26
8gKnTrJNpmxFco1K4TGJSiCle3kKljDtHBRv0njZtygdWKEY0tHSURCWztipm6F5ikJeDtn1/Lbp
m3UTxxfs8mw/axxBv1IHICR+4foqFwctj1DDnEvKKz0VlrJEjDVUplQnA0mNtzCE142prXo4s1Vh
bA3A/ArmW90ViaLk47CUlZiY8Pjg5fEG8I9NQgH9v8NYv8lWtMzDH/m0kVH91DrmROLeyh6pBbu4
XLZnVkmbq6sp6TE4DytZBZzt+WwqYqel09rMiUPhQxGvaoNmcQOAOsJdCvZF8MkeoD8L+8Qdyltx
IgKafrDVnAjYpVRmrD3y6ouPxb7JlvtuBLwcFPU2ITupqHvb6y5Go0M08lbpGoLeU99QJPIeWp97
U8/wHqcYcSy89ezjKchRcVolzED+ILEd5MHHYyXVdy0bOUvoGQaIT8iVNsAvKlJw4ZfbsEaCHWw9
XsNljWsWuq+SNq7UpyvPVG09Fpzc66+bAme3qqwGkq08ODLVvRJSBpo1LBHpcTx4E1TXZFiX7Q+Y
mkuTek3Ono0KzXpICJhrH4qknnPfFxWSEyv2dn7/1lT1wWszRgYJXo0C0nqCdmCttd60PURS49xs
0vcNrKch8XFsSMuMPnrfPYdJehHoo8O2eRPKAF7ReTbEDVrvVVdsBP9HWrJx9kQ6ybotqMK6kw8p
ozJTjqnQr+h0OX380EqE9rTvQ3eqIm3LUF5EOuW7ILiCZgQ15lSExjFrcZYTBjxK6oXB7Eq6XJh6
BBLn5VGzfMLG2ZfGVbZF1HaTKDRARABLtdMDkDCFm9Fs2VJki5SRUtHWt4hhSZvMKSsU7tKbObwr
gXjMQJ1PnmFPhnzRSANdLggSRW2V+POBbbAVqVDAiWPsVOC2NMV3o+7eyjXKMxY9fqoLcI/GiblJ
exlNbZcnGNOUmbJU7wlvuqKBRSeOwt54SrN6EQrscdV37Gy3BAgu0xKTv9o9sHqwRzOoaLnIdwPN
wwVBM05mxE+pBtdK8qIfhTGu2EHfYQZDjmauK50grqxyGhaFqRHYop+uFJRSWaASfFVASNS6pTGi
k+O21H115XvyojZV5n+1m+zJNwiimk3aYfAy6T3vRZG3j5TpD1C98OsoTOXFaojrZwAKtmE0h3Y0
6WbKbpYo8NDznV5AV6EdH4zGro/bqya9bzmuql3+xy748AqT1wqZVtagS+i0sb9c8PE32RV8WvD9
6fM/F3zoeBCN0tYzDVFC0sOC6qcZjR8BKtR0FnASmAuTVeRP8aj2l8kCFD0S/XOWip8Qh7L2FxAr
tjsm7BWqEvq/KR79db339zdnp6Wx7JOB/rKy/Nw5j6eyDAu5rt1hBRsL1N6FinGgd0Bin3x32OpQ
+Rbma75CIoryOjrQOSZ2e6VThr5cV+qi/iY1XZ7lRmdMDrw//3yj+eevz6cw8+v//T+l/0XRVmER
0tTu4Y43+knd4r3sFi/DwrxR7W47bCknLOU9EpOFYFtv0Gv+tkm9Dv/lv1OYJIsyz/5HNsvnwqzh
d56rCX67JrOB79M3oKiRi0lZ1e64rHCbguovNgUxFRtlRStddmLHuAcq76jTOn+mNkHHeGGtqisi
NBG425ajOZaDYG9Rvxf33bK2hSPmA0fS7CbZBTvBTS6QBknkg8KXKLNVhJA7WX4akn84Cf1M1fXf
JzHvZtkYmLIxt8A+nUQ1cBUyn5OwH7iMz9bi6SVdRw/GKlxc3kyLwJ7zPvzF1WvsITmaid28HUmE
tkm+qCOqXTvaL2l3WLj3++fnrRauu2NZ2jCCltHidtbZozy0QYljS+n7fTvaUWMX3joSFs2j9Kb5
d970fPf1Sc1Sud/Hxv99TtlG/XpSBPOpxAqSgVs0a4OQE4JQpiWGkRng4D1KpRtj9kEsfOFvOb19
cmHdmfesjr3GUeubKVxrG/Xi6+9k/vFCf/pOZ09Q3VB9ikK+EwoAbJDkMbHsRUGQWAv5kDwELFzo
MQK5Yn8hv5bIslRocFA1GoJbofK+EW633/GZnX7r/8geJpYV8lIV17zQdeUeewaGkRnIAh9PVewY
JOAMiTGc4J7twY1RrnA31CwKpkUG+ZGIPMTDvIr6q+BH4dSrdsUOZz+uvMvqTttO0GJybBKJg2vb
Cfhv4fb3/a5dw8pytI3x1jx+fYGkuWLy2wP96QLNF/DTSCxy1hV1mdeY1+jLLxFBY+4JSZZhbeN4
l2ATGVOhbdlfH/cDzvrVcc8mEmbROEmSonZxkAx4Zi8joH9cl2nhIxK58+7IP+nW3loy7P5t3IT+
xaTcCPG6m5bV8btpjXb1ny4D4ilRk7EAq/Me/vNlaDpqKqLPONHMRftkvtfLF5/68LUOveYqrJbT
Pr1LZXERtUeQoV64zAdHzGxQjUqwM4K9qbD7XhMlA2xSTvfojzBG9dhJYbPhos9KezyYz4TnYqVq
UDGJ7+HOWDU80yBJ+Ei5o+9TsBE6hSSBzas9tyD8BDopOJHKcgXIx1J0q1HEXSQPaqIuQXYj71m2
xAxbaHgeiLNCw7PKOpffmpR29FrIyO6X6bbzO6Q2F821QOUVx06HNK93kuRSeAkZrdFr8JpPric+
iDLhD2QOLCbMPgoWLfhA+HPSggwXmpt4mcCS3fFW4S+gwZkQGG3IDLp2VRvQqUOeAKYl8ZqPTONB
NA8F3wkYWgbGqLTJR3WLkazMlXEwnirHYFz117rdkDKEPNDFpwADKO4X2U7cRLgBa5c/SE80bulE
7kYKyMYSVQ5SlSWGngu4M+KeqGpwLtEaxblTbeepOrfB/6wUcrYPlJazrfKur1ElcnG3rFk7IuYx
OWWQfqinPUmH4SkhkZGK3u22c/2HYpuuQFNCUucfhgO2bzu1KdGtUNBSDN95u/i1518AGhKZBoAF
Y+155Ucy0MmPP9G8wRuEsQl7UPjAv8aWRObx0ty1l5JFZ3gxPPEhvsR04P/5hb6NCwlAHL2Bd35T
+KApK+Tx/I35fwRUDAusV+VKuTXXfLzaFlv+Wo8TCjEdYCT0vdccp9rSj2QTBR4pfOAEEwctV7Gt
tgS9Yt6qN9tWgaVU5wd+yG/WyaKxJ8xgkOX40jigDJfTQuPAmYUP28LNHP5a+MDp8Ov5cI3P8HLO
q1g1R+udi9YcS7oQl2C/P34Udzi0OFnyLPhgNUdbCGiuFsE2fmAXvuh5Gc0sIQxg5m3xyq4OToRI
nLW+wY3OHxGtjrrNVTHXnm73y355B5kCgesboUfL4x090sXuTnaTvbaQNtWq3YZ3ke9Y5Ohs8ucS
LNLQLxDa5qX7MVv9Z2rlqcPzH7apTGf/L+VR1ryfVsvMfr99/udqWfmLyXGWptJ+oJY510B/rpZp
DjB3UgSV9A9eHNP5z9WyxWp5ZvNoiIM0BT7Dp+ooTm+W1qqK50SVWX3/O06rs+XHR2/AUgHPYSCX
56/y6xSeFVqZlhHFE9sgULBucF5SyfP0I9nrSx+YPzsAmMLHCW53UjCBATdQYiTp0nQZ8OLXBlDR
4XMDD9tAs6GIvIPDeFcTOqUaCRzkv7dg/3ol++sr5+/vq8lUjFVCKtlH/Pp9pSCR0sCo83VJDMuo
XGniwTdXX79mz97ufx8DIJLG5gnmunp2DDk1Lb8punwdNCOtuniRjCwNeyoCTx1E0K8PNlefP73S
fzvY2Stdn4asnqo+X8s+xmGTJSvYnykmITeFziVW6PNvUAJ8c4p/vO2fTvFsP9CNKmEaGUdNDKTu
beeaHtM3UcNfn5w0rwC+OjsG/+cVgu77ahyTY7/OTJLX0prX7fOg6VQltUVdEDZieleCRPuTVXfx
/PXB59/91bHn2/xpkVYSNRF0GbfRmCRscVSi4nUvntr8b4HkvxyS3w2XM7iB2nUsJ0qOo9QPg4Ue
wMAPIci2rxKsjaPh67M63zCcDxj97Ints1AcRIXDjaNp1/F1oaLbau8K9ZqiYtjCbbusC4r8walm
AZDiKPYrmN3oOIabSbsjnFw1dlNFRFu8rIL7prEugfcjnJi+2a/Jf7wBlqgyS83gmo9N6acbUPtl
INUaz2q3grG0QpXkSit1qa3ndTI+wyW0x8VLsHwnnOYieZ5XG8Vx3H23+54vyK/jwAKcwzxKUArt
Wevs/rQhKna5K/J1z75bdroX/1bGzZ7DYHyoHN7cix8g6IpFcDAv5uyn49c37PcHnMP/Pb/LzOfn
V0GRijbI0zxfW1AfUhAD2S5AgLQvnrLbr480n8hvJ/rpSGfLcc8rGiYujiRn72H9HsYXqfLu6U9N
/iPzvxn051sRhuGvp3U2SY6VUStNxcFUtx8X4tY8yMfawaiJ9al0obYfMupyi24ZnQQ3f+yOrIa+
eRR+n8R+/QpnU2feSaY6zefboFuNdZLhRogzcfnNOKYP/+VlnX/+aRh7FdnCYcFhPI333nQdmXdf
37c/ngf2FtPQMLrQRP31AJoRy3ViER4peYQ3CuamsERXJBj868NIfxwfn45zdiKKzGTf1xxnxnRE
SOgW1oVyz956OIU3w0VzS17aKthYl7rDm/3rg/8hDpqbBYRKnO08GhqMX09S9Y00bxCvr3fVHjHU
bBDAkudIi4Gc1od21Tjma7tHJfuKsW1pOj8gDCy/GbS/T0i/foezCzBTpMegT3gjEHBBTxp36g3x
9Euj/maVcl7x+/vp+HS2Z+/XsRnEykgiJuljyfm47UXveMdycQnMApLeXMBAiGpD+1usY/ZJQEzs
ry/4fC7nkwFtFtxLWJkoqs7T0qdRGxWJWKhSkK/TnphM5a4Jrr8+wJ8u5qcDKGfvIZ94oZreVb4O
JZ/GiWo3UF5LJF1p/+PrI/1p3H4+0tm8FktVoMSjkK0jkmS7RF4LbNar7qrQi20zla4vfTORyvNv
/OLizbXqzxdP8NqkH1OO+HAZ2cxlDsaP1YGuzQJf8eI1dd1x9Tw9sSGOvnlIf7tt80ZCJ9iODYPE
+n6+6p9uW4VwNOgNPDBtedXAhwRu/c2T+Ntsc3aEs2WR3BcjLEMjWxMWoYTekpW8TVDp17fsI7Hu
lyt4dpSzl26IbBHRE+cxkIZTBKKjwgigWjIJE1p/XrY61p+BmkBABLT5okJ9t9D26ykVhDR1vv42
313Us2chL7q2UzHqrAf5NHbHsYy/uWu/PQvz2RooBUQV3ZgunT0LuUpibZhxTZPhOrFuqhruD/v7
UPrm3v221Pw4jsojPRtKKLn9OjoK3WrnvWS2VtPrIYmcDLJM/ij7UB1AVH590T6+9G+30DBwOSpz
5+Z8oTn1OaF+pZyt/fxNYhj2FjEBxGHGw0UHxaifAOhRvtP88Zuz/P1F9XGa/xz57IEfJpOMlgGn
CdyBldjddFVMRnKx6xv5IgwpdAFBbcDIlNVFLJbL1jIAacBxhTg0Ajft/e5k0sXW0uabef2Pz86n
SyL/ev1ZcEhdFHBJxrJZDAosP7q6wzfPzh9H6z+1iFmH+HkKUDkNFdU2jk9oJXWfLiM80F/fW8v4
40j6dJCz5xOjYxoN+shBpsJFvrJIZWNVCQ817Vazvg2abZ89GzkKifTgKXsheSn9qxh4UhnfRwo6
9zfFx4ojHWOyXatTRa7EgPIaojSmR185VmWHIB7pfLIz+9tCgnDRoYGV9WWC3d3ClNe6rfgUzNpp
z9Gn8aUZsDGUlLpaLNRJ/pJH6Z5kmOXkB/bUXgnTa6BvgAAfBRzsnhIFC6InsMCFrBwQQ9D/SSsg
RhXosGZC2pGIE3ajUaK4nOS7iTqohFlhiHtIsCrEqXZcRtg9R4BMXmdejYNPxpkHKjw8mUW8npI0
ceoJ7xSesNu06vuVoBau7CugYTE01P0BSOtDaCT7GomkFqFdMGNqJVFDAJq10dTBtqyXoJJspUDn
rChzymRSrGo1eRbEDHXvCE0Kl2aQLvOZgyIx5hdiaAqXhamlm6SPB5dU0Mu2V5/FZlroGVVsait6
K614O22NbharSMiZIMyeNGPC4G+9yhVhVTpZji18uywer8xKtGOlRDnZL5oe+obcrJqyulFybdPj
yALGQfrxdWla2crM++BKTAvKO550W6tIg7RZ8SnP2k99pJTfBFTHA4Sh00RbSIxFUsHQjOIYQlmB
wQRtdXrUjRH6+ISoK8xB7Yey1d1EFfexoltoSMLKimonlaaLUMCjJvaQ/oYQIUOTrfAu8Deg4Aaa
cer6crrKyBzCeYJwWlSJ9ojw8A8GNJUmvqrzYCcRKJZHEzYBcHdeuYibzsnwIlkiIb/5Yzm9VWx0
8UQvpHxYS8Ftgr5jkLx9JeRXMDPXEwBbRPEuViDL3PXLvH/C0EcN+aqRa/LJiArggkgjeVADojtA
WWUq2yGh0wV+0gI3Uj1zR0jYmnCRdYgkBAyzI8i6KUuXFjkidXGloeQpwNL48V3bvGbUe3uZXHgM
a0l/I3GcIcDVpEkOFOFV1e9V8UEB5ND2oOYIl9eqtxxLhorATq9ei0Kw1Ukmb/NqUukExWs9ffFN
V6vxboPm969zkbVt+mPCgaMhS7d0Ep0QXDW9v5NjIiDSdiUQ76niZRtsz7oMofKwHrEFjcaaYrnE
0S1YHkjAyQRaKYn6IupkT1GDzlWR6ILnxHwp47uIAFB1xMqmHoTkWsw3UXlntXdtym2YdrH2lioX
hKm4+vAqZ9CWgwuLEAg/NHGh6Yu6Vta+9KPT8LQ3gPIhKCVKaQfKtqkADosvMRic3N/nMgg4AKjA
aexW0nAuqnZBxGiHe2iwxqXq71JVWdYt21CkxTT/cd5oq4b3UoWqsq+ue+XOQzvcNAbrqduMXo0E
2qevb4Yov8jqABd3zOP1XPKwqk2/0aRiHeAnFsN1Op38OV5HwyOkuTqcixLF2rBW662ZSkuZXadY
4YcaL0k3o6E52tmYuLPmuIyRI9fkdyXrVsX5NqdapHuL7lbovZBavxBwxngSQ8d8EC0O1u6a9Bkl
GHLrneS/AHk2PfxSi6gDXQ0Hyi5DrJduyFshLQ8WxEXYgERy4QVmgaqu04p/+GEWrz3ZgOMx7wAF
vbZViXiV3gp6PZmOaGV345K0cZSLYM2T7BC0K8nAQnMRQgTR1sqTWiKuBHt9X+JY853YxDADBYUK
IfALgOSwtoHxOZF/jK0FiYAt0q5xF9Gnal/b5GD1D6MAzAohxbgaClo5oSNPpyBoFoWKuxojYX30
s32i3ijSfV8kqxJII/yrHqmmGR/CoLHraiv473oSu0OwRrjbsHZkHgkI3+6Fk8r7QXhqBX0x5Ffp
HFoeQXaSD+WI5HWL1lWf4wqia7kEmOBdD+ohxU7ewJtLG3BhYI4agJP9GNHVvhoSN9TbpYRdqaST
PpGnxDOGbhxg7wi0skE+5mjBq6TeV0rLC+4xnKjJKlv0JZK3LoenXNjF6qEyyQKxLvtiE6lHX1tX
yk1N/nqLUb45dPVpiC5mRwcYUn9LAJOqOIZ51cm7EVcKWNAiu1SrnRc9jl5Lnd31CTI2i42SY94g
2P2x7m+D/gEpZ0ArzsR4Mj3J5UOl836GtSyYFwgBhn6tD/GqAvxkTLZkXuhc8LSnCoM1JA+gFD8Z
1GbkBOP9EwGZR0KlnCHq1lPgjMaVikJtkK8w9QUkzod3Wv3WUg4LyJcP4K+10tKixUasIrSUmazW
FzfABjxC6n0at1KorCR8Xw0d3vKQDq4fXEjQG+GRVmu/PSS6C5hM7E5ls80ADWBbc7BXljQcoQ+T
ayHmULQ2cT3n0Ht0HhQH/QWCZTrcpXSSu3fZOgWZaxRPqEc7XoV9sBmCUwo6EFxne1WHMA1XXnVd
qw6WQtM/xbhxoxFLJQoG6imWTbrCQuFij4jtxuNUXCmxY47TckaWTUxjtXWVabbQ38dEPz+q5VM6
oLZmcge4tRRSd8xnvcOxqfdtvA+a0xx/rB3MaWUUd773KutEFi+H6YGmz7JE3qywtBB5DDOdSarZ
DLykeyBp/tUosxOxJWJHKIN4+caMulUjwr6p3dJ34GEJ1nUg3qb9Y1OidIt5w48TVserNj2awsEf
f4zVpi17cvCevGg/do4XhItSQ4O60FkUZGbJDXnTDZYsr5L/qpqYRRUbe58tChhIY1YcotsIrOZY
AGk3SntgZ13cMr2JgAmmVWM6WrGTRVsdl1m6tirAcG6oPtXo60SiPj9GQ7BvJjcE759PeyG7a5S1
lLq1TMQrim2apUuhvYQRm5kYPV8adCGB3hGj+KiPr6Z0mn4MNKND9boudmXz1KGa0OgQL8zih2a6
ATXDYqW3h9x7TjzSfyKiOKFxD/STVdfgoUUVmFD35sULQgn2b/CaVE8kq/bRvlWuK378xGrVonlO
hJeQngjB9ofI7hVUNO3RHO5lmJRRItqDjh+bSV0lbwRVspvgII+kUyxcIxAvkqu2C5yPVOnh2PgP
SJOWqUp7tn0tc0JO1G0cwQ5lNieaMuX7K/T8w1UymLZaXkbtXcm6UQscj9c96Tdp8pi0TDUsUpIW
uVW80SkHJfoPQwHC+1YmLx0CdxOFcNc8TOlDhhs9eE+aV2w4i6p9KSWK/cp2yvZ6yozgu4QHYGLn
IuOKUeiwbPG1ycXaA9OhwaPN9WRXhZ0LoC0JLrXkSLCCFzbkwRJL5F91wrsJj4RwcCI6ayoq/ins
vYVPMm0a3sv5fa08p8J+SNYGS+W8Y60/S0f9V9af5MYpW51Q+Vp+CWmAE57XxdT4o9bG95rET1b/
aBk3Rv1SS/qiN9tFUKu8BkfSj9ZlnsFDnOwanZluPoz1hU746rhJeKTmANFbz3oMa20h6pdaId16
ULzCq4ksjuCiU7ep8lwNfBCrO1q1trA14b1Gx6bXP6QxXrJy1KYrJb1paaPJgGO6S1nBd07sJ6wU
Iw0dw0fx+zIKuIyA82komtYVLw5Bd0QiHwp6mhr5qT6vimpOMPd+WLlbQoWRiermHQT/LtUvsV9K
6alucY5qm6w/dunVIB8zASs9CZqjxkIxQPwaIyrD9luz7/nYxP0n9teR7lGvwB8HQgNX2zcgJxBL
c5PmU3/9T5//2V8X/4JHisyT/hJmOYSs//TXpb/kOXAS0xMlZwx1/Ohnf137SzNkkHMyZXdw7Aqb
7J/mO+0vSQJQZ2ESFD8gqP9Og/2sMvTxxTkf1K1IPJEWnJUyDE0sKTsrENxmQGmPo521oKoMi8i/
/3pPf16v+TgU2ClZwjlAyPj5oWJZxTGj6i2vOrJoOEHYyaexzng5g3sEmSjqKLBYZXnBd+W+P53l
50Of1UVKOsgCeUGtq4/W2gcg3FMckIx6G5rfKFlnWfLn0uzfIwFeCpoIiRqpenZBB8BRcZfwOsrE
3C7YZMspGDhFXeXmsdNOeaBvITD4en8sIzSubbQS+oGmbNS6eas5mkoK2ZDhvBd3AhYKHZGoEFnb
UYqOunVpyRUEzsSuPO0IE4DdLybxIKRoAancCp6Lch0o8m1BOrCIaC0tsqs6waP19a380+UEF4Nl
jagNi57QrxWg1AJ50EacY0oqp9b/aIMrtiULuda/qQP9+UC6BsyMR46j/XqgRAOooVfzxSwOJqR0
jAmDJLhl13/TeTkr4f991+R/DnRWuJS7BmNTDJ9jGHhpALjo4GdVVWUrPstLEsvzcfqm6Cuf9X1/
O+bZVWzrOG6sPmndhlDhhr1LI6Fgpu4sWvV9oMo7raFOK/TM4Qp4Qs3t5zaimaytFHxueDn0rY1y
FX3EoAPnSFlSB6v/nxv9z2WZ78+nar9IVUkYI75iQVB7AXfDTN4kMVvVuvr49ZH++Nh8ugHzzz8d
yehwzkwZd9oqWFim9zIBoolCKWwoL6Ju/OYpPet5/3bpz6qLoxdN+qhzu8HT2mbLnl8kmF5/mJAt
NKkJfF28VbCNfH2O3w2yszL/qNVa3OUFCGXP31lybAsBWU24uvRkb3YsBtnRfn3EjwfkU438/EQ/
xuCny5oplZKrHSeqedneN/R9nlfXOiCXsqTmEifFdTIWRwwajlrgkfSdnhJOXfw30/FfSlDmofzb
11BEcU4YoTdwPvWLxRAmusk40jSBYsZ1ZqREr3zzgvnjEPp0kLNJvkhzLZ+ElCHUlJTKDGzjAmtB
HVxbtinj49eX9qwK/veV/XS0s6lJyHyjF+enV5Yzu6WM23XfDFL5uxM6m5SqQmw1KeQQljxdJlb5
KmvJphkJgsytrdFYm7qW7kxf33ttddLkw5Df9ST6xmZz6LPm2SihaDSvA5bfHkhMWVivbT6tRJoV
ijfAse7eamG8awk2y1n9fn15/jjWWVFh558VAx8dzE8DTy8mC2ELLzWAEMtwApWtXEpTuBsEpDRD
jlFL1L455LmY6+9b8umYZwMAQVWhKSPXKzHSQ1T29pAlBHUSNq2W+0oc7f9D2nn1xq0tWfgXEWAO
r81mB2XJVvILYUsWc8789fPRc3HUojlNzLmvEtDFnWrXrlq1Vq4oz0E6bFWBFymkQv/dkGc7IjVT
N2lahtxUxWHw0EyBj88XyTnQPKZ6wnUlhitDXvRjJyOeXSFFTWKyDjEpWIiOTLm+TD9kQkJEBc04
LdxC5W91sNrnRypNM/nXeT6xO7sXoKFDg7DjqAleRFKPpgiNlmc4xEO93Nb96KSqdN8ZnT1K9Nb6
NuwL/+ZmOvmC2X1RKlpguiMjbwk8jISHHywnyXdNeD8/1MUzeGJndlNYFYCpdrKjSTR7FwHVgOsa
FZ6OHEVO0v68tWnezsyrMqvTJjk6ZUMScd+GP/r2t0X6I0SgtM9XArjF04liGxgSutl473y9bcUy
sDI3xI6c/yoq6SIAmGQVyq6J+pcp5duEK95ycRo/DVqzgdVBMKhF4xOAA0wPRwQEeYqLpbBtZQ9W
fXF/fh4XnfOJuVkQzpO8zMmL8KpRfwd9ucm4Xc9bWFypEwvTCTnxb20WQA8yDSht0yOXga35ezXr
nqt8rXa/eHeeWJq5FVVp4jQXkUh0KdmE2RPCiqFRbM8PZ83I7KpRLDH3VZfhFGZiB9mjB08SLIXn
jSx6q5ORzLxVk4de7mtBszfH/HsYiGTkdTsf6qdIKe/RxnBIYN7K5IfPm52jZf73XjixO/NWcp+M
nmxiFx6Q56GmUkgvRffb5HHWk/bq6N2WxeIQQzkRxzCYZQbNUSnSdgjsIGCnjWiHm9q+VgYCw5rb
gxbkwPs3t8fJR84cGg3k6Ge2LHOay06toyfr3qQShMLjFRX9bQyV4flpWVuNmWdLUNPTxYZZKRRx
48rJRW40d4XrPrhiK27UgaT5aN4V1E3P211oTiPXcjLSmfOp+5Rye4JLjcxvkufvMh+5KFl2Eo+3
rfuSeAlJUpEyDDRhcbqd6N1MDyrBWL0Up+JA0RwF1TyufNV5lwjvy9cDbYyBVggC0yFJT16gXCdq
eC+kNUGVdptAg1mhsDUEVFiM4ABED5JiconUafxwfIGB5Tsqr45ZqvvC953znzaHJv5n/9KZQUuB
qInabGsUmaI2FfKG+BqJjCMc+hA7y1l3I1TNoU0sCsAm9SPjwUgR8UrIxAcy3xpepNTCS4hLjdC9
MnKqsTH3F20Umtx8g6hi53f6DWw8t4XhrXzzsj/5/OTZ5iq0sgqEkd3sZyHq7mikUIuBxWVlLy37
+U8zs62k14qWISnMtZLfNRXVf+g6zk/+8sX1j4U5yMiT6GoOc7ZFLsmHXBtgCGidgg4Bv3636mZl
F66MZ94aDgmO1Wgh0zYgpSsHv8T65fxwVtZFn11bYjNk6ahhAED8llO66zRob5OVSfs/dizJw6mX
XqFx5+thotfckxJUiXkc3aOqYrv6t1FDWQKRNIFexcaoHKFB+7oh662JNOlQl/DSB7Vx9M7apXKw
02G08SJx18mPYYQ0QUm/N1CGxmiPqAet3BDLi/z5ubMLwhRiX4gsq963FkJGUL1UCMgYZNmSOz13
V9Z4OXL4NDY7zalqpFEZuPU+Bb3kek8qqDBXgTlDHb//m8X+tDQ7hD46wKOhYskFXORD7jSMdy6E
v+etzPmr/uOePs3MDmE/CJlAWEeAQhNHIxYkUoZDrKBIkkG/n2pvWRU++OE76rOARcbLOiq3gaTs
Gz89umDz3apf2X9zdOf8k+ZxdCVEYVn57D9DhULAhDazFw4FJC9Cal00Ms08ZbrzFc3JqWTJdWcL
+nPuvUhkURuluDo/Qctn7p/5mfjHTkNFSVFDF3hwvW/AUTc3Rf8MlfN5E9MU//VuoEnuP+dtasc7
NdEmZk8NgSWoSMiOWrF1heehEDYlQEQXARUt/QBHt+J814zOAlNNhAQM7RgKr+m75QnPvlc+6GG2
MY3aQRr5Dsewr9J+bbstpk1Pxqp+HauQRm7rNuxqX/zWlPG+RE9YyaILnWbqNnxDlMKOkE/vO2Ml
YFqOED4neebUxD5orUrAcCDcmd6xA5IRS+ohsh4poTjKkB/OL+o0kHOLOvNKWpx1aqxNxxflwxQd
DagEVw7K2pBmvsj1Ey2upn2DsMEAPaE8wKxRE9ygmdh3HAl9bfXWDsPMJyFKlqUuYOB90f2gMmbX
6g8jlbZaU0GbBiyhnSAQASw5FgiX0iHRsMn0x6j7QQfKyuDXPmXmtwLCbUsK+RSP0q5vbnvQJ7pa
PJxfxeUU7Od+/UOMf/JS7DrX8uBEJi1kWQfme5uUqHCgT2+F3VZBTjPp4eKVsyeo5XeyZ6Lglr8k
lrU//x0r1868LqWm3SDlMZ8h6U8VmEw5uvPGFDJNYcUtrEzrRBt66ot6N4MwdJrWqv0pt7HdKsMu
sFbO4uKNrVMopM/YhMln5ns8Py7ctsVILFvfswy2jtilWTO166IGnGitjGk54XVibzaoVhKzsQ2Y
PSsBwxK7e0GEaq6A7RoEmeo9eZ5wjNzXzH8MarC36spWXRvuzPVwUxmqIGHezeDn9W03QQMVBjdY
8/F9yspWWVzBk8HOHE8cAe0fjWmr0C0Q092786KVC2t1QqcRn5yKUSjTGPgWuYBBPyYRbPtSeCNC
AtcB6cnzwOkGQGqhfimFh8pEiThpV9zr8pwiRi6b6CKhMf71CyxraKMsJujzVYcy5zYSIE+AXSET
6KOBxu388Zt3XP1vSKJPfLqwoMD0OfM2bpkIw2AZhCQl0mVwK5qoDFvp4Iygu9IhgvB72MRyu4mF
HDz076qKbG4cSNIbgF+ho8ASgh7t+JKKF0b6npfKXtZqB9pn5/yXLjqKzw+dx05KZg49EpCEK0IF
0Cu9zXqoNJtka6X1ykZbjCBOTM2WoGobdxw6TBWwS5jQ5gkmiHyS90kmOpVBobx1ZODd5we4vL3/
WYl5sGQqxTBUU7SvTcEKEsd5BetFsuL31xZcmbko2UjVXhwxo4vxpexC65G/J1r5kma3tfeogjiv
S9szBbDG/hX0h4AALYdXPODN27GS+CrEMAzxTjThAtFUBy0HBE90JwVadn5Clg/jV/TL6WHsTR4J
oaHyqeNt01/FAFPlBlabUdviZS4qNaPC9RZHL332YSlrSe9FYAgp9n/AN7OYACK3VmoNhQXJ3X1l
gUSHONxrvqdI3gkm35JdaRXqgmstiIs7/cTu7EgWRhmSx2XYlZUdlQpIowlPDOqLhbgS9iz6mn8s
kcX56muCWNatLNCY4OFQQE8YgMA3rXdAqTDu+GvLOe2svwLHE2vyV2tqb6BeqzAub8i3KaU/uv3t
Qp+4N6VjVHy3/N8ZUI2xg6213HrKL1hOV9zd4hk7+YTZ5k8y2YzUmk+QzAetERAeudTMtcz4dOme
G+fsUs4tlEiAXREERCqNDdIml73/chzTOE+uKWGA0FgoMWHRsmF03PmQyRlr+YflyuXJdM1u3GLU
fcXXMTP0P3qexL5C700eXXbCh18EQGCfyiZxrD6/7erf5w//+UNgifOLWEQf2J8mUR7Qmx87xzJ2
ZgIdUrP6cltbr9k5r/t6rH1Ln/blrRD+ZHy6+F0GZjHAQkGv17UxDoAZr/IELg730ELLqVnDShFi
bbyzQy8hjxz0Ix+R5jmQc3Wfp5ZNHxUU2N3KQfzj4s9s0D+O72T3kM3Tx6jBVlPFm967U8V211cx
/Le9IwdQG9GtAP3pRUtMKXY6rU4hoQBCq6NypbXd1oCXrovDQyyjvqC/JMpzFXgXCDIdDY+3hJsh
NkeDw9SrMTGLXdB9abuhZ8cuLdUI4ESdcTy/W/4kK84NaXZlj2luNnXGdkGbcmNILgoaAh0+FtWD
3B6b3smidzkFX9JDNQfIN1U6itM/h+Kh9F7TmhdW9mvS2ta0y1KCKK18gvv+GjWITUL3WlPTtOE5
pdzZtZfdaH1+yEbjWIprBcIV//TnRjxZmbqFcBIEEK5j/KbkHlpPleP7T+cna8XrwxP/xXnIrZqq
RYoTLOPE7hu2GI0uqOAhk/mLmvKKq1oMpj59yJ+c2MmQeqvp40mwek8TSf0aoQ8pgOpw05+dHqBS
+yDQiHF+fCtH6U9i8MRiGJuDm/TTXigVRwBTD45ok1ioMJr35y2tLdfMSfkV0p5hNzkpIdqNAvov
Gqregrr9r8zM0VKEmoI7tJiZOkO7tt2XknRUKcadN7OcEvhcqr/AMdnYF1mEHQPK7yx4q4bvEn0K
biXaHkRVk6gRCPxN6AMIR4+8RYBMg6z//FcsrZ4uofsxsWpBtTTbnUbo9UCCUJv0vV+a9Kvpb4ry
Ou3clW25tHSnZqb/n2ySoPZ9PzAxI1UXcPHAPmc4wfBxfiyLEeyplWmwJ1bEqgyKJMGKmsJT15oH
guhB++hbyJw7nlMiNi/7Cu7Elq6bfq3ctRjCntqfXW1tNPpeoGLfhfbLE5GZRtsoG75FQU5X7UVr
XY1qYpvFWjF1eXZhbpMmQgZjvpM8SRoV8L31PnNB/KbARoPbxlNWzsUiEg26h3/MzCJKv/XMzLWI
0KONew87Cu1bW5Qb3X15JdvQgNHNeOVdInh3kV3/5k6z3VvtotVp4zhk+SZoHHHF9SwWkU+/aBZg
mv2gR0WObzWHzJFo/tCtvSGWthH6zghne9F+N+ud2v0OW98Oon0pVE5lXQ5ijAiS6fjUAla24HRe
5jfj6RfNNrpshErpVXxRr9EXGD8o9DJ2CGiVv5Xh11i+aR28odJe69404aZQkW+kZev8N0y77Nwn
zE6BDNWXHFXsBs9Dlbx/1qL7sPxVoTMXI9Wqj2uLsJSKPx3yzC2HURCWKnH+XoLXXhje8/6bGV0O
DT2htFNR5tqY/iW1jxWXsnSvnpqdHTa1T1Rv7NiNrgh4aPztNwgzIt4uNgDOwNqdn9S1dZ0FjL5c
VXEWMsikeFfE77SP/1e/P8+3dEUol2SIa7hI7xHC26ABsDKClW0xL0AZWh4JWjPNlyLspbzc5NrT
4HZ2WIzbsgPnjmjZ+TGtrNA8xQKvuGJlIhZ7SXWq7E1UYfH0qmPSQmbUBSsFtsVy38mGmNPhJJKn
i+q0RLKYXYewLPS1bmvDw6AGP6XGdBRUC7kcHDmsdkFIH5XJRqUnvxiMY6f/Pj/25btAhlTO4Js0
cQ6uM5VcjhDlqPe5N95B97/z3ODKotnND5MbT9YvBH98k00ajRH9OG97sftE/7Q9ZzzO06Yn0T9y
D9YPsZfulazZIjF413XJbSL5LwJiHio6uIoo3xmeiMCzsA19euVomi6E+Fcumxv4fzY9kiahrv/Q
kS9tk2PmvyQ8QFH1gR/b/9H3T5H6EJvudSDRld23N5qMmnh9r/Tets8v4QfZqj6th+r4L/o0Tsc3
c/vFkIlhLA0cRk08prVmy+WVVUqUneWNl5u25bYrh2fxhqV3iP4oC1GAOfjG0xO9MBRmNMh42CDh
kVh0j6+50sUDg84apJ4qMPl5PaNVdZRqSsZVD8+o8ID9uPHED1m9tsL381tkcTwnliZ3dxIpxWNI
NxpP8X2Lu5E6h3eDU9NbeN7KYvZTPzEzuw3L1vQjIEpTbuYRiQZnSKpjJSH9gqSbjshSSVpK17xN
RKyEmNUWUiXb0u87uts7ZDyNMtjIBBCFXttCe4TLg+tE3ZQgRo0g+xcpgdNvnV2b3eh2COfwrXlu
bTm+8El0e03otmK9VhxbvEwQ+zIkBP4QAZ89n8sK+VJDauv9CNOMglyt0jnnZ37R2Z9YmJ2QskMV
OEdQj0cZVJbwS/T0l1dlcyNK3/KI2lWd7M5bXGxk0k9MztZaH4xcL5sGbw/oIyRXEdDQloV0DAvW
RvI6h9oZPBstvd+Af+ufQcMqiu5FGWb2WKEm4CvXldnvhyh0SsBIRr+W4f5705vq1OIIrR8s8Uz8
100fNUZTdhMEY5Do34/hNLCuwM6vTYT8V/w1mUEAYmrzFGG2+2rG86NITGQq9qJgOa4OIwZK2ENS
3KY0/yraFJ2WiE95B2XiBklMExFO75jzx5biz4gkrwoKduxgTYBBbtQnjWlEc+XGKZphJZPz9078
+q0zPxA2QsnXUJ4YyLC7pNoAZ61sxeVZ/5yO2azTvkgn3VRhU/V46yHEluv90bXWuhHXzMyObzmM
BfKXVJG6CIZiOCVS5TWTH85v8ulHvobWTBftPpYyXQJ09H5dWtWNVG2c8l56hoxq1SIQq+0LFSYR
IVlZmYW3zVdbs/i2Stg+fkk4Iykh8mutwzsH6pn2McqQm9QrO6m7baGPO1omb9NS2RkCmBfhbRTg
rQOSmiQZNWn5cH4G/qSrzk3BLBAu5SIcFBzyPh3bp6gadolWOFZu3GQICDZGtqsypsVU6DxVkXKL
YPWnL9/vAOqsPv8Wd+/ncsxhmaGbhmKusRxtb8H53WwEGarcRt5ZA/LMbZVchrxPSyHdVqN40SXK
Lmqa18q4tuivPT8vi9vv5FNmLr2Kq6AuI6bF7DWn98oD/RubRv553soCyu7LppgjN2sxT4q8xIyR
g852n7zMtIsIvFrnoQFzW1FArCpx51XQHTEFBbk/C9Fqt+3tJMy2kn53/oOm1T6zG/SZr6OeHVQ8
wnlrSsEl/D+wDDkWr2tND+G4TTZt8CGgPHDe6J8q+TmrM6/lmlpIA8G07iotOdCehCPPGaQgyH2m
GxNqj1w3bFW61ZvqSg5FqhryLjKE6yn96nUvphrtA+057bSD1IUbDT+dwhYf9uamJHRUh4do8K+t
UtsbA5BzSYJZaK1PbW3DzNxiKkmhxZ3Ja8W7bqN+h+z8hm278gRbdlg4PgtBKxWm+K8Oi3JKB/KG
J1jiJnZl3KH6vWmb2JbjtUX5O+KYduanpZlrbIskVSL60ODLy94k8N59cm2AVgg61PKSI0+KlaEt
lMu+Wpw5SK2LAldAwpSCcbEdVcnWyXkr0Q/D+F75fy7SPR9k9x10Le5Kn8b/cRA/hztzg2Q8JMWF
UXMvJOnehUMgU5Xn0AsR8jKc+s40Y2eAGaQOr5Mhu7X6SeM8RwvGcuIhARi5dv0pyyfxnw+aP+/z
Wvfdyif3WMKzZA0efFrurk3yPRxwqAlCTlYb3zqRyCNEiMTlwRebyI96cKjkyn0TKvchon2GyUvR
u4PUYJOCopez+jJRvlNhhRble6HHH3Lf2HTDZEa5gWbHh+fOkqttiBSeUUgO4fIxzpEVgp+xUqW9
FBk2qfS1x9jkTP8+/1B0aJDPyn9U405fLyotd2k5MPmlDCoCWkgajtHxBBXRF5TLil0D2YHVxo7W
SrBfhocsoewB868da0+SfqhEYGKSuG3Ta4tMkRA8yC7EBdTgiyjYV4W4KWHksWTJMfxfOlxGuiQ4
koWoqvFo0T9bRtee/CyW92PwEQ4N/F2v5hBvqnBED0GBIvbFR4zeyiuYGfSNrnd2W/2IUHhPp12B
7FCdrl3Ly8fvc0pmLhEaSEtsXQ5DMRLbJvqupVu4KS7RarS7dN+EPAFSGIqKbD/41GeKD0UYr+W+
RF0G0qE69/deazoJ+IDzzno69+fWauaBKr2OUtge+TBBukA/c2dov0PZcLxA2AuSvtItvejvYLZF
po80tTQXCtGbUOjzlHd66F6Xwn2CLlPyDPHf+TEt+u4TK7PLPi7GymoVXs+a/xBLz0Z/GyBIdN7G
2kimV8bJC50SFy+LhlyAAYOa9NZZDxWdtFq9FkTN9Q+ApOFGTwYzu8ITuSCiUzEE++MGmhK7oTZp
NHACDUgQ8RrRExnaJDTLgvpCN45N9iNrIYeiLQN2fSehgJ6Ob2Lwq9dfaPjdiOJbBTeaoMNwCX+h
Hl5BYbMyOctR6MlHz3ZVpOjAARNWwA+omNXuVUzfT5E10Cf9MmDh0sCBdCri0SkNmd6DGT/2BvSY
3mrbw7QM8+2tmxJZPqpnUOfM7oECTpdWmVI2RT989yCGbdMLIfsgu2PLnP9aqrdaAho/Lvej5ST9
2/ldsuT1Ab9SRaQhTIaz/usuiZqw0ouQ/a7RAD1qh1zK4QGE5BW6uly7VIznUl1DwywkWk00fz6N
zsasBgpc1RKTX3nWnqDXSXzIBAIYPH2KP0D+NThhZPRYYQan+n0Qtauo7Ddubx2jfFwJvBcSrV++
Zl78qrJcDQWDr8kFOMGQ1Na7X2X2miGK3SrNJueN3Q4IcQEuOD/3CxmPybIpqaaoSCLv/a+TL0Ie
UHlTGgfyPqePoVWETc+478t7OtL2elluRPTIc1QCY7jIxh/BQMxuRdtAQ8WMD3Wlb3HY7LQso2b+
/8e1f/24yb+c+A+aTcSips6515LHluvc6r+H6eP5GVjy7acTMNt9qJvHEACRMnN7ddtnR8O6boL7
vmGda/943tZ0gf190D4nexbtGYlRkhlimUVX3GdpZde64Jw3sXyYPk3M9nWlxHE1UmrfF/G3Qn/V
xNFBjnijtHBTZRZUf6ib18Pa/l30IJakmaR8ESecp4v0IigBeTGJUfXLavtD7rd06kh2hayTCexV
q+jFfavDzjbz1hH9/b8YtDWxkpGiMbT58XHZI35QsU+MjcQlppuXOSS6XeHZ3jfLv1pDQy1G7fqJ
vWk6Tval2klDlkmkCUsJPGn2VhIeJsgKioHAzePaRdGTtFS2DaF7pa6FSdNl9tcugpFe0yAkgSB5
tsQyJJfIYVdkLzzjzugL26ovZfO6UxB2ptjh5g9yFjx6aM1NukiQpjh0Y6/4jQXgB0fz8yPmNAhD
0vet0BS8HdwR7oXaHtR0i/itUxvvTUEmtL3piqMAZ0gYjhdxiR6esgbN/NNwcmYm5jWioOm1Lm5r
IqWmoH+hfEFMdaOJ1i5y+6O0yXzw5+690N42SrUxsr3u6tD8PubDS57dV9Kr6b8M5j51yT0AzFdg
bo3TdFPBj2EMb4F1TWJ0H5YjnXSHYkTn0YQO3ZfhJtYvcy3FUrDpxEsPQS/LyjeiEG50b22zLfqn
k4me7bXUjIQyHFltPxQhcM+u6uq1i3/V7YNXJyvlg8nZn5vPWRiVp1WaRCa28lHYDhBed3K/i8zX
86d1Kcw3RDAYUOrodNTOvKAQw5TnZayaEVT2iA58KwKkia+S4ClLHk2o48/bWzyuJwbnKTZXgr3c
90uy+hRdFO8mAmEygGGQ/WfPUI6CaW7rIXs3fPWQQwy/Yn1pUg0RftlJxknW5+mLIBKlLlXpOBiC
5JbwblNUv8lZ2w0c4oOgvxXab2TbtpmKBIlW2C2E7TL0gW6Ub5CzX/mahX5mgp6Tr5ldd2nWyqHv
58yFXFyDrwaO1b0bYmFroCz14rqLL7OiP3TDz145+BXxEEfKy2+N7rcqC3d9+ZHFoa3TuePTwt83
3/uu2McZNHNBt+Lolq6y00+d+blYoaVAlXExRkLMgTgghNWww6PQPBZ25D5UU4ZSKFfusuXdaRq6
MomnW/P6ZTZKQpdPMQfZkW0Ad5s/eBuxzbZR8aq4kh0Ha5CrNYtT1HBym5hyIoXpdHtForwlw7cJ
s9Cu/MSR0vwY4YxcmKpXNuVS9gGs3D+jnDbtiU0v9o1AdbGZm9JNk07is8BcqtekfOkHWHabbR/T
tj6qdlemK+dxbbyzqK6SgzHpW6Ig6CXpVQo2YVXCouWU4dEUnVFd63ZdPIDSJErH1qfPbvbSbaJy
7EMJf4My3S5iO0ddc6H2T+endM3KzE/7SlDUhT45GQpegvYjhkfa5F48b2UpguSh9M9YZh5aLfUo
twI8dK+H0H7SXrQGvl2zMNuN+qgOrlIxjgTN8R4O/S6TtucHsfjyPR3FzAlFXt6kIv5v70uIImgw
Q0v0HhrptSbd19BVuuKdINw3Rn45dr8aOKA9/d6As2blM/4GfU0PQBoFaLvU6BKcfYbYJgraWvhC
Fa2DKaOk+fA391RatHLTlqibtD9SsduUKECcNy0vngHSfqIBSy94x9n5syooucsmI0w3vsVKcyPI
3qaMkLxys6dIsmwv0/dG9RJpBYm+Epro8di16S/Nu7My+otRT4lQjKeIBVW0tMmS9FJpCUj09Elu
no28++gscL9mZ4Pa3oCLOP/5KN/+HSgYJ58/O8KJEKe6Ns1clF4WKiDm3EdwGjL5Iuk2XS07EZov
AketgFzM6qKtR04GCfouT1Ay+YhxbiIhhlrm+5pA6vzXLZ5EMqo0RKrKRF/71bdFstGbgs+Fm4ia
02YsZY8odxSsrOGamdlBAZpbh64cUTaKPsac9Gj8PnRrtDCLZSLok/8ZzGyP+hlXbe8xGKFFsENT
7qfgxR0Ap19OnCNNNDgl7IgeHQjWJEUikcUo1ItBva4FnuTInoQNci3CWyz/6rTeBp19n49UOwfQ
CbG179SWjPdwCSPATofnXtSzfzVPloLIFGAR+lO/LkfSNhz2MsZldZet+ExVtcuzlSVfdFryp42Z
8yV2snwjYpZC8tQWLTBmI6/s+TUTs10lI2+bIjTCjQmjU0UWJFfWKAXWTMx2VBHLCV4BpyDCdJ4M
d9JafP+nNX4e4HPnGwqEOJqKKNXXtdAgWCwk1N/2fh3scz21KyG4aAzCDq7iNEMMyGi3uhbbVYJE
hVZtwlyCL77eecaki0IjTAhuLD6WEnzCDc+eEu7em6T5MNTvfRVsB+v3MOFBUHzPTXo8W7uK2vtK
fYzCgx8alzqXYpldjUrhiGm2EZA80SOKXjHiBfKP825g0UedjHU2m5XvRsVQJOAcyPDWbgo7P8WP
8TWVeOIBO1AQU9TgpD5vdfJ8f88wO11T2Y/yPJcaKCINqGVA0DrcTFF+JH8Tul8F8fJ5O8uj+8eO
NltJNHN6JSabvS9HBUmBx5B2u+o9b58EqrxaWvMA9x7Om1y8swxRl5BWV+gyn7miXmqTqtIwqcvV
Ie3vWrM4wGgG+NtJSmFXsW3OG1xMixonFqcvOolS+0jPBT33wRJ2xc4bX5Is3pSklZLOtCW1cuLo
Ju7o7F1tllw8iSeGZ0+PsQVIrAoYlsP6nhD5UuzWsu76sg3S7YZCDGDNM69gPtCdz4WKnHq/1cTn
uDEfgzS4QqHsQ8ojylgkcNA1teRbSYq2mhZe0xf1oHe57SJcbqXvgOQ3vYhSQkAfvuLuvGbcAKDZ
pD2FP+s+lC7iQj14BdrAgLF63UMVuSEPIm5kSp9yLF0nVfmWii+F+NRzWfteu1FQj2oG0/Hi9F7Q
crtCyqHTtUMVdNci/YWhLziR4u3CzriIyu4yDvRrLZZ2AIoOdKzcN5Qn2v5dDu6t0D+03EFZn+4g
QdmWaT/1AtmNtgY5XUxGGbzW/jOV82RU2XqhUaVMpabfqiF7BLZRnz1ShTdq/G5Z7mbwwHWMxbEO
ciTZMifUhcP5zbr8sj75iNk9J0QNioWKW3HPPatBv82D3178AxGCjaT2CFNQfubeFijbmsFl1Ci2
lrx7OEsLOMOgvIR8dwGdsBij1wvRp1Wl39LB2JSduS/TNSbJpbMMgYNK7Eu2Vp/Hn2EEyhxyMnKI
cbgNodxF3mtjBfcxCURlPMjSWof6JPPwl2M8tTg7y7mRJF2GaDa06K+FlzmqFB+TenQgbt6K8ORk
ln4VNO9xa0JhXu5MzbXF0EKlJ3UMFHXazN1GJK4R8HE69PZ85VcEHZQn0FjvoTrn9U5bkroYvgWE
QE3h7+qo2405yRQzPUI1SBSMAJif0ddEQ64/7M8vP+jLJZdskZOluQixBFObOY26iKGwTwl0IEXb
tSZV6WFU30NYCqOup6jn/2wDAFVqZ71ldZIehIiaollGH7Wrb8TsqRAvmqi78fpjG6U3CTJqpNQh
0YCqxb+U2xsI5ah5R+jf/CiCzk5D5b3xRm5bTTxY5kDvsUEwboU0yQOKsIytVpQHSULFUd1K489y
vPbjV0++SvXbDH22OkGcXr2pKn1bh/2xs/qHAUWjkfeE2JV2MribTrhSq9s6vqrdjxQ0cZV/+OPd
aJD86QfHHVSwezeVCTqGJqR00LZQL+zGGiJO+TVMrtvhW9+Ph8rPbCLDS6MUNwbUDxa0IXXsPZoC
bQ3G3suvgBLD0iSpKSgvo34fQt1RsmIXtagMGuK4y1P0zaUaVa9OGzZDrVKVqvvLqkdRulf7YBuK
2UsQ/4Sr70rS+ndVDjcB8oZlHXzIQnU15sNVmrdvqvTdikzbHcY3OKIeMqW6qJGZQvJ4K3iao5YG
okLxNykLLkzPB4oVBpsmUxDL5c2NI+tQVQIVBlQD1aAkUByIRPxHJa86kIQsl9TQm+QraBKO1GBQ
8EOASPSzmvUiX44innkbxjovhatAp6NI/fBgT8iVXaVMfNPcZwXNTQ1ykwd4377VcoPoEudAEoJi
m9KCrLoVjrd8gwcftZuRwxB+j8FLVJ750mpIjGUQjkRaju4I+EGr3sHMQF3TKavecV3kt8zXQgGS
TwG+bQwo7L65Uo1QibXRywtxWt+d4vl24lGPtt5d76OsfysJZC7teyEj6hZclabhVN5P6mSWQGpf
PTStdIDuj4TBJuNJ4UFA0sc/8vYlzl4NtWB03ibkHjVzuMy8bRMe5AQPOP6oTX3n+cfCRfXHfPW7
DkRJcgABewm9Eykvel1Eux1tH2wK0kE9rJtGegNzBl3nEVdZREJeNh9L9HE1A6VET2NeXdA+L2pC
r3l7EQVsr6sQEiUFiaAPwADwno7iTW3R1uiUxqse8rBufwYQ54nQjjbmMauufYGFsX4qgjP2GcX/
Y91STXgsTYp13ktk7vvCIWjsqh5Qw3siNDuD4opfhNu4vEhV0DcZqgM3lnjlGiGA/8tBvVetu1j9
PU5eC/Ukr0R3DbqW8E0IENNKNnFGQ8tR6HfjuHOV61Le5O++ezm0r777SzEvIjT5euGx6I5EkS5M
7B5FeXP8qaNj1hQ0qAe3aabbpppuUhbFNV4s5d1TLoL0KkE4t7qI+59oVlrKqzsUoLlim2YifcIc
yA958d4KN6p8F5kXrXY5RFdRRFMIIBso0NPqwY+KCxhubZGNmoSXY/Stky/D/Ent7DL8JmhHZH+4
2X9446PaX1j6nSBfpIM9xI8w19t5ZkclwDH6VNF02QcgLaZluh/Nm0yGy1p+ctXbiCxW+ICUZKI9
BTxy1fKlldDr2ho6hXi7dG/F/MH1fRulRrFBbZSDZR7j4i4sHz33ljafLDu4mlOEj1VqpxOLFaS2
Eo5R/t01m6E6+OVzNqBpde8bzUbWto2898vLQaAmuTPcTSBfSOqV2oM54uEcP3sjrI5ttc0zTr95
0Whv/8PdeSxJbGXX9lc6OAcFbxTqHsCl9+UniLLw3uPr30q2I1tPCmmqICPIMlmVBVzce84+28ST
ZAsZsPwZ+WtpbPREtaXmCzIDz7xFpqwdpGih/Dy9lu1zMW1BdEllPeu8JQZS2qZWnEBli2udKgZd
oiSIMQt2+xbJkadXp3RM/AT/4OCpZ8vWcL3PGrdftvi51cqhWlSCfPdicKxTGE77Qr5KumzPUEXU
6ismpFAfMjBHiCrYoXXCLhHJb63vDgwOIbucONt+OTbCTSVfcrGOpvSdpJuavNQy20dsF6klOEUA
9PqmkWkZ/PTqVZeoEGfCijUeBLsmBlaN4e6/aOZ5Cp4lrXXSSfVU9mStQQMzXWNNQpFxK8vVGL7q
8mvfvkvpIZu/sui3eFc5feqlTVWsrdYtWk9LduNyguG6ZB9iyz2znmaqH4v8ymA3xM9sbY4SpisB
+aWWXwb5QbS2MXKv5Yolm531XlBeLbgbBQtQAjpOup9YFteRFK4hym270HANAhVrXdj00WMTs33p
K93aLuwfslzbPZucUm7E6VnVI8/ogUEKWB+SLauJLSP1GDPBroPUrbJn2foSFYIZybGLG/OeFO+E
IRlw1kUfQ2fIHwTyxwfUxEFuHtKZwNRlcgg09lRj3FnzU2lRjrQYQ/TyXpnhl/CxBIsNdQkHz2hP
HKH3kjxI5lcpKEmCLVl2i61qdNyk7sWW4Wlj6Xaq7ugCWW0jDKe4cQpEMVL12ofqWpVjXHAXNwly
u+BupQGHM7nHQkegYv1SK6o7LtDGaxKGObzglqi7KCyObZoMxOt2mzwIoCES3YKb7WQ9h/lbnXyE
o+bkFntKhlxumPyoych0fKnY2vSUIL/kLepupvwlqO8z4coLyItg3LC/JsKBMDbdsoeC7HJJXBdL
6idyR40p2xICGkMxbRl2t1qJRNjO/J197Qjl4mKKafftm9zV6xDztFgr4N5yzTEQFwmprIlzXDLB
K1kbY9buwmLxphgOZE0SHOy/bSuPsKWomSzgJqHczmLasfnEuyXiQsdkfk4WZmAzB25vJwV/PBOl
pCTvklTOZDoa0nPbf6i57kgjCY0GsXd64AdZ6KvQj5NG44x7Co3ZqdXXhTk/WcekNLPPGLicyPTi
M9Kw8iLJX3MqMTQKbbIQyJtEO4RLe0Z0bdV8lMuDWn8GleDgPOrGlbYuNIL3RpNxG2GyGOVM6m0c
3tEB24P8HkiSywqlNvsQqse82JsxT4XxKo0lIVmXkAASTFUwKtqaHIU5fDeJ7kcOnoyEHmKTdVc8
TVxJsRp7gggS58c45InnxLeqZSMGVKrZZ0NSdq7HW+izV/I7N2ZROFYoc42KdZG+pDF/fQVpNH9V
ox5jlwlnAK9fDo2yieN4i3zaMYjKHRvT161n05x2sVRvENC65qD4GgzWCvMmBWJ9eQ9SsZ6kJHIp
9Q9qGrui3O1ThVZbdShCYsb1avLdNvoN8HC76CLKCFJDWZ74w7L8c0qZEbuY1ut1keDcgl2oc3St
2Q9RQcX/nrdv97lB3ZDAzC4+hau0QrN7CTqvg74VkaLYmdADWaGhsZKJDQ2yJznZRsVLHx0CDkEr
u0y67DRm6NcjavurwYg/CHzKLMSwAUyx1ggpwjG0mA9Kotuzvqw1vSEhxCCOsHdm6W3mCkfGl8FK
kwpqrlizi1Eg6BTqbcolwEU3yxzKRrh+50ahlRlJAR10YjpXMjmjbVJu0nI5iuBp0BClofFzI1rr
3WERtRPtnZ+B2y1d7LTh24TNc2WwMykNSZsmuaO3OEouBdegj/V1GpEVLZDrq3ctp+CAh01V3Cpz
3mK14kBpcZO0+THi8TY326TXSPy0mH02EMMhd4i4OAksKfO9ZO8ZI0qZXiFz/BoPyTkqU89K+HRT
Pjc91o79oWcLmidCwOTRC616B7BJzndnN7jE9So1i0XZh2sSeu1S+lnKn1w12AKl45B12yFs2SgI
YHestN32Y++nWk/xYiIIae9pBlEFOzLpNxMnYFJIVw13IYDrx4WBMJ2MsU70q2ISJ4bKt2TDiKzM
IyM00yJHXoatjLSYErlfh3rlWWMewhqa1+TtHO5Ew7kkejUDVZrHM2Ue5+YmGhOvKOuDMExbAKlr
TNUcB6pXQRfHf3ndtcotKOsLRojftXJmwo5B9U8kEShs9Vuhu2KNBGc+uuphDa0x2+X6VRANy+kD
4qUJh82lizYPOVvD4vVy4vfRqybJ7IWbdGhXAjVfkdPT1BONejls51wnoDX10xDCdkhcZ9idUKm/
EvR+KDuFNHFS2qN1HUQbYyopVC1HSkZMm9oNz8dBnNRn2CSPcRg9t8vsa4vsxzFseRJ6Q0oVKTNI
65Wh86jeUufr1kr3hiU5irSgiEjdoF9WhTr4Yy6tDWU3ZdJ6ySXXbAUeLJJGA4wrqv574VsXAmbu
uU7xJK/GYGNKN6lpHL2MnomW3wEknhfycFWSUA1toba+prRX+Eug9WCHzqdrwJfmJX6QO91vzHOc
i+tGzzydSq4uSTyDPL90FL4K0hf5O16qA7aPzhjTKCnyixUrL3D3cY4GZyH6GGm0pxMyvoihV4X1
Oqjzc9j9NHKyDuTBidt9EkzoG+8R9mQix4c83Ea17GS95TcK1VCBAZEh27l4CfIXOoZxeJXrbNsj
QSghgc3RkzSOWN9QNrDu0qwmtxoJQyP6IlHfua7Yk5F/pn3sy4bpN4RWC2i9C4l85ok2YrhbFVZu
qEa7UaUjUlQc5ekBIk8uKo/CkfjtHyNFLMCt6eh+xwGWfHOZ5hnN2OyZ3V6YCrJiXyZmOS01do8R
F/plv6/Ez6aiB2qWnUXurjQ/1HgI9IjbgiZ07oGH5d3aK5HtJtRhsR1lvbtCFzSYLs6vDa6wqvoW
td96B0NV6q6jSlffCicrkm1Dnu3Y/OmMtaby5BauUTwnwQ6QwJFz2W9THasSBRmo4TbajyjUtoaW
TQ2/DfAQTOQdCQpVSiowIxY71q9S9NAQBbmMjw3mUiRw4zlQ2EuIP4uIluMxCzgog2adlqR73gWf
0WIX2nM2v8mz6ajG4s+TdhIEML9MWtFgMDTdNPoj0BCt/D1xt8EjoCWdG5Y4226HhYEcXpZEJNGc
vyi566ZJHCYCeXkMzK0ycgMmMq/lDkyR0OL8meNbGA5hyxbedG4x0goeVfPQzjuhfM+X58bwRrQz
Wr3NdToU8nxHvBgxy7eDmDT4fHAWkST6e+aheN9zBkdG9kgdFCy7El1cX/Wr0SC6r/aSBWvwMll1
i/yemucw6tZElfmyKKwic/KDaIF8l2AfA2AhLM6oma5sJUSS7iwVrfTk6EPtyaRxx03FV6nmm9aF
rZOYvZeZftVug2wzK1etPhgdK4Z8bkh1qwF4rbc+REJE9FXYHZfU8CXIL0JSOWGz66JbDCDVjOA7
57Q8dOU3XqR22Y9eblWrXGovYydsDXbxADwqoB6MUdHpeMLeA2zITXF0Vbfl4jEAoIZ6FZXFOa4f
y7HYdUhxZEqsoSQnWT33+vI+KqwfyuF0iO14uBG/6qpL75RytQ2tbSnvhKVcTQN9D9DY0N8J9doe
3YbLwPOQDl8ZVOokKZyGqw+JlNQI3evSryHgr2dUrmO4ooqaa2kvgzo4Ahv8hK9IVD4g8ZAiSl0B
M7ruQ+6OOKFhBPIS0XdMpKmEAWpBIKJJVNxcNN04qnmCXkUavZkSvltUW+y3ZvsRKH4nHYBqHItm
PHrKzBtlcPWjq35LCZINft+vE+2UFdE6Dd8zTAw1bqmu/yxBug7Gs2aW68XAEi38nJUZmJllJTvA
brYFyNxET+Kic2RoTjJOfjLRJiBhSJJdOGGHWBPhnfK03IVNAs99Ja1NVDaZ9UymGzxd3c3M5RSY
MN373skHlAggwyE4SKl/Zbm20wAMComo8RBbUfUg69Vq7LDeRCcwXnoiPScfA5I8/JGl16rcZuHx
jtVJGvtHI4FMHcT2IZtIbjBmd1Bk/156Qx8T0kchHZww+pmsJxM2QbOiv4xMSkut3crDZ0lF2/PH
59olDmfajvFHbc4NPXSfdrY6xLs6lM6JgD3DpynGu1hdS73i533tS1aBrfVoHqLW3NGOXZBafqf0
8tGiHOUaY9458Yf+U2liNygrVF60fom5izvNboUPmWIsHSw3nc9yyNCdGCG6FXtsW0dvETuyGgMO
4B6rBd38aAeedNTD8gc5r77AGIWOz8tbTrXgndRIe+qwdjKf0/EQV6ENkwfsIFzlhmln4b5djoH1
1FbfwL3wk3CJ1i9qtqsimuiPOXyZYKEOytWSjlllrrN4lydPDP5GpKKx/iyPW7AtvX4eQVuFTVD5
jUXseXapgeRwbHWy4lQJlXNnlIwfEeV/tw+i75qdqVKPvbYWxKOprAqaFQ1QqVC/JmDkpV7rzaqv
z0uxRtgPejcPeA1su3Knla6w+MWwUVQnA7C3fKCXTlqLyzrO6cUOoeDPykpvUcq3I6fMrjcuVb9L
+Y2NscddyqnFa92A/vtaGnIrj6X5Ic+rbLgmykasIK67GT6hFXHBV6nnV504xezBeJPktzL4mrRz
ql2Dajsgiam4nkrk68Peyl8W0dP0wa6XnaLe6mgCHXK18WQMupssDwHrRsso+MJXudsy5HM4HQQF
zSU45WIeBuFdoJEN65ZD7tEMn5N5V6bPUvHYzdCHMeNad7RHlSfqOxIB5/GzIMpAp6HpqMTlYl+H
+B4pXwvX3PxZMAKtDhjPLMkGdYHCHqzIN2P+SQ3D63tfHI/0RdRdHLzCy9hLaGyeddHPp0OJEhxm
5UDLWN8g5vX3JzLgQcLjYFJ+Ou3MLmr3wquQ/zT0VaOCcxQjk8CPdAlmxybChQJaU9SsTWt9h5wK
0xPnWy0eouKa3QHn+L1RyXT/mdO1JjwNHBl9dsqbjYlxzrDYEZBadqxBa0PxQ6svjb6vsh1pY0L1
s3QZyDSHabjX4ku/AAx8gCEY3OT4sc0/Y2szdAZeNnQ12b6paZHLVQJo1DAVgQy+sqjnNbq65UdT
v2XlZQG4ZGRim+CMerlNtR+BGIH4U8GbUxLWUnkS1dbpw2NhnWU4RqbS4OHT2DplUa1+qtZ0iCbF
C1FAR90WzaCKNDIOX7LqSxLcVjwv0mPYlE4SE2KpP3b1rmUSgaLAaToBg+6ZqOqjpq718hx3X1Kh
rVq2waCqzoOie0P0lWM3VFpMkVrJk8R6I8Wi16ECxNU1s0rKhhxH5PvusQkSSFnaZmwyT2qnvVaL
X5qi+QLlDcQ6QOgCqFZedfVTl5aOMWu7uOIV+iZrEi9PXxdjQLe6k8fvOfuO29pRGetm8yGwHtXs
AXQ0gtSTB6daexzFj8r6GiJXDX968W0O/HJKYK6V27wXtqruBw3B2tNFBCcCLhIBKrNllzNaaHfd
zPzktKjvffZcTSQYTjYtvp2k53ugUtzuZm2Dp6nUPGqxttKsTSJ5OaXlqLsNAtV00yWeGKy0ads1
n78RlsEfjSqgO09gzHFVrgmoUW5+5uopb1fD+FgwBpu7yB/VTy1TnFx7K8Pat+6S1d/gidoOI2Vb
ToNbFbFjFD8hbWfVooSvr21x53GNIGzRaqJuYBcpqifR3JbK0QyP1tA7kYDbCDy6SXqUdckxtU/L
/JEM4L7yOdPgBU03AQ/RcFeFbqF/JsYJoGUNsCqJx3n4AigeOhhKoRfCRsyRuGYt468HJsVDvi+m
3J6L3MnpANkq1OhLyE5CYHmz9WVKICXBM5tTMbAEsm1qHuT+EtKBxstRWgBYtcwzyaiINHb34DQI
4LB43eZtSbC54jQloKV0VMdnGTN1cXIGA9DBcmv5ux2FjaXl23ziMRdtPRo9QU79XuZ2thQpgFvN
jCcErMCIgO+Jeqadu1vfytxSyjOIN7Ml7sq8d0fjfYjIX08TggILt5DCTcwwRM8NL+UsSdLF11ue
tyJirYxm6JYRYhpVl45jZgEO51gd5bsofc+SA45cdhU8MccER7MY76yFGkCfilc0ctB4EOxJA4JQ
XDkZwAuqvYJdEjA3u+8u1hLs9EpHZp/Oi+tgnJRscIzutMzqKrGOSXYshGpbZNTv1OGy9ZZSH48l
nqJAstpDaHLzqKO38eiZT2HKefEzKw+QImKqniI8LPmhH0+15Orh1rr7XWHe/RiVlzG7ZeFOhOlp
lRcqxyxc9Rz/AIC6zO161iK6qJXJpGnYJNptiPaS8rhER1q5eyrQ6Ix40ZIHG6k/BvRLK36bqxUU
2WBwSWbizc3JZwrumu6MJcR97CWe3pmspSnF3w22Bx4PjApM9mL1IVNtPjEUsO/2ErMHlcMhBSo3
HcqzCZw1SncKBZtuc/yluR+bfigz+hHx3F33qtsNuCjvavFN5uBuHkLmVnJ+XrqXjk48fZAuXFw1
B+2y6+hHal2tPAmp01h+XK30iuHeZgwfmsa3GLGWOzH3zeSx5F2nOfRSG0kMCGEb7rJ6RbjL0tpS
voI8ohUAUyT0HWKa4tzFogZxeBfaVLtDx3reFMlz+onYVoU8DJC8eNIEbPKRy26vbKKIDgjhAG3c
rTExxneDzlGjbZC4lrxWQcskDc96X+nd/CcIXDISwQfbz4FRJ6BRE7icRnGzRoUatxdFfJ3SSx2u
YJISdyWLm65zSY1GdKVGLxheCIzj+uRmLU8U0ETrTfVGfpPeCWEz0VVC7xVV8NdPJT110U4Tk4dQ
m31J9xATtaFLgIZO3R+tJDy9pcipDPZSjeaBNn7DPpX3HnMyYC+awjw5ttGz3Ly1k2Pqdmy85NUO
Hf8w+wg+CjTJ5VVCREQeZAHuZZudbYpHJr4WzecXRv3Y2wdfIASV6aofcEOk1i5+jMVJgnP8TR0t
jrTpLiLcOLbnI8Aaz2nXa9wVh6VVBV6XHSrAbymnbt8VpmsJDDUd6mZG1qU/Ta5lnctvbquqnoPB
EwDGgLgIrFO2iEzizGF8hl6bZxIRU+zWycq4n1mUSNuFZI9imwo3eSaLcb00LoTAew0rUpqXxTFE
SqMSKMpxU0IiodjxRmkLpwEjYEX1EwLhboXiGWB2VevM4JfKttC8AkXiZ0P/P90Wc8sNNBmqaWQG
2cG7VO1jhKhW5E6DLzQ70ChHmffhcOgrn9FfKT9j1ePyACiXgfRHBkuMNekHGmMdWZ5Kw8yYD4sA
ikDSKkSvmjda7pGrlevvEAr6ZqMi3MLFIFjVZMizawJmjwOQ8lZ7FsgZmPkbdpBhpHYt3oJwBW2V
OUhCmosFuvo0RNxPNw95LL00W/dvqrnSvxhl0ICb8p6znvOqWVb3V063Ad4UjYL+M1PxIqlgLFLf
msrti3tUky3D+MBT7jArjGqcHMxfH70s2ulgF8VuqC/D61L5mrJfAtDDddauePNSvdNmz5iwdzjp
4YZTnBlGI/AMru5qHOmc8/xEjlVAuHb1aSunO7zw+35vMLk2YWyzWbqpuuXR6JpdM+9lfW2GvV2+
soMlrwp+uKlTmz4BFnPnqRgxpSCnA3MLmxm/Nj3SY7efnUbEFpfRgLNiq62dtpARvIHWNTkojZ9S
ZTth9hjN665AXr6lxa6Cx0H2lCDFaQkDjhnSlqvOcPB9eCWCcMMEgqGvN6pusZyiwOlV25zcKFiZ
0oq45ZAFSWxqWbIdUBB6KfT4hFsoCN48KY4RHQqWpYIEdOJCbxq6BkE/azqRvG9pe0jKr7jY1qrN
NChUmK6QEKLHg5u1LpO9MaaPZf7tdOSoWFBTVklni+ZJnv1MfU15TgeG8Dsl9oN4F2SPysXs3Fhk
RL8qXtVkA55JX9RjvBGF5+mlwIiDweOoPkjJHjR0FNfZ8pZZvvnejhgLSd8Zvj86Xbljpmz6K/mB
iy6LhHi5cO/A3vqIbFlm1v4snbCt1LVVLPop1XXkaPIqj96LDxOtGDE8eAa1zCD9PPYrA354sdXo
sPv4wItb+aAWK7HzC+lMJ6vw6OWSz6RcMdcWQGq+hQnONRTTNQhGSZNPAGnr0sdCNxqjy8TiL9cw
G7j4eb6T2CMk4aGe3w3zUeOxCDs22txLpU2Qe2P8rKT7Irym1jHUtyNzT3xzu+I1U/a9tiui97YM
6H+PXfJec6sCNpY3CQ8kJs4KVfZYPvWaH9T8yBgHHOM7JIxx4LhAdeAWgmozHEmthdECB7sEbsog
2Z2DDQqfvTUutlht5m6twwJTq8Os7XEuBtdL+hznE2hZbHbpOR488gSHmMMVK0bINFiV15667LUc
zy+3KzfhtKMmSVUblvM8biBd4otjDrdssfGZJQBkbtY6NCvdhSuVne+WBSP9HJNFuyscNTnJhyF/
bLDoJgmCxVrAGZF8KVVJw2Focc+1x5Riw2w9kX1zF0iu3LFpOwSkk1yHS5oRPCsQVAY6LUV/YfpM
Zxa/GNHZxJXh7nF3ke7oUPswC9u0uECkGOVXjXm+zm6crIeQTYL7hXc4t7ny9clypRkeiUOED495
N7818EAhnVCKGo4o7XROS9Vyy/wWLK6hQ3iglLZeqR4ZG73TyUg6yXrHgg1ilxFVNjLOxh7wMAAZ
p6GbL76UbFqg5Uh8s9LPeXyqYnbVVYu3BhXNBNXtwDyGUgaVD+EjOnKRyTclqDgOBoPMQbnybcs4
a19xPKNCQ6FJN6j63akv/SB/1ZbNMr73qZ8RHP7ODJp9rG9f1NTX06OeXRPNV7ItyyBkgVr5NtW/
AvMTEua0bANlze/REtw3kcPX8xfICDQyiFGaBDtOczOB0/PD0v1lWrX66q5bER3NeCOnSNacxuAc
iRmK4QSSnMrRqRYHPAlUV3bU+iHvD+UEwryVZXLVbCCysL20GVuLQRN4Y0vsuQxTfYsCgCCh3GS9
um7v9PAeagdIdCd/ZoQoBWyC1U7sD6iwVj39YNqtjVpwDCPaZBpV1XxplPiUmBexvw7JJZ9hrBA5
q6qPpDw77QRlZlDpCKB2pFtN29OQ+FagM5vhLUh3wn51q1EK3X1R8FRT7oLT9ibcT/yi9Myk3kvW
jpwr5mSPOlVpSLUXsCtiiLUOC8a2Yu12EP1zM16ZDEIWq3XUqfLN+WzOb52+Gfp3VWcUO+zaqNpO
4qfa7Cdt044A3CJTkHs3x7ymV5mGZB96KbjQcteY3vswBJXwzRAP4oL27LvrdwrtQls1eylb1qGk
7LKw2gj9x/1NJ1pAlph67hBFd5HsSVCCiulJbyNSXwxnYE2Y3J1Mus3pYSzGY8WIYKENBvnwUvbb
NkqcufiYYGDAd0e/jfI4+4bUXBpfbUSgO2WO1vFumwmWmBD76BzUBDJM+tYVvaeRYN9BdR4Z4etp
/ywuTKmxmcn0tdKZ3tyh4hQGR5wxKm5YY9GwuesjAj3Z1USgtYDHcVW5mPFxOamH2eSHCpuGSvXL
Gf2gEZ/aavIlAqfhLisXwygPateB6lA5CjqUNMmBbYC1JvERA5m7WcXAITG9SqndGSBiKE8hUdkp
utVyFQm6PRbwUHlLAmMqC5RlkBiszWw/gemrg4kCpHcq+Sgu8aYFTtbQbgxC7I5C4iva6e5q0GQW
RzLnDFRJiyIlT366Lt4qQrUpRTiYMsU+2IceUoIL2apus1XRMVJflGs4GU5x1hqQ1A6qB5PoQgSj
1sujnIlMramzscpNKYQLXdokpcj0IfEEnQUgL50XmAZVvb5Pwmw99I1P2IQvt/JqCgc8UdhSO5li
NDnEdHImJCsuI/QMdbPAgTKL0lUiAnKiZ2Hp7UaNro3IFDzaR8sbcZacmachLHGlZLzzJNWFPecX
A6upqPoYZq+ElCQwIkpIuQwvfcf3Y81uunVwytVdqUJChHeZrnUiXOHHzI9Tcsm0h3j2VZj4Sbkb
Y9eMXmuVTek6xBtj8dJyb6XrMPHq6tVoY9hsaxlS5nzrixdLeC45HGYghmiEGRFsVYNlsaxL4XFG
UjNCOZLfk5Hx8QsIi2XueGlUH0r1IjQbPXi2gLCVYjUXvgHREDG/3YHoKsmasWMRvpeDYgOUuT1i
bwaPS+FVgB0Jh59OZ3IfBOaho3GKM4GYjWujPYNLRMpnBe8l0Dal5eFWDcEJyJzVUsBFhqBwtBhB
d3u4/VXsi/MxvRvgekq0otzt2TSndg/LtkCtFnodme7pVm4PE1yG2MuVjyZOaGU+NeoPQz/O4a3X
4YFJkO5MbMzcAgjBXFVdirpxYvowYvb+PdU7C3s8ixJmMc+aeIpbeR0a3wX9edrvIvFUBv4Ufc/B
fXzJ1AsFUkX8GvLJSVpP2WTLLfocVXc1I9wU5bjW6Ph0lNgskNiLhMGv6Hb6toSPEQ5vpQ7nMzY6
kyxZs10HUnxux6e4+ZxrnI9jvNAcbZzZ2k0wzrAg1J5tmkVjCYltLIW5meo6YwJdfAymsviptNwv
9F8VCP/2Of17+F2e/6oyav/yH3z8WVZzw3i++5cP//JQ5vz7H/fX/ON7/vLHD3nJ336k+969/+ED
r+jibr703818/W77rPvtl/HL79/5P/3in75/+ykPc/X951+qsu3eM6f8+v7lb5/ffP35F01lEzZN
w7x7xcgwGe6iwH/7/S/72zcf33N+CEa1d7L9X3/uf/n67/e2+/Mvgqn+ipGVKauWhneahB3ML38a
v//xJRMbPUnU8Dy6f6Eomy7iF4i/qoqFnwrqcE1WVAVxQlv2//iSppoiPwwFI3GXv/z9ff7hjvzz
Dv2p6PNzGRdd++dfJPGuy/qdPuxf/3DjX2SETVhb6VS3w1pSvOwFJFLYEZw7Xqz1cmu3UBTog9GD
rIQd3HQUnyMbl71sVA9wa3ao5ZZbv9UCf15F+2xeD8RUWTvCsuSV6MyekD+m6/p6yl7L6/ykb6Ef
H9NDYYM12cU66J+L0IW87+CQsptu7AODDDfVvv9rrILuQdxID+N7xRxiM30tG501D4PQ59MM2Nec
CI5qt+7kKNvkqG3B303FSR/Mkz1ty5cWXqVjAJvOa4al+Wc0O8TZThic/tW48v/mQtdlfK9QBViM
KnDEZx3/twtdR6T+h4X+n1//z4VuSiqPBlMKC5vuu7HIPxe6KWPEhKj9P690BdH53YlEwfEL9c/v
V7qiqpploriTVEln6f4vVvr9kfnjQv/jG//NfPR32r0kza2gVoppDVsn1XZ0oMccKcMGLj3Qv7ih
+FYvDawzauWfHiSNtVuIT4K1nms/ea7w3m0YxFGBkbxS0flFVHT2EPq69gT3theUncySFjmMGQPl
GyN2f7v0/xdXGStAYYFJli7iGinCWvxvV5kq37el362y/9/r/77K5F9lyxDxZJWIF9YkDV3X31eZ
/CvLhe0bOSjKLjTq/9hQZeNXVWVbt/DbEC3xrjP+237KVxQTCSleHPLd0RfThf/FKtN/U4//bj/9
13du/IsTwSQ1RZFoHUlt2XdKCxQm+MMQQ/jEjBpH3dub6TWTX2f8b/U5nWbQeurcxEalsYV/85Zr
fGzIn+22BBh5aAB21uNFSCnCoTU4QcsIlSy46VQ1hYczYnlZRgnSFn0egEA1dU4XQ8xFunH/bwfY
y28pm6tuefqjnLHH8zlA6AAGIlYPobcMt254XkS4Y1GxN+4FgioyFfiGXm1IwqY0zRXbfPBdR4Jf
ls+9iM+XV2u20gEVrWHGcGiIoPYt7PYei0iBXd14X07Tqfjkq/h4wvKtKyeSzE28SOclZ9QANehc
RecIURnc3bTKfvur8vbHGl8w3YU/R96JcM29uHLy7+ZD/WpyAHxwZ8ayPsRN4IOIQhR+eAhKPzwF
X1dN/VLU/QjmGAo/ih13ozfUJ55r4ST/KCFJWgIW1TaPrg/jzu6/M3+xW+eD08We7Mg13cD9Zupu
P5yo/deArvxDENfGXJkryRcdfav/KL4MnKy66QoCLRLg8Ds//D/uzmO5cTTrtk+ECngzhaOnaOQn
CFl4T9invwvZXbczs/6oip52VIayUhIJEObDMXuvY74ECiVSJy5JXpc/hPxIJFtEJT5NoW2UMCbq
EtjVcfYYhUn8Sz8q/Aq/poGZ2OupX69yJ0qROVFKSTwz/OS7gpTZ/HL1niOrp/Lsh1+mmzu3dboy
2dV0hQVtoBGgrnplo9bmCk1oVzfMUA09psQzIOFJzS/apbgdjeW792X3kt761QLljpR1QuOpQ1b5
OWLO5X2C+0SRPMurnrRLFt+l43bZyjhd5ulSvE8ca1mmmiyWTh4QGEvDKmPkmjEB/ejPidHZmC1s
0212o9pd6khBPwnmAdFcE+y0ixifMggF71Hgcuym3gPmZDIFMK2ot6OoY0TlUxt9dhgZCmqZqHB1
uWeWrx1/FeI7GAJUSLDObrgTKhtBB6KMDIeIS4ELeaQBsccJPlWcgLZ2Me91l2xQmG3LwQqVQ6Hb
DxV2kfdCRtGa2/JmQJ+LlbG2tjd7XuF7YboBIhB+uBMetdZW8jW5ZbYbL4vLC2advBE33QtNrra1
o8in28cDYkDj8hEH64ZvlrrlKwJyMGE1lYfxUsfUTpPx0qgKRqCZTiMA/xMc02EA4M8gAeouKKP4
Y8Ye1BF2S4899EPueEEJFuIoMWzDQZ1HnX0lfiIxKNZsmZ1DMEDpEKW3YzQOlR/zngx2bXmbiitm
TJzgXiBKm378Kd65Sjih9YpzkF8mhOmJ6csvzVo7TuWD/DLfToH1bQob42hgid4J4tKQyenQsPmj
dtHSZy09lP262YkINzlrFWVyjyp0Qzf0VrrFu1xQkHeT8aMZGcW3Itdv6W0b98u9OYE3o+t3UWPK
eSdMacaRxH3sPy0vPLCv7KVxXPHV/OQtOX36xnIoEbu1vwCnbU3dJqFEvvmAjFmhMxHtSuYf2Q3y
1tAlMyq8cNjK9HaqCmnZlqgxE7c17e5q05JRB3s68rm4pywgDydpOtd3hnGq6r26vulHOdx3xSEZ
Ow8xfyy+teZTGPm9Mq9mltmyWw/S03ygEuQuUqnYdijvLsbdrbUNxlX5wX1J4wOlHoXXUHMZpg2A
lP634VRkV/EsvCvx96BtdGvAzGb3FP086umKtadDhUA4jjfLM2B8oClkDcTErAcZ7jiEsnTnXcGl
wcp6TMKeqj5CVhP1DYpCEUcGT49kEzJVUn2Sa/RO9wmJ4UXRuO1s60E6p/v2uWnseKMS/rpi+u9x
WP+bwYgsKYqog/aTDJ2IF07E34S8AIcJXH8JRv76+j+DEfEPkTdUYGJLOrHAz8EIPzIAm4i/Znay
/geCXhNKJq8jWDbJt/6MRPgRQcoCIZSBeTLn5r+JRH4MgvslEPllr6F3Ew//FO/mQ9MnfQFAarZo
aQCa9qSecjvSQI8G58ZYz0sz2zaRweK9rvAl2OmIpJT6AHWJdfRE/frV+OovUozt9VxQszW3t3Mc
7dPqX5HtL3WCn7NQDvGvwTm87J9P0b+y1J92NlXFFOMMO5uiLGXKEYYjqquPRXlO7m713XijTynB
Ma1+yCwkkW50hZ6cG400cfZMdDyVHymeYhxEddvLwy4WHTF/rCYZPSROaPOSjh6tBYtiVlInvmp5
3fSS0b5cIY7Q1ni220hH9nlfDPTz2xUPJpGtZTVeEbRnL7nurgrJE2kRJhDBVPwQsIntGUcoa3e+
Ho7v8z1z0lmaLUfc8PdJ3hjOBy4UHw3r59R51Xo4IU04SUfr2KHBCdbzcd6yokNqZX0PfOGtffko
LBcB5/LsUe9Z+tFcrrNd+8K3P4RHGDxIeClY2uInAKvC5fk0H4U3zIn8AooIByKiU62pDimlx9Nv
OPHOfeNQIX2z3gxnMYQtsnaHjqinu2CUP6hJnnigCY/yfbU2+IG8KdbhSniLHR40vR3uw5XucqjX
2bF5pBe+afzsMfho3vQPM9mXdAGeUeh9YDA5Yh61iSJWFOS8bp8dhbO2DT5emHm+6fb1Zvai9XwY
DzJZeLVN1s0Rvfm4UteFN20WFf7beERKL5/70b4O9pkOvf35zcpu07OxbwdxPe2Uh/6h8ecXLIjW
xlCuRfilvxehE8heEgFW2GTlk9Dd0EHzhL2XnydxX6Iut4Wdi3fH0QtXJ+OjbIEHzx4+67qlgLe7
hWyd2nZ/bALRnUScdrSjxmMviZTpEUCdFWM6RPo10O+as6x1ftO8zclXFl9N/W5g8kO1rPslaBEm
JoieLV3icB2Kvo4U0YlE7ryVdNI+HwegEDsoB+lzve4Cp+2+9GYnVysz2OfabU+sPF+Dr6qgO+FI
ymkJoCVMr3b1TJRHi5L79NILCGldrFOE8pboMqV1kTUd4vZYtycrgp+41aJTJ687h9RDssv/5cKe
DvZIUSHJU0sjH/2Hwp66/MJPi79q/fX1fy7+2h+kt2SNBukrvHKVdPPPTFT7g7Vflsl8l8LFj+fC
f0p7kmmJy6w0kd3Sf6nssQjqqmXKzNS0TB5D/0UmKsm/Y2Z/3/UfKLefFtW2U3ujhZq4VmYSLVpM
gWdRXNfxOun4kmsyuG1cekH+NAZnHTNbOrK8H26I5jqE5uVBzndudi8R+rMakl4EmHzS4tLSkyDj
EghSaFNixP4iM0i5/lkOrU09ugJh+GwLb42MuRpCxV7f34bV+MkqeRmvw6o7YyKHpzFHr7l8Z8bP
qje98hRKUesdaOigXBbqbeE2aDUqpz5X/rBCKjpvmpfWlutdaLmUZeQMDNMqzPlu8zJp51FExlCJ
j5a1Hpu7Lrqf2rc45kYq3L5D3cPKePdeReHyr3mDtJz6pX7zmxcUVs2LJbgwgfgu1Z4wYMklfGf5
302fc/TUzWAx8h2LOl26W7ElQo9QiZcDFmlaN8Oz9FpMCLR8XX3HKrUswTxm5HWxnpq7GyE1WyAO
5iv+AbIBpf2KHfOkKCt+qX0Rmzv5nvCffqTwWHYb+Z6MgHVb0AT8KBo2VpTQbzxBcun6Y6Xu5CMp
S4u8J1Flp7J2C+t7Ez2dWMI5Ttt5xbws5TCd+Bd7xbupuLHDu+mEdXhc3O3ITz6zHd8lk74YGKTm
B+qqfJ03eeHwoWiTBP5cevI9P812xnl55myWh0gFWYTPMXRei+W8cG/juwVtIV6eRewVrxE3cr4v
ww+2wh7LG74lhL71pqY4Spvj9IkvUw0f8+7M8W1ffqReJE6kRstjarykw5YPNJx4WzIo+S7AqNc7
2XghCVNOePAo+7pS/iMf8jjwP44gb8ifmEi7WeZFLM9Nunsb815a1PW2eiKZIcPj4flOn4odocbB
c/cr3IbnmuoFKbqP1fohJaMd72Vz3xtb8FWxn7g3AD6rfoNx0WeGItercXu0miOPjJAytmiT2tJ1
pQRAlsk9gH2A0wEt+SQ8WupWuz2yj8Jj0LqL/PSeIxUaj9gQ6UAvp4tjyuELH3VtT1TAYR5OpH+c
Z+tNvPJJ+Dx4sITwDvsnJ5h4geOePEVP6qd+T0kEp4HG1faeIfi1i/fqSbmQrZuf7I1kIIfcwuyS
x5VMSWDcVu/6DXujPePeQwqAhX+dHpTnW8SoAcY3Ir8DFu+QvSDV0s/9s3Htn5M9PFyMJRFyoxWG
SeaGXnEjNv5wbj4a9Ax27yt3kInBKGJqMjc9zAx7ERtg3qI1jrjmWwKB+B3wn/gmw/pw0JTXJOiQ
+AnQpM+iucj340WYH+JhSdaFR+VASi58zUeGHd09kcpA0lpiVaTW1XcIUKNB2OmM284ffGWlrCb/
5mkr0R/cgeCM+oiDinjgGNJLwCvjdi9csKTbw0vyJJ+UCxFCeiNSoXFWOmhKMYTb4UN8uK3J6vbz
paXKMzikutOdeo93MYR4sFxreLix6Vf78XY3Wt/q/J71hzQ75DRMZySnr030TYo308bYy3vT/ES0
QgKWIde5hUf9IkR7kVNa+FQIpfhdTw4cSSP2smGrv1k0riAThCvUiFXkDo8ZxY7HbnxtJ5wn52YC
MyS+gMIV6nVsPVnGqiQwGLbjKTfO3RMyNDStIl4Q0ze5rvr7nlM8YqOBTmTfLviu1ZWyMa0d+ifj
5hJbgJTobnb3hFLR6iDQPxA7aQ63belmpLWzHRCPYCvalsfprblPAcHOts6Z3lQbeWvS4CYIv6I4
Cp+sdbKJj6gOV+Wj9GFcxfNIH9tVX6XrYDjRHsaZE3h4FT1zPWyQ4np0j31GZ20Np/HCjXLWztZB
yq7CtEkmHDh+bjEmwu04saI/etg23d6xHBxtq/gQ3HOynI/W7dya0BL5AhyzoN2VreDgPHZLniVK
jHYsdE1fMV2B2ZIyIsj2ZMzAdBry6gi3I8JcZic50svMWpp/C7DfO1zujqo8FzO1qGIvvGgPOBMy
t5so1LmzsKFwIOwWs0nGEtIqwtGqXm9GhLbbttwFaeFHlN/Ghdaxw3U51VcpQFPuGVKKHt/L+FP6
WfyYH4XnfoNE0Yv8+KBv9JO5EbxgM+8QXEXUcbGhIpDGTvR5Q9yM5JjGgupxzyD3iFfoETqsD4Kf
dI60N3KH+0nHcrgPDsYpRxP9IF7o5HWpkwrwP3hi70NwQjvqCFnqdo1XrYpVu8Yatg4OCBUT7MEx
2iEk+njXGb8FHsC+fczMIaiQC7tBzeQ34CIY77fSpVaO5IlkM/Ol8jp/3k7P9X78Lt6M1eipfre5
HU24cZVNgG+E6zlcozvoZV+E7K1i1VhxmU1E3oXX6Kc2cJX+UAG99yvsG+Oq+ah0yDn7GrMpgsRt
iIVcWjHlHFS/Uy0mKf5Wb1tDVe9azV/+NSvfUn0WNS5y4aQFBwa7ekgLVslqIspe9z7KDAdIqJ2w
1trWp0Ut0dc+im5r2c+5ndqBE18/H0E87fu9YC8FYv6TnN4+fXxQHfaTu5Eq8QcMAC7B3l7OFCm1
TVV4BbEEj7eG9tNwA4pfSfCd2q+5R/wiZpi0QdBgTEQS8jhvuldpNz8ZgWOae8SM05d4QCM4T1cc
La10YJyrQU8VEMY9zQPu4gj8HmMdANNReRru4SZcZcx783AvRZMfHvkwmNdQR7uW23N6dd86c253
POHUm2sU2yK+o5aH0K2e/KEhLaJkfK5PJrqnyR38yUXarVMZGN2utznKJdPEzq3P9UqnNjyjmQ7P
t12zC1e1O3p4Q8jFQAe6CCpaF1WKC+zBZWDrPsydcqNtRy//VBwmtFGsrh2O4576qo/EWDtHR9we
m+Gq10hm3RrzM4Y5BRzYeBj0u+LczFu4Nejsu2DRAyNsUemeSKF7yxguQWNhLXd+LecrUX0NJRhQ
16DYwC/jng/ba7GK+TjaphnuBHxyrLj4cEGsXl2DvJz8GlLbA0of9KHNi4hu5j6tHXMGyOQkr+W7
dRKp6j5oJ+ulvY5HaJ6zvsM2KBa+Ovr5pkeQuq/OIQnmVtibyVaqDnHgkaYlFMQVojTq4AmmK7em
SMGR+tDrncL4VPT7pTtRXB3928cYg38FaODgbRdGYxWjMitEXGy2yXTPMH0iyprX5nTX6rvyUSzB
v7jxBVVP9VHu9Aulz7i/Xrmvx8+mXhcv07H47P0bD2MJzgSP25VGvAJ8Szs0yckI1hDzjnV9nWTG
C8KEcRRARRb0piezeCTQn++SVbAafbSr76h99piFLfoKVIFeihT+zmKaqPsT9Jb45pjUJTAI9X54
xyjGulgP69vBfAe+8b/c6TQMWYfoBl4XcuWSZP1NcVG2dKqPP+WX9Av/8vo/80uRzqRCM1PTFQCO
v+SX4h8aQ7dpqUMTp3O5NLv/nV/SzzQMGq8UGCWN2cwKWemfBUbjD4qUJmQMRZMUyVT0/yrB/OvI
sl93XaVs+nOFsR+EDLSGLq4ssPDYiDC4ayOmx8BAn6YNqFAHq2CCDf7NyQjDlZK3TIsMTUs/WF22
ErsK54K87y08BVW9gQDqjArEwTGPvKGon/N8fMkQ8+c6YVvRAjQbV9okfgyKIDhNjqoL7Z09qocO
G0Q35Mg9CFFVE8FhEt+Jg7IWo2uHlzrUZV+qhH1fdWd6w34S5mswLLGdy5s0iVa9cQkEYuihgK9Y
jToZUzhjO+UhiurcqBqcla+wZNOmXk14JLK2cVNRWymh5bR6TjHPgM/oj5gRNHNL7qO3q3pBRNYV
AI1IfR6w3SVdcZelN3cMK1A9JVauogGWZPpz24ODfpj15aDRUlPxNebGNk+nQ8XMyWX+Ww0VZ1Qp
epZPiGJ6uhEdA0Dijo9vYgKQ9egrUkDZl0jVvBhFD1bz+1sJutCoMj9Ic9UvcgHP7aAEAvbEhkLr
MHw1GCnLKrofx+RZAJ3RyNl2CBV00BaNkzT535bJMOxSVWSK8UDW5H8sG1HH/+m2/lF7+e31f97W
Grc148ORozBacLlRfy4b6aZuoT77VzNhUdD8VDZSZYPmhcJUQo1mxn9ua+uPRXIjWSKM10VeY/43
t/Vy0/7UNvhX0YhiD4MwTV2WtKVS/1PRSDeU5HYz2nndz1cJ865KZEIb+qdV798ytJ8L/iyKf7uR
33oTcdoGsaCwEeGK/3r4KnbI52v7gafx329IWxjgv38cFjuZz2IaCnW13z5OIiapHFTzurZfaQSv
ko1hv472Fy5mh7kahG+TIzpwnJzSeWe+rf1xuXmSE9h7XCRe6XxsIzvaPhy91Fk9bQc7c7IVrVgH
U6IDKMF+iez+8H3++73+fZzFj5OgsbIvbRG0LDJylZ9PgtIKkHfKeF7nYErjCr1CV3v1sMBlnyfM
vQAG3BnRiInlSI1f4vLTIAYJhLsMSX0f1Y5igiHS8DI27T8w0Lk6/3pAf9q13/WCQofI9ZbM64BU
fVHmAerK5juGQwFV+fvDsJybv5y7nzb12/Ml1JJ8SAs2FYKhYAxJ/99NF/vLUf5NqqOKU17jaSDc
opSg+FF4UNt/oDD/UJX93WdYrs+fbidZiLpx7NgGVhcXBoOLxPiLqhGeQBuPv9Mcss41Nv9Ef/7H
7S6n8aftdqnSh9PIdp9Fx1jXDq6v/JAuegIbKaQLhmLaBeiH/v6MKb/18X4/pD9+/tNmjbhIRWG5
Op5966nfzTvqdO/p2ViP9+1K2vGMFSMPlehxXF3dZB/eaY66w5Ufv2F5Xxsbzf37Hfq/bn9rKaYv
jViD1fHXw5CVcmFNzTitI/GUJGSqk7KpEIdMSnBN1fwfzjZr5P9xyf687P924+pizSGKEJwqVHY6
GcJJ3d71N3NjlHRhu9t6SJRHGhXK66QHo2vUqe4kEzCjdkSeoA3qXmjKa0LVXMzKg8Jo62Sut5Zw
Z046depHI8MIlF1lkUy8SvUa3nV5GSp5QRt7Wq5tZ9gokthvyzwif1oYFtU2MnyLakTJaDJJrp6r
lOyVAkJgHjXtMU9DZ6HHhHPoKCPyBRH7GN4pIblKEDQskQwK6pybDFemcrt19i0AC2ina2XdN+O7
SU6fk8iFwTaiZKOq/ToHpFKcwrpxM+OSZThD6Qdk+L9unblPy/QxjW77FklUgAtCCI75LXfTRHrP
6le9WqvCvLrB+h2EFkxG7kut4qbdMuU6PFeZ8hJTmzDZmjzrXnWbnULHvTb9S2pUNiImSPUytkth
AtNjEb1X6kdVCHsrAIFeZtwMaa7bfdb6zHEAYCdBUa3FVQiVQcEn3P2ouA8rOS7WxPpAvSY7bVS3
WUyNOLSVIHLUdF0hrZfngY0o8SFpE6aizX6pRHCTS8jwvc8E9OdbonpSpd9JYkCdCM1P1LzFGLsS
iZ6q/KgJMHL0owpvRwMLFDUbEXRvN8Ot7hrXikPHynUo7fq6WpwyLXDbedd1VMjxgYVVbc8t/l/9
UZrEk1Zxd+E6yrECGvl4NEnTDGb/KIXpmEK5E4TvSN0C6LNmQDlQBye1vKSR8GA2kl9UWPWnuAe6
ozkaQzNuoYxIdtgkAi1kC+Rp/5ToFfy1hxjnt1woeHVIBsEvJhqVnda3YHhqOLgtrbKzLtjo4v1I
gn9DL2smiM62cc3yU/MbWhusQqjm5ANbNYjcoOHziKWnTarDiCQg1IbdFgBUseeHEAO40nC59+mV
sQBrMJfdQiSlkEAeEbTvIySCjncLAmDobYqK56yOidtgNhEn0YuxHo99fBhE+h9qcG8BKYnlr1Db
WKx/KgwNOsCR8oWJrY/oRZA/D8YAae8pxq6V6RsB1w1ukgXzYTXBKQeOUNVHI/goVCpEZmHLt41a
3NVkDXF1rhhuWraiU0T5Lk1PmqF7AWgLpmk5BtTBvmd+XcjJZoI2KNANoBUvs3DXdtw+sSp4AksE
81udCnBpmn0o0luYQ8IGt6H2T7KauCW09hnLWp+fx0x3U/NTK0/GUB7RXllqcwdyQg1wrCRIOJkd
iXm4OEwxr+9aWhqUEktKc7e7W8sUaQWAWXhMpuipBfpSC7TSjfIEjXTuz0XLAfpEgMfkHUYgfPfK
SoYTl9fK10TS1LQfVhStGjrjQ5f7Bb0JDvCCoc808FUTZDxLrDaKWe3IATuBSyV77xvdMyrmdpPl
CIm2y6uVRXUt0nk0QS81hFNSE4tJ+rMV0neacqfrAr+eHhY46AgjOgGOVonWLpqjd81EAgU407cU
5pDkmzKKNzW+YWPx8XceV6dNY6+id6iGH7KQMDygFO4iC28s4zDkXP82xAVWKW4KfPXQufcDUFJ5
/igjyWbSkEMQ7hQmsOpugt4n+RCmrDjxTbHygXw9mRBiNAqhMpCgKMtBXNIvw0IT1RRWgb9AvvNu
ReLOEOsyjYGCatDtkoT6Yav4Y5W6De5ARTkN/VGHD0OX2Msw44U0fsTIFYsCOA1L5kIMukkr42b5
g8Z1ySltMnlV03Pr1SfNeApNV5FrvE8dwEXJn4THGSCnAXAgjNaidLtWqXQCK3nhQYatS+hOTQRO
UpdMeJjxC/HVNpmMLfXyM6a5CjfHCNkBMp2jms13TcbcZFSUMwJd7awhz4weJMxRRYzBMy08xrxQ
+FI7N+IjWlCelPxNGAIeC92zQMN5wyzry8AVPQy9p98uhr7NMF31mEHjRjxk/QRr9HPuJ+xQjIVJ
NXeMxk0xU8NqKClT1Ru4ahkKck/usxejj7kWVgoQdEt/0jUqjcA64N36PeoPQY23iU4bOtM26sKx
lR9mVDgC4pf53eDc3GodVm3py+Z8VobTktwD4rOG2m3y823QVwr2kEkyeUr17x1IlNKEZ533r6Bn
L+PUfad1+oHmJAXrZoXz9TY23b6sA8AIQnRnmqyh4jjgOc6Mgjp8Gvhm1/mSfNvWyEJFdCJhMB0k
5bauxfCrU3heirrqls34ogSIazTs4SBomETlMxbSjaqP3lz0oXjRtFcR4odm5BtFJoCLtI+uBvik
0xEbLq1eUvS8V36EVkDC4mMEIBX1sZl8a5oSOlKvHVJTeSgKxe611s0tCR8cXkTd2o9V5CmheIqn
cC9oIzQHg5U1k4XneQEhJQdJHNYVzSPrNvvWTaeY81CqBlNpIX8kUE8oiq0mo/6yQj5KLD8Pzb68
CRg1zTVTLtclhcq4krZVOz8ONIE7Si5D+1hjjksL+hWxcK8W8X0+dgBA6xKl9pzdNU1/VGYviFKe
U8I9j2IoH7Aog9ol+z0yPMav+pVwU3HjyYdEa1ZaNbjNIPpT+20A8FgEykMgO7JGGBC2ErDB/jMu
68chvO0mK/fASE3Ri9AEDxFujzrDC95ICGoYHFV16IMBYOJHdrRWOQLidqwYImyR+rWxtDxgnnVQ
92VreusnEIRgM2Qzvwxd/0TIvcNhCwlQQKrNFugF5f34XUnFWYHtgF6E5f94ywEZIpONmG4ggT2v
VeWQTqpXpB9i08AVeV64hEFzEoXPONv21oL+RlFVXOVi8OTpKQTqYQEeMKPKqQRtW5WjO3K7lL3h
dlq2DUOcv8H8oAXlSU2BIk0EDExjtAI4Kp+Fftap15mA6HOLzHfK9klOyy9/NyLzqLRQdIroSeqY
IKCN3hRMDoNQnKjR0bSjkJKB7lYQreJiFU00ZAXjZKECDxnBkTKEpUmEw8TGIqm0/IlyciFIq7Z8
6UD2tLrFLI/+oteVuukx2FdNui5NrfeMhvgsEKAmqAPHL5VoKktd9NFpKPcDsPG3vrxgKd4GdbAZ
uvnl1kGIApb59SNf+F+VtTJ3VbN0pKKSYi6lj7+pPFNH+NXJtWguf3/9nyUq7Ie4dihMm7Lxm7KJ
yjPzhPBKipgldTSs/79EJWt/4OSSSX9kBaWtsVgJ/6w8a/gZZUOl9qxq/6pe/RfSph+irZ8rA7/v
uv5bkUqJWl3PrFsL2bt8DMI7TC01RkWUcnBY4WfUIB3kZ1nsaJsvHd3pKAvaJRrV10qDCrZm2QhD
OsE7QbsLy3lv1as2ObRJsFEw0gyW1+TiFjL1Kr37jlbGPrKAF4wylPXW1uiXEep2+jbMgYXTk4qH
zQhULM0/4+Q6olwS1s1zKRPCIOEDaYQO18mY0EPLnzZU8cxIW1zCTL/BuHPjZxBfq9ghCK3XSgMt
bYPSyDWQ9QkzXLlubeZHvEB4cIR5N/IOSBiJv2lRpyxSaiY4j1V+20ihh25QV0El421xKmgex9Kb
1J0Zr61oH37zBu2W4Uoysiiakj/a2azP2XMTMsRkeUsNbON5VpDTkvRgN8qew6fxTq59+VB6lSvW
Pm84eo34iICA6THs1eLrYQoUlKxnviy/JYguH4R/8JWXsh1+LQHr9gASi5klpLTDlh8jIn2G+DCt
quWjNR90sXzGIB8EJMoPA12AE7vBTs1X5BG8C56iHs2T7rak1a1er2LrNK1qahgNh0qxhbW1jvbT
4lVC3MSD1DMtb4z2zOITs01pM6FAr2DvwGnApGT5uKUQfkn3hv44XtF9Eeqm3/UWiPpLyIe/qIWr
wP5wgkdlJFJzcaAqHnxKhsgwTMGRIOPYEf3NBB8Jb41tobnkqAwwhUQw9DGaKl6+xiyrAC1AxtA4
P14F8uE9tn37MtqGb25DSMau8DZkjsQxZI3eho7tmB+tbG9o1ZYbMs12H11S/AgQVuTtZD0MMfMv
Ttl3aPj0DY37ZF9sJi8MRPvu7vWORFWhUOgapEYOCumMYiW6OsIKxNSL6Cna3Kn5kW9zKPK1QSPi
frgwBCWgpICPESZH66qMrtlmHxwgdHGIwwVz+RhENNgk7lEnOArFLPVhMjbhhllyXuLXK86Ix5Vp
owhTPPhVz8tpDV0p8Ltz/8nkrOCRA8M7YXR/DpMtx1Z3oPeI/at0ryI8u5uJGKHJIQu6NC+aJzyG
JPuwYD4Lus9TB7J0FQNNu+JBwUpyS5i76KCz4imPWSaz3OmzhiM6oloG7yBfY8UhEDUci1YwKfd8
xGHFZDkYc8pBOQwsFoqXqP7UrUvkwj2JqIccC2QxOu2abw7xOUbKPSf4eRLrtKIy79yavQVvEJAe
589yUm7rWd0hX8LrY5Cuxa6sbxRWiIVGs5lX2Im4t8eJtzCDDZ4hEeWfipoaKRFiwQxNgnFFkc1P
TuxRl3WoWFzJVLfMR2Ft4D1Jbm46tqBwT2aPNLGP7q2bX+P0Q1mGyk/M92AJAhYu/g8FGV/hHFSG
6gqBsP0xy8NyxWTC11o/8zxBgdJu5CsIGp9PgLTso32R1Pxa0POZv9EDnoXbRMZn98yQcJEty+gd
9S1cqtvb+Bi/hC/TPc5XMlANjD9ePRivw5IscyiKj2Z6YXJjfyHwdDq38ZppU3n4kjxk2Az7AuZG
4hps6jg9tH64eRqd6Vks7fFR3MNn7NagB8F8MWBqxD1keELVOUwlABaN1jLj2twKK5WKAHHIR4gy
oqPydHN77uha7hHkD7Za0+1X0RRxVXxPz9a53PS8eY5WkX3NjGvQ1sdoZnqL2fmh/hCmsgdAnx69
ojSbTuvdgJKYGB01xY+Bpg1F5GS4uiZ4ys3lfzjckAgGsI7jdbHAD/yDi2ZRMf/SEaND9ZfX/yfc
kJdukykRoywda2KKP4XU9MA1UTGWmiqz0fXFYPOfRrcq65JKtdSkvYN0+j/hhoFH2NTx+mqSuRh/
pP+mI6Yvnpxfw41fdv1HM/CXYrqsqym4GghIDix3v4sdoWGoOSS7wYtnOrVE38wYBO1cAeY89Cbi
xGVZ2iM16Ua7qL0IGvW1uI6l2x4GImq/rFi7fUP2ADQK7+APDtI6HV/qM4nVyBS7r/qVkn0vOFP6
OETXNPpKs11GeXSUtuopwqbAcPoWbAjIymk7gLjE+FWHm9sNYuLJCPdmeE0zF25fkp/T6V4NfYON
U78wQYpUOBO2zfyZTGSMzcNsQSnD3NGuRNPLbrvW3FtljTHTz2cozx9ZcJ+2D5aK0FM/IPSeuVtH
EjwqLowP6vQnVfZlKnzSs6Gv8nnbofNi0prsD0z8rvfJ9Ji/BulJwHkYbiTpIwGyVGLv47kS+8RV
rM1bigzyAoCC0WRsAVJZxlahMGYOnsY/qu1QXayeTAPcZNjaY7Ma0lXb34E4iSO40B/hRGkNsF1k
xYdIuhQUGcKGY4t/iP/F/CNNj2JDRaVpT1mBvUO7mk1Lhe5Yma96espgZPE26nQv6K/KvGewHz2h
KT2xb5K6fqeqtVAyDIiVBk/+DruemBuMPQdUs2jWYWZBERSjdZBh+dGuY4SEdh2yVOrEVd48fhVX
66kZ/GwRmvOsoTht5w+hfgzWN6CwdqGvijuteG6Sl2x6xG9IYf2V0QjrWw+T88owKI2LqqlRZ7eg
yTSI2mXjgtiATkwp6m5EVG+DhvShJT7xoKaObJGdotb7f9yd15LbWpZtvwgd8OYVjqB3SaZ5QaSF
J0F44OvvgE7XbZW64nTUa3WrpCMlSZAgsM1ac47pUQj2iCgJ4Kaii2ZK2hk7y+Hh6NiZ3bAUVd4z
9E/0vdVeuPL3SLDFap+vWXXEBx7IRCFpR2YWccm0Jj/hcaJ+inMIPbwkevKSeWc8MAuz5O7nP4tf
3lYKW7icsLB6qJZ5NBjhRJCJ6rki4ZaYhbGaKUzkL492ad7fKJsZuLcQnpMdjPg35/MA7Y4A2Pro
6KZFugb+KGO3dPszFCsqqt3tUxXd6U1HELsa3qTt3Z221nd/RqVbm1tca/0+98iUdJULGTkvCT0K
0a1R/xkw+V1pa9HH9ckBpdyOuPE4LMR1XXmUpvqvu2t95+WC+DfUpzZ1SLKC+AzHrNh3J7giZrwJ
aadlPqUzKfcIYyMD7zzOBwNm5mNHFe5nJIBI7t+yF9m2FKpDHsrL9r6NHssKo1sx+MNO2vI/AqY2
Y/ME6Nfge3k8Z/lR1fZpto5b9yvvPZDYLbxLbdnEy7bfpcWBoGM9epW6rURNL88MO7m9FKYNsRv1
ZyHuCh2QHADZh/hwJufBnVMu2tRwrf41cRMXnO9tAWOIZRt/w72RuauAdC2bQlbIb4Ri2nduLSKY
R3vQCRAn1qPwSeizfqLEM+snhCnDsAwZLvZauTNN+rQk/0Xrx6HKlzr7psEtWKlxKDRyN+CfpEuR
WpAhqneMq+6vtAfNHweFmYlZfjjcyxcjWzDHFwhkPmKdm9cjo1mHYFRhW/+Atpb5DQboq/xZUhS5
swRiubeQjb2Q9kfI8lVoEQl1rmTDzSqYkP7tqS4wnWnsIhI2S+sJnRF7ilwlmPMNoSVvZn6VhAyZ
Iea6iBH0IDkUaHoRqZM+ikvZSe7QbEcQ8PJ20j8iowSkvHvMyclX8/4cpee0O8eGp4DrLPg4FhEo
ZeGqH4gnNHyUsKOBDB5YTkkvfe1AE34kxH4izxxQWJeLtXUjny1jrWELy0gNFOKB4uxTxTjXygAO
ls0lY5k//CTDgTxVvCNvIQOQyv6lMp+7I291QIZNe4uMrWaogzE5FeI6h8LHNSqzZRxfb8P2kT0l
ZUPgtZ0ekQDrypxKDXoLvAJDlVhs+/vSyAOj39CmmX6yV/MT8e6zuXmNnvonQr56vikNCmjLk2zy
yIZuL2V3srddev89Cu6a2/MWgT2P0F1BnjoQJflg4BHpX17PZUmmRGLrwhPyJ+jC9MPCe5CYdlR6
FVJr8w73zk32BtD224a4K84cw0jN/mirC72ToVEMkV//jKDw8bxQfH3iA/RHVWWsu/lKRos5YnvH
ib19/scu03514GeSFcQcVVc14++rQrI6K2L+FC798fx/LNNm4ZKJgg3Cyp98H6xwkqnDqzIQLKoU
pP7/Mk2ZV3AyqiTVErHLaSYruP+uCvEjkQoThme8cDKP+feWaf+8SPtLemDyf6qKaAvN5D+3+ru+
kDNhksaglCTicCmv4DERKTWMo/Nb5ezwl3rjd/XSLBr4X5qO3470h25kyjqtyB8cKZILT4LhZ1pv
f38E3fpjyfnn12jO7+E3IYVYJG2n5dMY1FL53QrWx0SXgs1mmtTfzS1cRdn0MQrNRctLLyWcQCif
WwzSpBk85WZDMMKnFhWs4PTzrXlRE+XSyvOQlizEaLBBLl7b9l0wQIwa4yLqU3AwoSc95CVdy1WX
jrs+ozX5uBOZkmOoxQCACntQCr8tX2/xpbmDao2ATcviohqUU4ZHCUo9cODqLntYKle9mcKufo5I
J9aG99s9hjtBWi9l8f7mm/U5y8I1w82ALT0qHheK+jtOKcgvFPTU9SoD50gD018cbo5U5dsuL9ey
QhlaXEDwsyvI2VlOriFY/kb+At5v3xuq6jqCAIanWKs9U7J4jydRZYAiqq67WSSg0t6SmuVIc4DZ
GfVbkAjxMi7nNh3+jzxkidNS1m7dqch2Yd89383CG2XtXIkoKEKRura81mCQ6ml5UGjUhnQJ4xtj
OlGOJqKaxykmw0MogwSMcj1sCxbISoppiI19qZ419TwAJbvFkVdJ4NAn41TXa6tRaLpsDF3YFHhu
xPxnQB5bx76saGjf63WN2vMOM1G1HrT3FBqRmSuQvqTO+Wytfu3Hn1R5jiWaBCbdQiNKT61Zp+SB
RzXWj1C24rfKusWbxsLyPzRj+TzoQ7NupbjeQdZsfbWid9/C+O76j0Jq1nOYeKf0y1JrKOfcnTE3
97EoLxOVrXeVUEnR1BELJet8VdSPN6H/GSMcdhLFlps4u75qXdp36eNKV0skaStcp71wSQbl5j9S
+aUOMTPlBpS5qL/bcDFXRK8hzCA3LJqGYDTei1jHqvQAmap6aSkuag1zA6oCclSpYWGovsmrSYnB
CfHuhHzZPApYzm8jBs9swDuKe8B8DJhAv+s8WxWEAyhqBEW9w1NPFnMydBtT76+324Oo0G5VpnyZ
MmGTj3g93rJ9WEzkXIjUnDAo8Qm7sfU7a1zWBnjktvXEW8nS7yurKR3H1UWGLZDkMjDx+jWStF0J
F0Ypqxe5MRPfqqu3XOHaKU/qxNxNvxq0AesFIpITHHBls5ja9NoL4XYaubOSGfjZLnvFuljDE4V6
R29fSiUOEnAGZfrz0OvvTCJCJRHCa6LcKdA9umw5dtg4dNJ3SSouDjVXrkFy3oOLurs24pwcxiWs
EWiMvcKqW2DMlmdyUdx7eSFX2a4pcViK7IvCanEn2ttSTE+cvKb6KKeYNudb1h1MrFUKBqH4taem
q0HVNddzbCodWV12aQSxrLdz6nI3DW/SaWqDkCxNfW1E391swVur/VXp3UQY7Al8NlT2JFvXE0to
rPnJexLu4w6dprWng61Ye/VGP0wmd1CETHESZ4Z26FcXtirBX/GCREzT2n6kHjzwOn5q2iAv362M
Cua0sJLTrOe4pQuZ13w8iMUDJnov6ABw32T58iFdOpqZ4D0j+bsOP5uy9Iua5yreGH2XccVVBJuZ
yI9IxcykeyLnwNyaEusq6Qoa3IrYAhu0Lr9iGPQCSYlSk26y5qknozTDjpizBKculg6vKYT/8C/T
2KWejKuqdas5h51hVu0Y/1KPJDEY8bsEEWyazztXIahlyujpPmUQGRjD1Pu7zAVzJzdIVz4MGZd/
CZERf/H9R5dALcvtKkpS5/Gltv6o1oehU9Z39pmoEO3EeNYpYGcf6XCdzd9xvC4EFCf0n/XrLOYY
lNTnolxpd+VYaSuR9jvRQCkZYkVGeX046fjScuCs6BDa/iIXq2SguYHvs8Mza8TXMcHJQ3AcAy0W
yEE6dSr24wEDn6IS2XJQlZG7eZuYl7tYu1a+aX9VEF5I1r3D+b5ni4I1c3p/iiQslkqyiNRjka9G
jDHh/ftxPwsR696ct159pY9Prc+80TzJdCS6iZiJ6TvnAIMJpSrGtatjdMoe3n34VojVg1CpYtBj
3e0ozNg5syH6bzuJLYKWDqjUAu1288uJm2Q1h7AieY5Vr47HfToM264JFAomIKg66Zg267Rd3QjM
ImkEQyTJPhFWtJtf9FjzHs+54BvtS30jeoqYAMXX85eciISScOkCSveAEe5+JxSg3lu1tlOFXUmN
KKt2hH+rWE4rhcqLjpfpKpehQ3Zsp61M7EGaD8w27jcJ11RYxmgbhENPOrCheFVNj3YUPLI03UEl
+7aC999JRON0D1upvkO4QnW6GhI/oTabayexf0M61xTrtoYzVjoirZm5iopqgBknM9RlmRnOkPSf
nfX4MPXu3bpt9ZI8PI3r+SOOf+IMqWD7sMXoqWwSTxk+JbN3RrY2MvqHCmj7g/DWGh3VMDE8ROcm
KoO4h3mE2pMcV9doCIYeE3SHtKLzyRGIFY+hM/V46QZcod0mVADPqN95Xfil7ouIHQVg6lbh67gR
KwzDxqmTo0WX4AxVgyoWdtJjQmOg+b0JCowKk0Rv7B73biHFvi5dNDTRc1x11Lsh9QkRS2U1PCn3
3o+4H0oh8ycLVlZEN6cWgwjz4t1gO9xSNMqUkznngMevTcJJqmSvo0soEPGN+tRFtDblIUEZ3BgP
wb3dVRDI9201VDSrMgj2vSdibGvl1ouhw6XRseR+EyHkI7OAekXKa0KdLVK2Dw3Ygsi21yI2NJe8
pgZzTSaSJJzycIDopJz7jrlfifaNNQR/v+r839J/BUMRi3EDZxHr8T9U+W1k9sN0e4wB+15HeejE
KARpb/4lkv1PbLH/WoXLmiyxnZgNEWxQ/q7FzmaKU/rnZuqP5//PZooOu4RIx7Lkf4YC/y07hC/H
wDQioWe25o7//2ylJAOpKL1305AgUv1bHhDlX/kzEKPMEBIuhl97tt93H2g4+kyPKgZF6QvGDFgd
B0XypX6TMyI/qJja7aJ9a8Rv8uLA281VwB46z3L0hVWM4ZdLJ97cFD9fAYiUHQvF26VdC368IOV1
NVxunvl/7MmgqvwrZ8JvJ9v6wy6AXeJh5omF6qhY6+x/Qp+udvkpKy+QcmYM59yDB4OpVCuyeRil
mm7N+O/Aqwy/hTVtbP0irCO6bYcxfOlPFJgiGqRdg0UfPyQBuaScZLu5e6x6ho5mSEZ5uXsYPlWZ
uF+FV/6TDurMHInKs9n49/rA0iyRA/6bLdVOCQFPEl1Su+OOyUXZjjvzHVkNNGW6nkhHu8OeXjJK
KVZ/1etd3j/YzpH+A+eESNw0Pig5kgN5qWxUz+eRPAtVFwArX3Glp+lJ22AXp+fLj8pqb3YbAiqe
qldy0fgkMegIV9ugehBZAinaBgVNCESquLTplndBqx2sCZEScvC4razOtswTMkreVlnP74WOMCEM
tMVjeoLRlbYnbVIs1unkavmiu7/pTl8EQFSS4TTcsA2XsOcsVy6IO3lSWRNFV+dRLwQpUDD14nne
yU/1K3SUX91N2nVKifj3NYF58jTL8/iXW0Ahuz8MqAFOdGT7Q4pE7KpvAIpY0zs1Z9qskrHL10rz
xavMgIwZy0eg6927QUC4Et9kOUrja/dzewjDxah7d9ckYwmsnrphMiwjmxXJzXkgG8UUyNqVqGdl
G/WEZh5YI5O9OygLUzyj6DK7Ff8u4HcW/VB1aphUoD4OFigXEBcbQAt013/9O69armQbp/O6Oqpr
9TwdhUtHXueS0VWXT80xFj2TiLPhQBOYU6DAJBYgma3j2cMbRMoJRmpjCUEJ/USi6XRSMBPPk8aX
Mk/h6WpMPhpkUZBYkCK/AnNNkHz508wdxA3MGaC6zJd5RyOQEqS4JkprAPJJrX0CC4hmWgr4XX/v
ibHltEOShPAvLIgCGu5OTTz7NoxzGyQLpxaWxgXkGlcCIUNX4DUtDWsui9bXuGYDjfWZW2xHeSuL
/gE5gM3WxP5Q3GG5j9ZoQ1Fy4Y4fnZL8tJFz586CgQE1G/iqBl/PudvTYOgPwvXzsPg+LU53ZwmH
JqBrJlx7VDduPREtts2ttZQcpY7aDvdtbn5zp8hepVA5XoTX6ouL37yi6ie2xSbA3K7IKUg3LBgB
INDtp65Lvlp90DZQXPjbjBFS58+N8pjbCG6Dg/wXIixybgxhMwDg7sS+sOvWoSvsmg8xXRAYlvDN
fOCuWJsYrxxgpHzZ1mvU3W2WHIJxNA/suhrN7kHB1OCPAPjwDctPUC7bnPVxtyb61fBIkmoIDfCj
ixJuYIbSit8UpUbUBrt4NqPcWgqbOVYghOKCYmMjRkNwsFvTr58LJejCk/Qae4abb40nlr+eekK0
M6uSXH2FjHb0tbMmzSFMOs2PlHo/eyIXm4gKfl0y7cY3PbQdhDr9oI94Ft/gYoOec1Qf2hl44l2y
GehkZK5FHh4oHPQea4ZCgAH3JdXeDfSAultXnuiKcDK9svco1dwwtrN+zggYseODQbQYnPbIbbmB
QxQ6+Tb80M0TrRSggsJBWloBsYWIDY7RTtmYV9bgAHcbVzmkRJVn3499thf87Dn66VeiYy6IZVuq
78PyvmJcrcftY8du7NQteoYLsk+P2sxLw3NMkub7HdltEkjL5tifuf27N9bV5lr1qyugI8aWMPQb
0u0kAMwigiNGB79F+Kw58IXjj2ST/rApCH24IBaBz0jI3/DqZsfs1F5YuvJVQ9sJeTQSJskmKgpl
PF/6vcaugaHYZYwbU8xPosr2iebCzBuKa0cDDRV6MXk2xtJClhm7XKMhigW2FkStIc4EOkdXotpm
1+EpfY2Xj+eKlD3BAZghRAGntjM92jx0nug0wQPAfa98IcZqGLJEm+r4TZ97OdkX93lKod/wQNmI
bODqgy6cxswt3rSPPlqWE+wuxKY01OzwRf3UWe5eMpxpSHE3+pUweCMjnIWwlQWJeZq2AJoC+CL2
D5HihC0NCFdUvYLNOpodAj46m7ErjL04ohK2hJ9Kwc2gjVR5kuBJhVsXZNy43Q95S0K2xK2dK6Ap
HS0JSNSBbVEc8tPjDJTEAc/l0hlamSuy9jbKodlALWuPCLRO8Wv7rle2tG8+SYRP3imEUs78oB/2
BLxIfWuZ5z7652olfuCQoQ8mvQtHJzwDPgrgrrw1JoImMjNQdHDK7a7zqm6pQx4rZ9aqTOihOX+M
Yq9RPWK1sM7OwgHLAtOM0zO83OyBMbcLzMP0wb567sBb+oIuNsTcXmU/5gjvQ7SFzRre9gptQaYj
ldA1eE5+2vkjIiiVyNgFqemTy3C9y3/iZ86QtMp/up8QbkZ86kjw0Nm4hY+tRHAdO1EETvoM0Bho
BOdBSuYpugNCalMfO9GjXQ+X7FxQXjoiIMf/kjxHV8Isdzr3C5tlMM76V3wWnrUNE+B7sjPfHh/6
iVlFe2Lzzu7C2idXME+dF1NlswlVep6+6hXaQHlBoQx4BTo/CEWo9u0HcYpf2pOwEV0sOoLqRwjm
5je5hl/Wf0rXePCsfttayM020gElJMwVjH6wv8gmK93pqw/iFZnvXg0zG+0TVONmQ24TLWx/ysiF
crk3GCSvU0oKnztYK7VYm8p+XKMxWN5Mcmjnsq5inMdXMAPWhWcO5dfoT73LGm886+CibRZz4njK
0FqafqKvsseiJ3mdbBwIOmBA6g3aA8xuChopGlrzrQVQJ1ln2qoZfMtEZe+Uzq7kO0BVgevBcsEW
sx+LUjdHqExbL0N9BZlgRv/CuiNtXK4QJkOVPmddZ/fTAfUfmaXc+jSlulV9O02E+cpOJZH56Kgy
/1osUPXJgtt+MOYJMxIILJiFDMEi8ueaflIHHgdXIQ9P3FrNquLCfSEqPTAIy2CWU3VUfTZzzcik
EgVS51epL042CYi41FKKBICvLWnVRNt29FH9D+YZqltaAyEmUAkfRdQuimiRz+mILU1gM6iUJ5Gx
xdAda3yFKZO42W0rhuBlCnSz7Ny/+DyV93Oe7wSYpntx33iyS9/8dkIPsSTTa7L9klXuHatp55Xv
9P9t6Qdi3EC94d2hkAD2M/duRzIP/XCteP0SBZ4bvhRPxdO4ef4snCff8Ovd7SB7SBhP47Y4kqrD
MPp4K/fF6ub/RWUPF/oKMtXtkJ3QHzjDpt1Ny/Et/qT+O5AFTJrqvjnrpKT9Nddvk4SIVQgM50ze
IArkV3q1+FvXsslF9reP3ycQE45y7R9PPZndUPSvXU6BXdxGRpDIqHeRd87gbnZGvnxQl0DWWu4K
2rib3k93IQRFaqAiMBagL0jRlKfx2BiUChyS08bTS9HYdRBvMT1QOfdLmiVOcqKpzdTeuPJJOiTP
3WsK7GLwmleLqRfh5u2TtoIOO4sp5bX3CBhe5MvBBzq0TJfqQl6g3neU/jlS7ja1Qb0xkOJDgjpy
3TA1HWFs7Gl0y9v1hEy6Q6ZRbLAGTGf9kiqnMPsmQJD+h06UBSsFFKGv6Ae+iq/sS/uJ5umoKByk
g3z9c52e4tkyt3OaL4ltbFkGEFT/prz1B4BlcMyO9IGGIxsv/ACo+NHprdKrckyv+h4z5YN1VQHI
ysEGQorgYDrVFdV1IFLOgZNVelgkaDfcP4BAScydA3mKwV1fibgmStv4iqiNnO7PxUfLgP2cfKh8
s4R3I919Ur6i5+QZrKvKh7j0x/6IKhztM71+YKjm5fbJiBDFyJvRGDGMyeHmfruaEz+Y7ToX9Mwo
l/UrUmX9gsYY0lf+Mn+T9PjVVf4yHCYEXSnaI3Yp87vRFIaIjBKWSBqXLQDpknd6c62lZ5bnindb
pEGzqDOHVXniQzMzVpK5GZjRmdov4nPm07tmAhIOwjL/tlLmBBvYk3l6fBCWyuWhnpQD21V+GU/S
Em1EIKz5JPPnEVe8dX5N1Z5gw/lqm6Hlj4A9EXvUM7JokiSAKI5kgNPP209nPid98gyp8mo6I9H0
EVKjCmeNJm+H+lVY5+2RF3xAF/nO5+VHwWWXzwGgnrR8GGcS5+mpS+hMV/xTIi5wbHKmeNl6+Khw
UCk2l+wDtiU3+u3z9lmvOM3CWWAfzvnkOUjn0OF2AJwdk4L7JcSep1/46XRWZhm5sA6/OUoPmlLP
F8PhVuz51we2QkSqTLqHydzOpDICKuav6xo9/5qfiBpKVNmZ0yd4V428y1/4nnnHIN2b/B1KgsTq
O8TUy+zFq+mXW7vMXzBRIkPXL7/OYKwHCPONAyXQ+hvaAK2UT94KJ4ff8QGG/R5huR5w4L76q2rx
n1gLQ78pW6qOBpO0RdwTOuWVv7Ob/LJ//FYL+1fP/0ctTP6v2WUCpgPFJgaRWT3wD/0nP8JqImsw
WP4BWP8f/SflrhmkDnsJT8rcIv/vahgMJMQI80uqKt4YTf63SOqzXPSfGv5/vHWEqP/cjJ+6KYUF
Loes6xeae/vEbMJ+0gq49LncuDBu3KdWED0+BPWDCYUNqOJyRzCu1D+MJuIbd+iQv3Kb8XiyrZh7
b5NFx2U5Tc9FQcDz8hE6eNvgUpOPXfsTC0QZk1e1RdSDliEhy2oK+myFaGk9nvKXezASIbKjFjV3
EFnCzE0ee76/4UlGra9f5PAlf0Eij8is31hBCdTamxd24snYrJmc5J2x0W+r5Fn6wmBRWSvmmWEf
vnPHyT1B2dVqXFgBNHS8ngTHzbcPH7peJeR1WYR1z2sshiPuaBwb2AvYL1BSe+UUIfrnQfOt820Z
jFGsK/yYGlfErE4uHWRJxh1hrTwN+/7Ihm2uxpFZuGfs5ufUG3lNFD3FmvuUswgskwFGquafcx7F
N96PDDtUI+rFweTCYfXiIIjfKtnTDDWMGyG+Fz+53kdbPUo8lyd8IJe/DAtAnPfrDcPEjZg8MUDx
SG+y9gx5Y+3No1IFuPsHpFi3dkEWSXRbwOSkkdqRgjbuWYeVzUqIGPl5DYr7MYkQC540kmvfOjiQ
lZdkF67Ma49ZDasgncFj8a6PnowaoGHN9V6zz4vdSj+BnaLCbkQLCAPlslpus2NyrGllg1gNtMmd
ghbIaLGVPtrofMOUeZaeFZoEyKi2dbYm1i+m3VTHwXL52Ga4MX3y0xGuF1ygREyg/oyWj34rUrAs
Nzyamm0Us41S0cLOsFvCPrM3jUjup4qzPRsmmJ+OhjPtfrGMsSSAIqa8GFBr0zf4IvhF7QagqurO
6lAMIJtpARl+I1wPoHa/yL7yAdJTF0Kiyqr+WZKXMAMpsWHMAL5BoDuvRpEOMYmCAULaEeLOzgaw
zkQu88YsNjgdCH6nOvC4H2/Fevecqz47ymYOi5+RqnlB7jH8XZzSDgVE6nzxMy/StwFJIGYgUmn+
tr6rFdMBQsuHD4YLd039yvE4kPpEZawMipBKLdaX2YUiY+fh/weKsvBCKZexz1cv3YHSk4NRR9uM
NMWpr1avlIss6kM8T58f1J8Ul7oGq+0SrP+0q18pRko7GkH4RTlt7H45HSOs4vY1XxMGw/EpjlHF
jA+1Qhg2yxK0NGQTzCdj5nqlxZISHmIVXmAucVKhYLEuLymt83Tyxj5l4jR9Fli8vPTwqS/ARqZY
3C94yC/SMwkAhkdVg0rJpj+AbW5fORAP5OCQqL/Gr/nLytd8d4Bw+T6pagMzo3klejOFmbQB+YmK
x5e4BNhtj19lwCnmjU67z/JXRA3Hg8xb23iMfGjPwtV4rAmlmY/Y0/H0iSnA0ML1RDwLi6XKQ2DM
f1tUrXoMPB7HIsvgwZqIioTLJ2f/deUxvDo0BV6ANwU+DQQ2z8ppTwrHAsfPAiZIlvnEO7D+/pze
0PgyqFjfkWX/CvYjYeiiXR6+8c1fx7O0NQNIcRfYr9WKC4pRClZS5TOpu1+vcxLgQI2tYR3C64jU
vCnvc6Iw3Eh2yqrpu9JnbizdwjdqvFK+aHGX+LOgmHzr4VBL7DJ52V7xqNPyhOkNgXCMPvkNaU8B
mektXPfnoXPnK9nHzqT4vK/khU46f07bB4FTk03phnqxzInccrBZx4oCcsvLUNbhowy2dhm5bp0b
kV2/puL/xFXHrw6cZCoqzm5sJ0Rl/u2qgw4cPbHfVh3/6vn/WHXQZ+Phhi7S7ZyTOWmC/WPVof3X
LFe0RNRu/OCPZE68KsTMkSOnSvTucLn83oODuWgSPsf6CInkv+M6mU0vf6gMJYvem4r9RcYUY/2h
MjSE+tEYbTjPUbGTBNnO8KMAgIatuYBtMKJY9uT3HiI3qFLTR/dMbNMFlpVLHcwmXhiNDokZyUuA
gZ2yrmwbR69wf87BaP92jv+FHPJ/993++Y3OP/9Nqlg9qjytG0EMVERaDJP5i9C7XMfpQBfh/ziW
+vcHU8U/nL95ocniWHJWkIj/DOOuBUeMSJ2QlcpuvAh/YLIC7n+knaA5z6F9+fr5wRvgcroO5QrY
rfPN2bKpqbN382Vq2cqRh+0kp2BNZu+Cvz83XH1/fIkzFRSPNuYmGrN/ttQnYbKa9CaKgVT3dgrJ
pPguZJcqvnz6+wNJ/4q89fuRuC5//xbK0Ux1LZbEoIThwhqPBVmzuh/mYjBNm9SZvv6PA/6xKP7r
zvrto/2xKDa77DZWMR9NuJGxt/FJjFPSFZ8OFfjl/ziWMauE//eJ/G0cmE/0bxeZNplIRKWWo6Gh
GslegBIgd8hfWQEuoFcbrKYLdpj28GTV2/SrXbCaeuueMGy3Rxp7K5CZD3ugnvCNTgUlTf0SqwFI
+lWtnpHkZd/K6v7qzbFp3bP43q+iAHFHEdAXiqhpqI74zp8aWIKHtOwaWEweqrkchL93B0cuvurL
A3SrlAweyQZYwnIYVrHJjDP4oqN9Zjvlpb0CwRpvi+KUrLU1peN+W51nJsPDprCUrbslkeSBtH5c
UFkVgfCSvmIEohLWLDsSzJD58wHw5fgR1V18HFVQ/6ilk72HzZcUffYO5VDaEI7qmZHTZ/bNpxrO
tJanNMzIciNAsLyYAHxn8ZedXZIFRTVw+Q9f/CjOzW64Fk+qK7YBTQm3fK0l9vCcTyW0IY0SAEAb
x2aBCl1oKyzEZ/nj7vNih1fpx1ioL9Zb/Um+mfIW0mNGf4nz6GcuM3LbNVQNtfPtbaSKfLGW+SL5
mfbyNt5mUBS1Y/1ivRNV1EFNokTnUeq77Q0o5Sm1HYc+RHmod/edvhL22a57EY/FWppLWtNe2bP5
Mbf0PDk7ymfy/rimBwDox7hj8UE7gHzNBQjwjb5QV81TWLgd3lpXBnXNKl3xv7NL86x5xtakDK2d
TNo/d1+hscm6vnWUGOdxhnGFVQ+rGXmp7m/vt5PMvsPPFuVrhAy5tbtDu9Bfb+JiADPClUHU36I+
Sv7sNMlfQIi44VYJWNinezk5PLb5gS4itr9rvBS+hA0Y6Gw3LKNjd8Z8Ly/LJKBdF5GV6EzX22lY
ZB/xgqLILvowXNO7h26VLuC+IwFyzFnW+pzsiPf2H83G0mR00fOG0ajcUnX0H9GzfOFUhm5yMZ9K
j3beJiHfqVkLpwyM0MF069nfiz1KcjqvftE8KsFb8fO+geVOY489pZs7rTOurHO/mhuG/XqEH4hR
ysO1+9K6qi950ta43las4E7WAUcRXiPIbRiaiSdiHYy+woldKWgXsLJW1SY/aL4UPFb3VbtlR7N+
bAHoO7ld+9kyuu9v1o5TPx21N4t+NWkvq8rV9pIPHW1LSgJPlQJjrQRDYC5DN1tlx/uvOEzghp7q
QGpyU6de98+0R6iqCa/jR0s05Ek+RT/qNsE8gu7Tvl+RKizKfX+JVveF5TVBE+hLLHfO5Fcul7o7
rjU3XkQ+fngnd6pjt73vTUdcSJ89E05LAIa1F/Zo1FZ0yrz5bmffEtBioHcs0DaBCBfvpUPkN4tu
O0C020rJldJ+OwG1Kg+tRQMvX8r9VqjOVPZXZrvr3uW9ZhzDu6McE2z/7KzabRXaUOkQrOknNDQa
f4AvVbn62PRXAUVKzevIX1R7dyzXiK9Rwyrwk59M1Tbqs4y81BmydfjMEJZsu587DTiRPsxZW2MZ
AyXOPapPu/GzTtcqHmvlSnN6aaC7jbYg5OoPOjem22yiCZKWQ78ExPBJKvzhid7Zi2Fc6DiP1Ubm
7mSDawmrTiYngHPwoKsnOFLN3trurHV+/7LewvRNouci0TfTx5tXW/tuXOqNu/R9f/Jf3l7YCY/i
q1Qj5/RxlAJeZycbpYsYl4XlhsSWzRteW+DuR7+Sex266A266Yr9+X1daD9y/J4NzyRuoGdMtAPY
QPtZ1gPZ/PHT3g4NV6cybqzFdjlG/uMisCWg/o7bbqtUjniQx2OCt1RDMBAiOBR9CTwy9fQtpfX4
Mzr2vqngdoTedtKVXXkorF04esXRens0bKhrZ9yFtIND1QdsGJ9LdVt33iPZje0GXWyTEUCrHcR6
191Q+9tbGyH8umwPiUzaJsg6JX7VozMCghFQE/WkLdI7bAWj5D7oPKa0t0S7BmAYu483RVnm74lC
GX1517wRk6jM90qXX4y/bs8Yi1FYobu4im7zjUOwfx7eYPlMR0yACVQJuiIoG4xFbX8UXnjwZIzN
nFgqEZIzc/TyTcVRBzfsXYtxpmCs7Ffj+rb9wZ8oHbL+GgKKQzI87gTh0sQEQdHrjD19VWnXiM3s
DW+azS/hFAbICbh+YVaErMEevrlHO5AsQ+ULcT+S3Ar99gQCxWDlaHfK0/RW0SLt5o44u+FcW/C7
+R69WaZftC49hRqIEckQNv4WTaHGvS3eNRIh6CKq6/i13Ie8VaJWnZEbuVu2QqB1fu0r47bh7ooP
tx/meKzM7X2HrV/yNQq/uAfoeuv4qO0bPcpAvlLuT1Gg0xXsg1sXZCq2bRci3v/j7kyWW8eubfsv
rw8H6qLxOigI1jVFih2EREkgChIVUX79G8hwXh8fZ/iGX9NOncxjFSRFEnvvtdacY7bAH28amgB+
egfMv8jfrNcq0VcGnjUy+Gaa6mXUwKAWO6aljI9E1jx/wD5592i+FMZSsHz8ia9b3lPZZqg34uvz
ZU4H7as1LzK5w2s9mGpsaGhWjxcj23S6bifAYhnYq9cenEe9ebbbe0WdaL5xmy/mnc83RXHvxzCf
B9YkFxgP700W7qczPPEJu8GtUw+JwmR7gLXJNkGQw0hR2XU0Kwn9pT4eCWu4bIklGn/zNhgvu5fO
rMFNMHnmUGdwCs6QDfXxWsKXW5wf+aRPHWpyrPh2CceKxJ/3lHmMXNvJfa1eMhpRzHF0mxE4Anc0
BC3cxZaT1DpELtItzW5XQ0JUpi+SFXtfUZlaS6SLVaWPx7XMJ/jaQeHQLqKV1r2Z9TUIv9ObSBbl
j0GyE+8x2qUIPSCDMjjYUZUbxVsvQAVx7sI80ydpPcNEr6S01zCe2EySbJWZ0+AYZ2amsUGTMpLR
cC9jk0AKt1d5T71FCx6eXm0gg6PDrt1HWS1VFZW43V1NALIyomabK1agXfmEEQn7EBOFXcjnkIxN
vbi+ug3Fvq7vNGNpkmNMp+jFYfFKo4HA64B9hRXvwZ5RwKER3tPMqb9kV/J6zNvl4nWu1LVS+I1+
DIRZv26slbEIXxtLtqV+e2eooyCldrX2lCXXnjIwuAQhIxjUPlW0qDvofWg5WubM4Q5LAsnXtszv
I3xj1iniN2NYhU+iPkgWVNxHvK4MR0PQIqHInzKTs4D40KgoZ9r5Je2e/VSMFlaN1uHh3/c52/R7
iWrDXCO8ULFz/dHYdDHJ9y9frSq/sqhOiabNV1x/UFaWKgHG8D7pALGkusEBT0G+MBM/QwZAw3XN
Qv6gXcacmqixKl2r7XlICCedN/mt4hrScK0rsiuH25eJSHF5701eJlhGnOcr00fq3hWczIdrWhOE
gykvXgToH4xTxWhahB2HoSbFf05S+UQbiIie6aovGquOHa3jQh6bUyg8nvgGCsh1KGmazsHDmw6z
KlyX3GhAazebyHTePJP1vWKD6evx3V5mX8+MoDVbuD2XeAGTM6rFawUDgg9r9mBZ/sAbdscNzbgX
9EG9iQrezv4Ssb9DUEddHWLFh9jWyAhGSF5d6aBI1M2dJnC96ppVycUl2Y1IB8zhYT/Ohb7gBGLq
x/v3oLrFsCDVQ7bWFh57aVGrp7b0BWVdseM6dwZp7SwR0AciZdfiNcb3QnTn7dc7vAcwDy39hPIc
lacAxUKUf4hoWyTk5msTeT4/oreMkhfZ1hJ9FpqQiE3QcswvlWvVrJrpU9hZljfGLlB7za01Ih2S
EgLroOlXqownwE+2a0oG0ZM7W3jh5y7OM+8x+mumqmm/o3wSDCRR8WoQXbSAJsPNl9cS9+Qyaxay
dSSjMgMQA6hOmEoM7A0y+y7PdFUR2vZKXVaoJLlh94zJTU8mwDI0Z2uIkAnJtkKUwhX6cSdNgS1T
bnps92SfYAJCxiX8kPIV9j5PCQ1ARconZoL4pvLhANB/S4Kr3IONUNlmGl7uCIQtBiCybjhAzQl0
5SDOE5Geu97BSTJkJOWh9kVAxAzbqRfGFl4nVuvWtsBw2Zj5CEV1ieUC52hsM8lhwWyfkIV4HxxY
8ehfgvYJ4eSIM+FaLYV5omvQOuwOs5Fz3z1X6apYWMthKyCa4PMUIQ2n+4z0U1t0SV+1mS/Q/oBq
Q796hCKpmLJbKMq4oR39XfBeC4xGPJ79i5Askw41o/Bk10ANFQcKj1OMU+y1vmPUkbxg2AsIuwwU
WopVYtdfPx4XJfYr5FUaG8J9JPeua+u9RwwYb1RtZeq7e7tDKdKxSA7CV5mfSlYW+YOP8rXpUKjA
pIrXFuFihf+KF1l5eKgoH/Zy/ROQgaEDWsX8I7xar4RBhiiL72+gbWauyGm/oiZMP2vLoOt61Gjz
7EWeqxS6Iwm8XABu9/5sHXnPkmMLk2xhHHFrQTMGqNmxuqNVYXSAKcNuvTtVEi46TulEu8sOek+y
3cYA5GGGjiuxdXhvrOtMmJh2b1AzciZIJggbXWGqrqQD2mlspBhOobrMwH05r8nrlpST4k79TVfi
PmzNK2V5O1d3Vgebc8ED84EmE6IHSyAFVx3RCsKefNIOIo/mdeHTaLLKcWL1k7Su/PwyAA+3rrIp
Hh630T58NXW7W1p58i774T/9sMqSg8ViciB/RUF2hboFrnf2IxKj2/NHIS4PpZfweG8Dr6M64X0q
ZEeXG4qSeYQ0Ll1qzMfDPVOyIV8xQ8yCLXYzQGw8Rh4AO1VzQ7lr6FO6DdqBzz5VT5CWzUTeI06l
NLrPlE1L5jjJRhL2IUz4E76bR8zv11A5MlNh7bTmpYXclCfoIoKCw87JIY5oQLSYN4aWA/pppqgf
2klaNdfXTjmVO4VFedP4NPjrTbxnW6eHnmqInaas/PTt0bCSHMaq79NMj411g4TSKpZ3HIWhU+sf
z+bakpKSeq3+8Rizees5qoVreXuDg7dRLuI8PYZrDoq+uJcZoqCj/k6v4ien6KZG6D15MHGj83CK
rzgWTq/WfvyXh6HIRBExZ9clPmi+/ZvRP014ura/N+F/+/l/NOF1RYMnJZl/zOnHLvgvTXiMLGSa
qDK8KVWnP/9LGMo49zf5pKma1LS/NuFFQyE0QtVl2RxpUv9JE14zRtPI717/Xx66/FsXXra0SraM
BDuYQBSdb3G6McML/UABWF9cjQda4VNOQYTp3gUw27LuEE2xETi5Pt1l94mKJEammRctsyF07xhG
gWZUe2JPnscWwzOqkm8KJbjQ9C5rcV9Z+gz0qpTRDPADeNE5R4I8+qDzZ/YesFSnNxdmvn1RDAnd
2hym+pVEsZdxa+DOyoVXgSZhuN1DlQkQmk1p/7xe1JzTkrqWMNiYzD0j4D0+Vc6SvgohSKX5XENt
YDYzGU0cKyWXebwSwGijdQdHN5Dl/d5fhtf3Y5cqDPudF4owtkmi7aYWRDqwL/28wV6IAz1/LbKI
U17uxls9nD0/e3kZhd4zWKjmm5GsXuYkM4jIPg20mIDqpk7IGqQFnBrp1Xb4goGLoIxElvqYCSbH
/3IBmRgYEN5Q9lOxWoCitWbRJe9cMeRsMe9PujTLt9ZnN1U91ttTFF8UAQcqrohbcAymImZFtNGs
1ZUDYepOsftsv8Ns/xpFkxvBPLbJug6nlNVJ4zUx8uBFeH97GF5G7JThPEx//LcxM1vsI0xcrXfw
UxGcTtl7yl4N6A7BfuupqouAvBMd+3GBJ5V7zC2X4SxcPgnQy0I0hbPw21qPaY/lQp3RvCH6Undv
nX38vF5JrGRTyYkpN5biHnH8Ud4/ztos9uly7+OTuQ7W2nt2pjbV2IwAcQHgYX3zOpa6rLk2+ofO
nBHGTrFsWRATY11Ktj74ZCV6I78KtCFbrDUaP7AqQYB8HpsNI+3WbzYq3badeqp37ZU2xlsDUwEX
uRP/KFe5m1B2g4UReMVCd4k+Nfca1naJDDxHhifGt/KGR6DVg+DxBhogrfssJ6pEq1jy6Tgyalb2
JUZVYGDe2CvYERvDd9cs/FeUmRB++WzpGVf29GH7or9DcF3NXezY87u5TrUCbBLNOeTUA8h6+0WP
lp1Eu1SXrF8bq4gWTMKf9hZT06Y/Q/ZGRaLstNTN1H2fk6WFPlne8B/ryu20woQH3Idj97dwuf9a
vfGX9qYf9ITpAP2W+5vJrFfaafWJX+/5wyPks9z30DsQE+wCvza/5Cacge+kif2EyXnmyeFdrV1z
T7VvEpmJaCGphDjdd7sQxQTFNcMKT0fSOhvW4gwEFhN/c9lPbiCQzSl1Iy6k8a3OKF3JvIKuGz6f
3sY0Px5fgB583TnQwEXKHJo04YTWLnhM5LY8xRke3HfFcpUfIInERvIRbS1tEpYQwreDajq1RPAv
jImMnuNEo/ZNxM/w/sSgusmFKTomKfbK9PNB1x4ss4ChgHDMhN012ubxQtK2gDlYSNIA88wLK5WD
uE4iRZarG/Pw1JQ8c61BQ+K17xPQ+AoH7YrOljwGG/Bz5J0k3gPf79gcCDo7r64YjjhtZfncBH7x
xAAsCzrhJY1/T8SdIDC5WYRlubEGmVAy+KJ+WLy8MvzJhT3J75tgITc/aawRlXKJfh79FyEgD2rD
4D2p17l4SYRFL3Ne2T6bmSAQ//L+aCbdezi4+pXLqXfQXhL8CuX8IQx2q5zCeoH2P4OQFCRH+tqc
QR/KCf+MVnKqsOt6TWZPXOFwm0jNu9UQkuK2Gg44p1kjEpN7pvcUWMxs1P9l/PlX40RYhxpGU0Uj
+O+3KZgoiXEXJMEwTVUizCNsRqX9RDX1/cuG/RcT3b8cJv56P7+NdOMyDOC/cD/hNCHIHXmwNCmW
0jy5hNVCmf1/3JtCkqEJq1GFAvTbvelK92qzCn0bw5DKfuyIVNm3WNqig/G/DC1xw/7Ffq7omjbC
IRX4SL+NSeMqvFe4NpiT97MwmfIrtuOEAsJM+cL7STt5q5mCHcVvT3XaGDUstB8he+HKn7X9tja/
E22bB6PzYACqy/QJbUlCavMc0R7WR+S/97eIGq7lDGs4yalEOsvAgdQQhH+lN0g2WT5cx43X0egV
fqxklQoXUyQRgDxc1xzZzYtmlFFNFc2ulX0frLLsNTEKn7G2vHvmG6C8jxCgDVg0y3vmczREYjB/
QrFAxJILrgCIspAm3H2zE6QJCwoTuVqajFHmLxp+CyaYVrLH1yOIXkwVwboNRuOcnGHQoLfjnN21
bhNOajosWb6i9o4tNkjqrNaGtN9YbktXn42tWTJ+R03NgeeJX3BUDQ+lG+NwJfuhmZgWTJSQDZx2
uIZWq0OZ35MZc6nBhY1s/iLYt3XgiAyRH82qNpY4ZZ5L2vPtO0sU1lSHKlTaQ56ziS5X38Nsifvi
9dksuvY7YrTKZd4DRnwhDKeQDX4s1ceNNPQzup4RinRa4HT/QIM0dDz4/UdXaoiPlg4BK+zEpCcZ
O2z34saAKy25y1ZxPPo3ZFQztQoddkjnkJ9+hON9ZbgtDfB0zOvq2oA1CYNKErgqerfYqe3hnepX
rNywmpKagVJex1RCKQ1yJXYVBJsK+PxJu9Q8c0nyr9+UPpK89KB8Np+wkgYkWsUBg08mLwpGLcz5
EI8TO2wK30bhtSdFnYn5SVu1oaefe57RFnAyT04rTDNIiY9ZiVcvASOpzMh2AHCTrWtyLGmrGM00
WgNWbg5ZC6gnoz+gVYsEMn98THkVAmVNj0DmVAHsRIwoaenubEKiJTHvEV7zqBDhrURQyMUP/ew7
BgijWRtnoi9ai/2R9wRPlopnhl5BJC/um4RI33PLKwK2pHmr6mnT3NJ+3Jwe2VJhgBxkeyF4P0rn
V/812mjoNV9gXNwHN8qWHbuA+p7p03fARMCo2aeXev/9wOVafKvavo+vA2IN9fDEtnFXZ0/1+kq/
Vagbc7w1udGwaeFlCEzCbgltb3eN8MSsO2+Rtt9hs2L9LYk1T1qibERtBf99qu9Nkh6WsXJ4YG6U
F9Mnq/u9Dv2sQMdIG8QaLnjFkmyuGuCNj24Tu9bX8xRunj5sujxf5ivkLkn4nlE4jgSPivxmYu5j
ura0zBod/jDW6InIMNLYySXDMvcLPMeUzsgzXtOxLE6suts7F7abNapvkTgeiJaf5yeFMKQ4+QTa
4LVdfdKBC4bJMQQecxe+nth+ItkLzHeAWlmLgep1yrAlFXjMmNuXTNHSyR/r9X+jfGwMCpAkAmVH
ZoIssmf+sjW5H6+Pv5ep64/H9//9P4oC6OGfKte/+vk/K1e4dgolKMI0SZU1gHv/qFz5kqnKikUM
7xiDMBa1f4rWEZ1pqiWb6NaZikhj+Off5WMyX0IgxKOlCv0DsPefVa6/KWZ+f+gWv/qvihlheBiP
KFAqnw3XVrIVNGA+hmxn3K/Dhs6Xy1ts2NRMtV8QVlO3hZkt/lRz/LMMkYeSU9oslpb8KNR/w4Hr
D7VMABg/Ut1rRrdQcB+L8IebOUynsT2aUU93+9DbPzsBSAulgeUBmJcdvrkWj2nqaF8v/MFtP2OS
NhzeRH/UlWt4VPFOeYRI0mtEzZZCuP2go81fKhL00MLQLH3TZCd6rrtNfgvjqTAlaQYZPg8qfK6J
NUhdCwPMs5hl8ZxfpPd5dNyJfuJGSuMDMTpxBrjPZcf45ixnbipR8Z+FS86WSw2HB4TnIJ6zRdPV
QlrNGulCpEI96xfzUSBsXy6oTUG6QR4QJq8odkef+Gw/e/ANKR4YfRb1s54R67CT7kvKKVZQPqjA
0lt/He33h/QGCX8TX9IbAh28ahduuIH5C2nBVlzEJONfJ/y3O8Dw6r4MSu/Z6OiD4zCWZA/iA1ev
LfFsLTOvfgCg41oBXP3uS/+wJtryk88x6R5miIm28BpyKgnkfyOVggYncmZ4nYsR3Q+nAR6bXb6T
a/faiqO4mSao+dESF/EB6qLZMnDEckvVciC88cArmU90BeNhvwaSPOyCt7ibmB98gx4dBqCdsJkX
ZAWkC+S/EOS/FSz4oRtMUzrkVODBJKaFmnVrfamsGNxnN/Gg36+cXQQG1K50/UNtzhesaKpmqxSF
l0z2gvpZdOvGPDOkKbCL5g43hxyneq8gydf8IeOJPTPyTVox27KfIX8ul8F95OAbJ8TSaKgJ14uU
PZ+GWAHGnxvRl51tU5LKR0an34/mIM6o7pMJ/AXuhRvEaDrtDOTayNbNZbrov3hgDjJs5/TBvsg/
ayDVlGUeUkfDZycRJ8KudqndlrRPJigf0VYNPCQkNX6+YBBEA8CcJT5Do4U+Y1tCIM67z96qNgj8
dtJOsiW+f3+YhzNjNewGX1lxTKBO3UJagrvnEHMW+QJVJaX0NXLyaT6FHjVTt6R9rcDmLsTY5nlw
tw0bPPOc8QE7hlMx+x61ON2coDCfEyb7dW9XlzMCK3t7G2vzm+76/reFu3v8g1YdOQxzofFGz6O0
id34NY1WnJKnCd+QT28AIYDy88OUsWFzjjENm2d6sua03uTA+5PQZSwMVRm4oo25l3ePHxtOeGPC
c4guT7T5ye3p4ctoEHKj1ubfMjq09kv7EPyyXNYYQ8u5tBpWr50m4Rx/Hp/egzqdJgFNCPCNdKrV
hT5NLtwIOGjB1ZD3rXS80IBv5RHu4ia3dsMFn0Il8+gZ87PcQueXc0ze9YE4NpJK/KAlHPOLzwQI
JAQJ0E1/Hx8/NztOtmEv9Cs9auAh5SySTCCv8gzt+WgHYxVhRcyQGXT/zVssUfLA+xUoQaqEMPrf
b7EqUM3ftth//fk/t1j5b7qhGbCoxgwiZezN/tkb5iuWrLBdqiQKAVD6R28Y7xe7MoHPuMJM+sCj
WevPHZYv6UQUwTCj1kRVrv8nO6zMDf3aGsYVxi+ug64lfwB1ujJ+/RdJahc/40QfFNOvPH03agxh
UxAQk07uBwkPvQ9PcqL4+g1p8Wjl3YiACagQ/5fqmdr/rx7H/7wAPJB/fhx32RDgvJJc16WbWJ91
s3Zv4OTeiizyU7psEDUyExS/G04qnFgERGb0AX19PcBAGLudbjUNGk6j4dqq0ST5GmYRwzOUzV1i
/4OSyIYUnMQQvQlFpqbMiofb48LeW4Yt0Un+I4RFJfZEdNCVFjvzrX/TltWJIlliRtORpuS1rnl+
neC+6RISDTu9pvP3aIux6BOwyoFSdmGS60ofiU7tuVuQPGoSfmJ5ZLgoAc4xUk8dhYU/dn3POcWp
J57L75rEYGpM9AV17jFxXo+G9Ow7p0cT234xq5nZFrb8Xl+kHbVreaDKsj6Kq8UD2+c/sK9rqKyf
9Y5CV6kcHeYDKm3JgehSnoN3SArM/qbZhfEUzJk2OIUh6351oHtVb9G2RyJwk/nwcjtsIrjUaE8z
RqSyPOWnZoUtZJ3uiaaFBmIaEANmHUrI1mez15ER75MFBWAhT1C9iu2KZ07FObwXEuRmbj7KUv3W
pYvHW9kWii8ym32VOWU20WsEPra+h7Fdf7LNOZYXINht6yXt4Gz+PN+TncDRhbRKNxFxH5ZvQb6l
ZCdSNqFz7t3pqLn1skXM1/gvXl2s7udZ5hy1MyNsMnCYHoA+KfhW6SrOJHNN0IDRQxK1s2O16ZB/
XqFkGv4eKZrlNLN+1cLoxinjNlTsK/XuGk9fe2PIDNUqWKRs896gnHHzOq911NGoXSprWXMIy5UW
SEYg4rn3y3BEIJluV/mEbJ9PGhbom5Gn9sv28NpTF5XtBgFJOocSkbit7JngwBFUbJgX2LnmKvdv
9Lc/zMzpRjjjez15Q5MBG/6gc4kqo10iQrUd7kgzFp40tDfPWdW8RSq6G/IBq4UKxaxF8XvsEHSi
iw6mibQIahze0AnRB9PNnTGj6Na0SVxr1W/o6e9qCD+8moyRExuV1BBzeIT1nnvjdxdf1RZ9AbNN
P/SKeX+Vw00+STfhN+/lsPNrhI7lUe3P3c993fU2+syxsWzepHk0I9vWfZ8De5qrU/Q59o+z241D
VygMu96eevN370wiIzpn/jl7nudMpwvqfq+ccGbeTYEpiBvVPW+X7+vlPFi8fGAx9umkOSfncDj8
0IHm5D1BboW24XEwV+mMNgbz92t6bbAJ4hnEoA7wisOjtBg9kU64ASWzUNCa2b3qV1N5b+K7cEqb
5ug9dtsUCpm4ix6euoqtlcU2HUwrGlSOfjWWzVrhmeBNJJZAuIb36sy1ezemCBEWyQfAl2mzNRaf
2oTwMp85rF9TLBzkdT03LpybD8ry5UJDHFjN7MT9L65pibrhf2TiSPib2eP+fU1rynzDL9PYcd/6
/ef/3HAlqlN6sKKpW5KKL+qXHVf6myWO81RdNa2/l7t/1rTm3yTNYOeXNUtUCMHi/v7ccU0I7xSz
lmlxr9S71n+y40q/I/5+f+h/bIW/bLlZKN+jKqgNPyoJNguK+SuARtjcD22K9jiqfKUSE/i7xcl8
GqDJKhH16ChZimhjt4LMgDKatKk6EwYarUYHbSIWB9d6yWgrUtg1ghOayvoh6xHraQEGNtxEUrcP
+kTCgI1+G5N02DQr9Vm/8aSsyudj1nQVaVvJPFPrEcHwE7VoADlkvtD3kIGV6/ihTNh7pGrIXbuF
ie2KQHoNS1vkDVldKTZOGZFanILjGEmDUbHKysCcZlhqimc6qyJTdEow10YIg6Q6l8DPHjqiIfKs
LItFyMSomVEz3oVjK0SuJT/og4GPx1tKwEkfyczfhMKYNZh66Po95u2zoDucNFftJbqWqTznT7Hc
Cy14bfopCNrzwSSECxQFnfJYVm5dhpVXoaCxngtVF3DtBiUUotF7LskXE4WmWZie1FBatIPfvKzv
jrvOzCzygkq8hTBrzc7sbUVCG14yt7Xk/94reLROqapBHqZhifym/7upkePtL1fwX/38n1cwGZz6
OBgih4EBB8qKf5yZMTXSYOJE/ferlIbV369gghhUlUM8VzgneU60XPd/v4L5ksxsRsXpCAx0RI7+
B8GdXPH/fFb9l0f+2/ilKbpHGeWcLrTiwppykmkaJA9HYgu1dDAztUSzuaVtFCL4IrX5MZRIhUhr
Plfw0y3iZ+lL6fT1DXkMB344SX0W1dVLLb2EwdEdp725fwmvWdTF/uuuYN6JRIzrOpj7aDw/mKi/
hudqaJPNi4UBBvlcAe0Ud8Kk0moHCPXMeDbvyjhaaCKRhrUxLQD0DExGH525GIpqOUQsAjV+wzRb
C/Xj0BhvMJ3bepVXwkLsqMjlSHXIfQcMmDLhxk4qAt5L3hjrjXnI+zs5OZ31wilFqHisvC6vhoZW
a6wTPT1q+uMO/+Gmvuqz0bGaDcpMMQ0aTJ9Z3y7vmrIYukmAnu/xDZnZqU1g9B2IOqV0hfGA+5Sv
GoE5jNXsFom91YbnOgY3CfayHhK/jiNQLca8GOIZOGRSd0VPiwhlydMxTQhbOnbkeyyuzPyj6uR1
HqqAuepl08knUUrx+ZFyZCBCDe/6OSUNIOu2DzSEIfqv+AEPLcakKgRL5SHvtJ72VtG9vGcUClut
GHI6/eS9EDU5ijGfA1ztjlUmkxnkqNK6fBTTpLWWsaRNglRdCHcOwAPYg1LjcC5ykEiq20sq4XWS
JR/EtCo1QNokj8HUFotvrYObUTEFqWn40Xwtl09rVAiSRJS+HvNAq139CfI/9YKGE7OexEwQqmhF
NhAlSB1e85aUaSHvkBdjjukDZncJOon6OYZf6n6TEDlbQl5Kwy0bx91T6Ahoz2EhE4RUVsVjrwy5
PLfyRzyPzPImlzAgCoXBsTbqZhpLPTDsomcQvJ67QWNeMsK3BoO3xUtN14qmzyxzWRLNgXrO4Bgf
HguYch3dH2VZiXtAqplMTsDplUOeLIaJwTCdaSbEC81TInofQkcAm0Z096gRkCVXFKOPpFA+XujW
xQe5YQoD7zBOv1olalH/EcSTF6RwPYHIR1wXBnJbvUK6nMyHETyrUqo8ntFeBvLfY7XE7ur3MFUf
SrFM05sBbbysw2MiPddWC5gqBd1U4v5nNPq4Y9Ag7Su/K7TJqlOSJ5tqdAdoOckPeJTRQap8z6j5
VOLAfRZP9MlUy4SYCYrXlDXm/b2Uyqu6Qx+bo15WI1R56JlaLuOUjqtE6PQTSbYoLlW5Jyau9rQS
5wdZJJokzersK2Y6G8GLkqK12p3MonA0JZpISY10hZm/XiyHZKb1y36wgMIjhdLvXybzFxE4RxWf
oZK7vTn2xlvew8zCHsikQsZaqNgRGWCN+Gqz7UOvUWZR5eOqQZzmEISI+nocTvLmhzTWLu45kW/P
CMiFXDkEix6HPiIKRZ3oGD6FW/t4uWRQZEG+e5EWhdqWfsuXeE+WRmfYTa/4QVzjqiwnsZquZFWZ
9+RI6d2X2LWHR5ExNKbrReL2lrOCc28+zCcjTMWP9LELO2bIyynEJ473yldKst8dUGDQAJk3D62m
A8GV5wqCLS3fEYjuWf0pMLY6ja1n50ZGQgBI7TYIe/9rz9xjmiUhj5oGC1zW4YD/ewXkmID02479
rz//544t/03WdEAD9KREk/YZE6F/dLlADKiSaIgIFjiWM+L5x5nbAh4uWaQuqX8crf9nx5bNv9HZ
khSRsRTTLw7y/8mWTbrnvxi9//mx/2HJ/+XQrenpI5QeZjitUGJ9BW8ME8xwMoCS4z/NZvyLTvh1
Nk1eTF0ZLferjYVih7lE8IYUF1zJMXizJp34hxtn2z2WOISDGV42hgTqLDwxd25EujxeMs8nUc8V
xuxnn3SfYbuMIWnPmrN2bk8QWYZldRW6ZXgqpzVok1WPDhIrA1wNuzhVq+KEf1F22yj39PJBktA6
bd4zdVPi88QczVqMvun+FT4TP4mEm0EzOJznKgf+k/ZeyCdE1oWHjg9LwbCoWA1o6K8KP3WpUi04
1V6zzLA3tqc42BgXadK+pVkGjtJOGOV/x9/0zpDfn6VNdxlxpFhTjqSE0OagHzWAdwuwAjEEYQgT
MXfv7WLOMg3JZ5z0b5DD+92iO9MFQzciAu6M3W5JmrQT7TrwRKo/bCWmOUuT+PG7HXwbh5ZpCNUy
3Y12UbEjQyWS52zzCCmxzr41/D9zh5pU2TQ39kqmaeite2dUgts99owXSDUoK3aOvbW0P1A+I6vG
e+zTV5uaK5TnHoY5MIOFJyyFWUK/nLUfw84mhKYCh9S/e8K7Dl/i9lgIx+wT3ZTKSwHbCRbEPD/G
W/hMNI8uz1mBD8Mu3sql6WfVRLiVS1ZZfzjwxI9Nmo1w6x0acA5D9WIznO7ziGr/q3TZVEYZiRMf
eLa2wUpdZdNhgsrOAdViE8DAVK71GpcqrLvIO2va74ctyj4C+ybkygUI6+0eenC2fuHyRWH0oc5l
0LGjdfyKzJ0E+MEzMrs8PqbloT91mLUnguoHzZEXgY+clwK96Ka6RruH/0JisWn33Vd9Lbf4+IBG
XfIZUghshW7xkQietZF3zB/36toA4OgXFWlkmIOh3y8rDy4dFNacY0p57Gbdl/ApTTPGOsGyhUz3
GXxhUNFVlysivEZzMmE9WNVs0MxAQirWy4DtOZmC+OyWDRj4fJJvRIxU03JTvj+8ypcWjx15pDMN
ixmp4HOCSlD+bK0ZYoWDvqbupCYO19yAcBMR/l/6OX+14SOQlem/No9ptU8q+87rlh6fS3MFRnDM
F38t82U/x+WwqLG1fIIsXVtLaSaQYuvceedDmNAhGRAZ6WZbprB3jpAzpJLAxGZ0ww2v3aL0JSQn
fcs/SHh5J4ndbaftZ2jungDHF0Smu6T+0OW1/Mfa2sDW4t2dXqCEjVYNjnefcfymrnFa9hN2YRTI
+QUXQcZ1Rp8UzbPKxjfnoAZpH/iDcI4WOCkremGe9mD4apxp8T46QFrVzmp8Vh/rM7vGk/xsJHZx
Sc/NNJ7o2ErBXRn5SDiub6+5tH5iwOESZepGpg7UVUgAXJd4X0m1oj3MNBxpDb3YUchNEjBOfrzk
tJ0fLBzSQsc96BFOZtPFwh0evA1u66VcUcEJ4ZQ5iiWFaT9F/uq0LsmbyHriwkYkjlFxuAjxEugD
r4sr+tk0PNQJLJeaYxUOIG5C9cEjf1FmkDCzlC5PGpzrcB1c33Bt9Ng7cevAeUDayq9zIpn3TeBZ
hr05ITlsTzNZCvHGeuInnEom+rg5rA38hFmAK+78POCKXoBvdEQWCjwi9BSayuNejuVRxlpxTMiy
cZNF4cM9Dj0VZa1tHsnGOby4PsqvwLdGXBvHdqecVfIqXAxLrkL62HeUB1yGouAZF9nXDsNW94I1
R5L0OwB2pMoPP9yYYMIJIB8ihF4bHc5dBPA8UWtMwT7AuEw6VkOG88WtddEhxHcpbZ4sQiNpjqcs
ig9wTQWAL/QKlwyB8XX6wE3rEa0/3Er3YaF6RwfBYGEDO9fthw8l8q6kXKRfDWp74gpSW8qnJSLs
JFndH6vQC4mrsoGwErzJ8Hlee9CECTNekutkf9GdD3BIJfGsdbjKHuuKPmwj2MSYarO8tfEaK1tY
v7IH8XPVTumtoiUVvniFhmR0LC2BY8zAlbReRTqGSnjf151farg1ihMfwT0Mlh/umTKBgSCBqWCU
Y0LRU9f1IjrIi84H2qeS7jl/espb/JFpNwEceWMXtLrbZbMHgK65KgNTVvDwMpzkBSGhKzS/kuY8
yLwdQYLlMvvoC0f8iQZyrtlnoMdbR+ZFmNiG927b3MwrNdWRfLfHR0+0om0ctNv/4+68lty2tmj7
RTiFHO4jCQLMqZudXlAdkXPG198B2b6WZJdcrvvmI7mPpG4SIMLG3mvNOSaPOt2ws424xYjQPbVf
qocHetGLh6S819FwtSxl885gJbCKICTkOzFABrVkx7yLviWvx5WHZXtpzum1fOXjEhq5jAhc8LoL
MwRPYJQdiVfuPgMEmRWd1xE9QLdII5xD/FeGFbmA7wIytqtG+0UOwZ4HrJmQBs56tHgWt0flWk4e
wgCbb/FaaZsEXLXH4tbF1lQF1MzsadHtu8iRaDgg05d3HaeohluIXQwiyH7SD3D7aXiTBw9dFaAv
ls2X8nmqF8hWks/ggRkyyr+8Q3kfUT/f+HTh71Ng0OqnbEj7PrA5I1BFoIM3X4i6xAozw3p4sLYM
/WulZxjiSOxlZH1Q+Ok4jTOqxjAXavfMgKJd1Y8GMox0ZZWPldsA3MZYnC99su3L2JYo2HPpq8Hn
8IbJQqe5xpML0L+6NphgBQveifSkHnKePr62oY7whoNn4cg7YzeHUw3IfkpstO7KQbfTZfNorWbN
3pMO5f+kLrDocqbvdH3Nqjc4Jq+5bA8PxtZymWvFsBmewj2SC3DYIiko3absSPcDAUxfSCYHFpAd
hsR+QVNFkW7NSE/nKBAp4XLRLP3Eqe0QPAkQOtJEZiuoIxysi3mn5vcML8jqexTlpS0D5/CvmXQB
vXOfvBkgwtVD8da8DQgagB2LV+WtOAXw6ZWdVa68YAtbR3njCU4HEPHCTjpCXGeid1XtqwHJj4bj
Lp6noOGlBK2FrQN1ygVLjo95jmlZfSjuMvIqbeUxYa9uypv3jDpzHajuWf0IDzwQxP5itGfYCam/
5q/Jm3T19+o8N3XZXQN3zhYeH8zzqIRFbwksDB3JwAa7rMNF8jC+40cQKFUXl2jaZNmHNxyJC+FU
E7cl07jLH8WKEb/sYDYQMQURpDTVQzlYDGPSEbztMpiFP8OlYFVtripZdEOaXJaGT8EqbBOeTSwl
PMbIYUa1Ws1FbOVF6PKN339FeIQ3xYN38mEFvbMeHnGZL6rX7iE7Tg/h8zTbSmkYAhHd4vusOzd+
DnY1TKJhpaIuq225uS9hG7II5WOk0Ybzx+0xBc5I0Zx6hJW5uNmzbpvSHK/hKQAAhTIh6S8IRXEN
+ReAMC/1hc/YXrtTgb+2WSprLT0Y0hIHLiF3KT2u5yrFsX4gJ0Uo3qYj0pwG0qDh9OIn2TB8k42i
l+65F1DufxBopgRO9JgKbou0FXpkj/Sol48lo3gGJFQ+WtVxIgn929eA7h/ehUXrsI28vSAE4iVM
kUEkdWSSJyT2YUoA3YIuFn5G+BWMX3Kqb7Thi3Gm/cyZS/YEZCtcHj7dtpWK4wPWI7hK9V45SC8J
OUAIkIcrxIOjEW3GhHCFbYc544KdOZ5v1Xlpzk/gYP72FRPCPB/he8Oj/5K7iImju/zAj/CSS3D3
7Rv5Z/7JHy/5jVTxS3DiH+dX8ZodX3DpBxhg5hksmSKBw0Z4w5eNf2AM6w4KBiQc7aEr3tMp+PR2
xfCGjG/86M9hv+UYoAmUT6zBOIRVfR58ixEVnTe4wqo/aOUuk3oH1hspqqVjYQelPbpl4AICBqxA
K+wGY/u0E/zTQC8kztHeSil2LILrY1ZKp/RUn7B26s09HMWWJL+G4ftqbFqiPq/FK57V4QGDQ3WV
VlxfRM7aCZK3/tTf1TDu0QRkxiJ6y7khMCh0K4E0v/YL5TVMHPOjf1Y/EItVZI1M2JKCbGCudm8g
5sveoTP62a1vu31igYbZdYfmFiHKW7Doe+2+5HfhBSP204DMaOtiNV7M7lN6kFBuQwRL5MMn1VVJ
XLTJ5fN4J1P/xa+awfuCDksQab/4mD4SapSZTTk3bh3+PBpO1yJNd6wQ/aRdiLvR2qnyJtW2JDEg
RBdh/Yq3FD/A0qekFSHdUA5ReKTA7MH2UF3mm8KGl4bYretTEK1CmADxIZxzAp+1dj2d+xzqyLpu
SCVygc6b+JmqXQ0ARF7X0i1tjg1TcWOxY2LP7MNb+9mmx/mC9bphIs8UZWgQNxPOsORnvWrJH1SG
mTf+CGudla620eoTCHZvSROYv/PeF95Kv6LCMI9KY19IoADrgvn4Wj/igU8923iGDUWoXUATH11E
DqvAgVTCV/OauPxAcsjwXXAKUfonS37AQkI9KmsW6MYGt7jUrZhBYcu3ExePPdMf3EeghGepBYb7
Wj2ZzTEn3YaVxhlvvcreMfUqFwbEVwbnZ44OVx5CfLzYaBG6lQwWgFG8rdf8OJj5+WfxTBATyiNV
37bruHOwMfHPvGfiRoeLtxLu6/VE7e93qOF/U1A9F5YkxSIWjkoRXaNfN591+cfW1dzB/fn1fxbC
CB+kF6KZkoiqepZG/1kIw++kYj1WKYdRB6O69kchzPifpWgS7wub/HeR2B/NZ74l4hK2dECemmRo
/yoTT2JPf2xe/bbvvBHdc3YUF9aPQiuGujhqBN1yd+bFctqrZj9gcl0ij8A7Dx1vC7iM2IC0ugL6
5t+mikCI4WrxeEQG8gLtfnRJd+A73ut0xzSWJgXf1PyHcWJCjzxRW3gTd9VBLqj6UpqYJT4r+fDA
N0xrCW68gkgGzhY+ASj7dwIB0Cjf4GH7X5n0+zvC/ybF7Ml7ZcnFMrCDV+59AvUeIRAtAouGCZgV
vMPBPnkq3vH7QOZnb2rkY89wtMm/a7fWs3GXdjYsMvAbghRv6c94+vKUMjPzlzREQoNojW8ZcTTv
/GPiD8shdTTLFZhNo+QkcYd4ElV/kozUboZdg50ZDy2PkeTYfk5vp819vWwwK8OAozOAkvxG64hi
B9Uu3j5AgAy48rk/slB4MF8JsMOHB7WtVQ74VREtF6Qvj/Z0P7De5/nwnK+hRFDQZ7ngz/VDYirw
tOiruJ/ZfbO+dxoPKIGZv8fWh1idAlIrEB+/dvizC9XgDd20vfAKfhwdcRfcT9EBwkq7JpJueBqu
SfTEX+ASow0IxFdRIQhhZ73i39RWPB2znYifV/jkTYn6+ujbedPZegMzm9fIFEmtVwMKIf2P/CU0
oEYhtcNtuOANsrVVEB0rokJT3ByMMpySjy56qgUX9rPpyPvYeAizW2GdYx8ok424u7QxZgvWrGBD
AuQRy8xg+GZd0SDh7CaVR+cR3C/weC2jwNERtc67cTdTTh+kCv7FKkRiZtgKHRG0bfe5Ux2o6dxD
gqLhh7p+Chj+sNJwxPceORZwre+U8WI60EsWq3BvkOHmdafaDRzk+8MZJnVIWTJVQdZdgmO71748
70bOHQkv6+qbIEu7j5hSc/22w9s4vOneU/w1bqGcLchv2LH26l2RSl7PVY1BycnIAad74xAJzt6j
jkc8ELiGDRIXqvK0nLaFtmiocigHrKxbDbfABq71gobGCueyPX52xLLcNbs0WsnJq3FrCWGfQgq4
ZHMf9rNJawISQp5axtMf77AozpAyo1vREL5JzzNThFUDy02oc4a2F/bGpgQtMn3gPGA16HS2vDxQ
3B42k93ZxO4RcBnajSspkDAW+Mheb5d+OTia/bWVtjjYFvl7hKOK0+9T5N0bbn5m2vDS3Xi47Dny
WvBipmepwuu/wmy8wOVlF7CRIJ5zaI0bybq0yBfVtrnM1dEhpIwLy+iohxe+EkEJ3cqFT6avkqW4
OBrpmifzLO/SXvJ3ZuL76ZIEJ2uUVoSZr5RldY3fhxeCtOx2jdna9d9q8zFvKieW1xRZsJYhHq3O
/pqyJQVfY1OBM0zfafCZDhcJcj/Cb514RVl9/CwP3eI6+8k4YIZr3PiIpsx8EYz+BkDCfqSjmpaz
0t7HiW14sHjcvU7sPYlAyk1cQ3FPz1RTLnz8/ku+UH5IObnkb8SPHbL8A63Eo7QlTnqbN3a4kZbJ
Wl6oO3ENgO0J9bls1/fee/elXPS9/EFD9OKfWf6uzqAbbNa1TJtAP6pU03CBOKfMiRzE78PSe2fa
v7e+smO+r1bNVqPqxdGmL81SP3qYALvgfaxXUAWjaVWwVazWD8pKmq2S8lre+Y5gU7WjrnFUL+0I
0XN8zZ4p3OrlUgkX1jv1LuqUg7VIv9SXGjQ85RzsEAKD8njpt4MzOOlrtqnuaQsEz+mRPHR77dup
055jIiHm6Do9PhXMX2eY3gYmkBW7XonTfhGeyAE8G4z+JDsI6Z7TFn5hGNyaB/8Yw02lH0rqFJFB
Tw/KxkOIj+ZzWgyv4z7f8HmDZaUhAN2xDJgnX29mY0tHmO/0VbRrfDBRub7EF7Nwcqbp5BVt6Ymw
QIlf2htrZGUXX5Aw2OUhOJlnbyPANjBW+kbmF+PfdFHvCJGMKAss8qeOmMXoSWTkusuO5X1zrO/K
O4OS2ln7YHwskEneAzp1skt/qikiK9vp4huUGnHMX9L7dhNx4/tPxcE/0Z+4H6/0hJdc6u64TrbW
JyTSlehYh8kVcMcMQDRNgK3dQ7/B3XOILtbZvGbEATDg6yvq8ba8m264DxxkYSAaShbP8of+0T3i
rOWJpDA/pujLpXGB38rniw/ymaXbgQKFK221reAGOzIpOztIVpLsAM3jGmCaiZTAHMG0rpi/K3wu
EXNh8BILNkhXIhru/Lv6zSAW9lE+dO/aKdgQavQmHxnjvHCtbOodZalb8jLc8lOwNa9MN9GmYA/N
lpSkUJbisuUxTsrIbKKqVtZ6pkb0y3LFzN2mh7KCnPEOFYn22lMFrGee13sroBqMcRdTsBFezMeW
j7FSz/EnlQ3aXWgSlsPCs7lFMY9QZl6SUYnLg3hfG44/aH7uCnidPEJFTDaqPYNkjdVsGBGWKbrm
fAni1i6X0hoV3i47hauQt4Qxt/isIjASbs59RD2dfXbDjey0m9D45DwD33uaXppL1TjdlSZ2PABl
uIXD0Uud+ly987RgZtRtANtRcqGHJ9Nj1P/T4rGZB4/M36C/K6PM+uUMHEQhXeMfxWN/ef0fM3Dt
fyK6NF2iHY1SzPwRxqOSOC2KmqEQPQ135//NwFGIIQuV0XiiDzNZEvwpHpOt/5GcPTstiOf5phr9
N63oeXr9I4oHTZtpzMsAFKXfGuU/+C3KWrAmX+3X4swkfPJJyP3u0PwN9oAd/esGWDKwnODdFekn
cVpRGKXmx1q/zn0dddhLU0uXCpjLr7fy7W3+8jm+BXVDIZjTlH5cRhiUrFW5lPv1LHhTC26hql4U
NLUJzdGau07CPebfycLkCK2xivXtr7f/ky8UCR6H8bvNcya/P4xxVA05+oF+bWFTSN46YaslhHr1
1T8cTXQGf3c450Dyb5/T/AnVHwhq0Q+KSKtDlZDsvGQmHI2R8p6bqnceRSwvfhhJ9aCCbfGsLHgq
hehzfv1p/2knZnHDd+IFI+pFK/DYCVHjKcEUa0Kb8+tN/FXT+MMBNX+6bJpMy2Ih5YDGkAIHklX6
BAeheCeqZ3/Q/+mozlfHT1ePzE3NGny+S39zA333gZTaEK3a0Pu1oY77ujHdonO5qReZheIqZtHY
D9aqDanxw8TtZLqWLBCE0i5ini9V7EYlcM1McHPV/fVhUM2/ORDfj0zaT8daFIqi87qxp6P0NsW3
2Aps3fJeh366mhGQm1pvhKVX+ApRVGKxLUyCfZA+y0u18c1V1yssMyIVoKaUbLUy+6qj+cYo0hnS
ySxBqjeVttNLbhrwDh6LGENgVaDU8sIMMoqnGQ+2AFOIMO31WlyYAM7VYRdq2l7R3dy70wuk4QSW
9+Vy8OGDi9RRK6LqJeAO2etUVSxz3R5bp14n93oEOonWYoZqIcnkTQ7CfbT2XgrIPGgPhg5ZS+hs
qgiLnDt2CEAT6sO1oz6s0gZOdF5emnZrjeI2DrUPZdQiHMxK59W0rwFuIPCPV72g90sj8a9NTEWu
So4NNEwvon8yJSzXcm2rDoRUNCqGftoHAYIGa5IehgpblPmBUnWRDI9FUy9LoyOvF6T4KO38SCIF
miQjRTl3NPkbsmE9QAkKkAzkh5SHkyMNAzuddOgQ+XiB2/ocWRiV2oaOmfIcdwR/Vd29H6anZOKw
e8FIq4LmRgqY1IQ1aCYpgGnLchJLOYhBS9pm3u8UQV4Gs1i9aALNHf1pL8Xxtm4liRUCNJQmohSb
WXRfUt3391EGQzUdLYJAE6BomtRpdmOBPPeN/pqF8W0cgnegQak9dDBoxk6i6aQXz5oVM+MqS0IZ
agrOepypbp9WjgWmcMhUfT0BHVoOiEv7fnAjJUqccYTjn5GhHUZWeKhMHyVOlV5ivQJ4bFFJJobc
0lnSRLoz5Bjoepp+9NUOYq3Cc6AlFlqUNUuyKUti0VNuKrPh6oy9+NVItX0wYV6Nu10KtKXOjyOE
yLLW1zXlCS6o14mGqen721Ez7MkA4aQ1T0mA/JmiSJRS2hioe+uBeJEROtK41mVKOjkrXgS3h1BP
vateYt0yREKbh1omT04TH9qI4mVuLdoSV7DZ3VLKNVEUHkamoWPvf5Ve17i6GeByVcX8Nloj5qvE
FNcybQrkSJRAlUAsN5PIVTVV6qVuo8lpcvPdklm1ZvVDF060nKhgxJ6xbgbm5hbt/Lq8KLpTdNMC
YFUjfxaKU9b3ofJR9PVKED4snmCUluNlFtPzKLH7DMcmfOnGlylxK/PNFG9iDcJIo70wapReQc3E
g7ABd0FBRIoQlRURUg1Tf4Rpa+bE2iUs2KneysLLECYEnWHtkFnnd24KubaRSJOi2pPW3dIE5ORP
kPCmkNT7bNdM0IMpCxTUTRJYYnRCSNlSpOAawMTMejr7k3/zCjzxFtWlcTf6LBioY8vnCGBAK297
xANxma3k4OYbV+Y6q7C6tGm+anug/1qHjEuDln6nYJIGm51+0VwzR1TBeQIh99zR/Byq6gnSr9rj
UB61rZUXdke1JpkR8VQLnw1gysA9BJ3GL22QXkUjNcEVSrtVXimu1JBBEJ4Q+y1FVmlJCbyoGHZx
ezHl8hh1KL1oGoeCO81UIjOzC2snpHdRBVnk4kfXSr0p3YcWzwnNEdeZan11BkoyQqUzK6W8h4i6
hiyKNyQAmVsGmJv710bQ7FzS75LscaKrbMTBJpN8u/AMQNbFWoAuPKu7M09xIh+/Vm9ueuNNJikg
kKgSVCLRKZKTIg8qvHiVeKT7WvIq4srx8tydAt938jBKF22ivtaTtO2bj7Z8mKarGDTE4W7HKj8I
VgAe1SCbIB53VW8sZTheJYdR8vdygO+bHl4ymSiKt5FIQUQ3CXWG+5uOjyM1tH6iVtlG29rHBpgp
tpJb96IfQrt/00a8LN6qittlKaS7zkNj5s1B9TncWS8TVLB5GEL9kVqKd0ot/9wZslsn4B7lvsHL
SZaPNq+/6G+ONcCePvdv8lQfvAxnLD4lao7UQREjO0o0lRDmtY8hUhcg00MFmU7tgSPMgcIOrfQS
WCZXbdAA1hVBhccVyDhZSNYCQ8bSnAhkDguawYGMwiaN9Wa+yp9qU4F5YVn7JkeGkhoSoAjjM+sp
y0kUO7mQoEZK8N7o+jpJoW8C/Esr2aMvDFxB3XkeTLkOx15rpavSs4ZdWan3mc82fj0v+JtZNcsU
C0CKIhmgOucZ2ncTlkJPVH3gPkR+ccdJjgmub4rrr7fxN7O8H7Yx78N32/DCVpm6lG1MEbIFk8we
ufzNkv8+/B//M/+bxcE/bWKeVn+3CaVIwtGP2EQS7cMRpUeu/sM88m8m5j98iHl69d0WfLX0BCtk
qmqRkuz3bzgUavEc0+3/9cH6pxPy0/pDHeMMKh/TNFr1SUc8Au4ULxT+P0/7T8sML1W8qGnZSph9
FrmHUCcF3dD8w1b+djb858Wl/rTG0BgFaknnrAi6eY2ZSnY0LKYWvH+NHCT4iqvuH7b4D9fB3AD7
/izFRitMockWxYn6Jh2eQCv/YRP/cIJU+cdNmEbME6ydL4TJsGv5RSAtJEVG+uvL4O8+COwizWTK
Z+FG+2krQtAJWuKn/bouQ1tMkFIV4m9X2n+zsYlWnlBjkZBjjgUlhu+O5t+Roubj9V1ZhRf+5fV/
lFWw0NG4pKKAXRdWxfeNzRkiRe1E06jJsPXvG5vY9ain6KLMHv3+qj8am5CikPgrljWzLGar7r8p
q0ii+NPC7ed9t+YL8ruRR1HSumQSWLtwXHCg97avOQwOSIZKhKk0N0kCASSBvvBFOskvPIjVA2VH
+Dyf4yUdl2JHDsRd0+0yxJUleSl3gn8D6tTjWa0GzGwu4nPDkV8qZzj50Gfy9zB1M2sxRncTASR3
kuGmwVKSAO477TbxVw+p6MKTJ7OFKJt7nvQ7+QAW/oPCJ2nlS95uuhNoPWlvwKQqpt5fA0J6GH6j
3fO76zaJcsx37ZK4TiDf0klEOxHto415GLco5QWqp7P5aqF9RuiNX8eEoJOVL7tjasupis/n7pBC
Z64umU5vx3fb3IMHs68I1yPKJjjzcGdWpG87OwKJ9/Hir3sC5Og+blFqi8ykKNN+vKB4XeFFXIdr
f0d8I/+hV70O9+ZDc542U7UVE7cUtz7qGwhMdDYDuA06WNdgqfILxsYCUcNSNh4D8FTo5E5zCO0g
bs+zABmJsYAxC/PWsmZ9XKvIpGyPIJBuRfBsOSFBEqkcE8FTiff+vsXCOFzm4q42Gatk8bhvtlny
iSmBriMEgT0g53GjaSjSKHDLLH3XCgRhiDso6JgWeE5PzttKPICSGl/0ZTiuCTcDkgjPD1cDtV50
t4umWp0cJrp7xZnh+rRzab2US2j6JO6yPFxiDBEQ5c5RvN1EG4nO4prZMCG2zE8CrgKK98y54UQp
TCPJI7ZeZ67luPbk5ZnlTm+e4Om29MJppd7nwbnNL7zJ5NImKAkeg95b8OkwOs/9vaXojPZoZ9dx
355yx7yrnsnJWYKo3J1UyFjjscaeEiynDXS9K+QvfkFqsq8cJ1e7ypCP1HNlPhem0wHY61YT6hI6
y8AdqZPDlqRTW+1SEiFQ9WnhWgOfsWupvRD0K8KDqZ4LBdTg3gPDZFhIFvlCTm9DN3jm/9KTjegg
6UQ4kdw7fsw9k+N0zNbcYmivtNW7AUUGr/uON3juz/25foZu9vHen8FjYRIQaDwPVw3NesLPk7Kr
QcbF5mJbr0S3QLG6wm3kNNW259B34sNudITJswKPM2qhRV3gl/iAAoecYW6L0Ppc0prjP1QvrrX5
asZbNFyb4DF/p0euE58HoSl0BpeeHcLYbUmyuQtkVEaZerD8ZXOZO5QIhb4F55GixWdi5n5PGHJF
Q4FE4WRH8i/izXFp7KqNYsOl1vbqDTpdypTW4WLq3RogWoi264nWIl/mn0jBxtESJNnHsaCUoegj
3JnDydUBnWPOFuaQSEf+iiiQGTWRKKjRuAGRCFIZavkZ+b5+XsDT4vdsHzq2+WGO6mWvc0DN/nJ4
Keg1kNlLtggVj3Ktr1nX65ts1V2qrRKuLfPMN8x1yVBVu4W4VayVhtOCqGDjM4Gnl2DDXMPXWaEi
GIjGQxFGM8Ph4Ci3pXSAKtViYJ5TDKb0WAGO2wwzcs4mdg6bwOxlQZIXPbWdHRJVt9a3rMhthrFy
LSXPxXvL0vCCqm5JbjDHPH4n+IlwZGGXTc9d/RpEDHYE1qzaXRxtxRcWZwU3CsWKz+GDg5e8M8aw
BER7ApX6pq6sHXevXPMNjjN/nDbD3ZAfCnR2T0L6IIt73nUonXETpbvSScUHPraIXQeGy3tGtOWL
fvM+wYqmp66E5CG+IFXh1chhsvdoQ9mNzzTYuBAXp+5EI3XdIGthwbnvztETJ9gA+pFW+6Lb6Xg0
5PTIqa653t+5bd64ErxPSny0xvAJ4bQArEw3iOObW7uci/QDNgulGOnQuLIAL3PP4gJtw+J5tXJz
6Q6ByEP8oCE61DYzRScEtGs3NF137AdPMCIoN4jtE9JI/G1ITza54WNhmWYQfgLhEykEowIFs4Vt
P9n8b3ex12t7+bW0l+vtcrl8NTZh50jn8ag3DqnaO+m+v5pQP+3B2BvnB5Q+n/otX6Uw/56QEtp6
9Eg3q0IssESQ6S9JlE81J9l4h2gjrNvtt0/qPSTvoP6u0r10Txp5tQJ5yLg4oxO99IyKhzoKeDPp
0J4qqo7AibdYtj0amotS2kK0V98xUh1Qvi/UN20L0ZeDSe40qRuUrvT5d0JVK3E4/KiA3uetfMMD
UnRIKZ7ZWPBouQr2DJnmFrrLPv27/gKmaDx4nzKg3+OkgHiB1dgApGCsWfPUN62Viutb3xR7+UAX
Otiz0zzGudZ4nZq46jH4bGouALtcPXAfcAl+cM0Qfr4Xc1KRFh3+idIVsSiV+uuIAASF/cKr7FlA
UnfHgV68v5ku+XtGA36k2qXCDezF1pVzgYQwogpPCk0ERgFYfkn5xjODxrbn+BlxWASyvUYohEhS
rx3p2lT7YZMMJ8YHU12M74pArGZGI9gKSQRGhYPvHHcHv7fiE1p9ZPx4KTBsC/B2cPN0C9WJz16+
8OdAek4lGtX6TJDNS/ykfSqfRJ62qDVQ4dK6ZynCvfcUID01J8UteZ4iYVKBY4T9S/3WLyDkqoxD
NMl/W7X+F2fgs8cWbgU9xjnJV5PmFuMvUkYguTFN/W4G/nev/2MGLv9Po3OIRtDASsukmcn9n9JC
Ay0fkBoafrPs8M/GJkZa6q+WMf9itv0N0/HHDBzkDYQN05L4d5EV1L+TFko/Idx+23UFVixJ2toc
hvLjBLxNh9FvLUmAdA1UQDUkcQJkYQmrNtbdaMpbR/TLeKGK/tqo8JjoSOwVsdsOgveS4b1fZTxW
hdpc5gJF2lF9lLLW1cx7IbxWhbQPvJsyYBXC2TpF5YVCEdXmWB0ctUZuaGkBmZZeT8W004vR7SfV
exjHyQkIu1fn+SRDTwPoTaljHD7V4yxUyzTxaokJ/l3YeO5YMe8SCAAzdR/qvZ+RCUZVOirpmRC8
pU59NcutPSB0WoFTSnsPSA4Qs6eAKrJY3fsjqAyTZgeZjl10ZyG7ndLeNYkXjAqYYsotZohF3OfH
b031oOK0ybwUvWRgDx7pFhR866QA2fnohyW00zm/KHM6pOL1a8RIrpFSlxh4RuoHaUKBWdYfIh65
GIlR2Yb0G5jKsxxplHSpF5vO+5r/JZKfRrJLZXWC9FGAZmYjqbeI68eiCHBSBrA+ELlTD/p2If83
71la8YCnuWXpmZOTo/zynpWBzPx0z/719X/cs/P6V5XRE9DlVKxvmt8/7lntf5alYX0n3ecnFhVi
BHUmKJs6y2NVVNnc77cs36HtPZMq2QnQMqzf/wXJho4rt+SPfdgfPrnxU+WpN8Q4GinjrlvZxZK2
6lUMfQjrouzZx7o1xcpXK0FZxK7IPTeCRpHumuoI9b8SemfQbk0Usm7B+mrtjN4Jhfw6yBinU8fw
BsRh92mKy7GkYSoWFM/kJUa6jW6+V/ljXzz7EIfziMJtyOQqeFAsooDTQ6ANW7H5rAA+m9p7LuJz
GXToDU4R7qWytivRejGz4lg0rB0JLZ89YcCMkbsG2p0WrWMFlep41i1jpQLtUANpQQsQ6fE5T9NV
gdYeZ008sbozv3oehHVIa25AT1kQ6cv94yOBbcplpSP3lFFC1Za1qUay0XUKc43FKqRwMgQ8pcby
oyKWc9DQYmIiTNFoSeIxFurnyRLeS31W37KOq7dVKNjAB4j+w4kIzIT2Tb1Vcn0liXvDZ9UBASSF
BBJkvkJxHEk/jJARVkirGzcZdoiOF1UnxAeiCJySkU5lDmdEhTfit/0qn3BXwyHJ8X8poJJDU7nz
h/pW8vF12CUynbKCrcqVuEwYcD0YJ3VXHEnCuwewtUqT9wwSyoSnMsamqOXDUwYtJZAVPCPwU8KY
qYQi0nGPVqqeH+RAQmk8A1cgrwwzgiWAxSLNUJYJOgucmE0ErcXoyF9mEVlL5ClHnAa5Vp0RtosK
46WC9dLAfIm0dTnVazmC2l9uhGHb0NwuulNTcnb196nY6xa+CdgyqnEV5lRk9VZE943Pqry8y1UM
1jRIVHM7r+/r6aGz7pvk0Qy2Wckl1K1rhVFYuuTJecLcp5KDKmNLMr2NRKGlwomp5P46L1l30OTs
5NXg98e8aTZ0LcgRfpZJhTIVcevV0zkIu1VRU2OOM1M/KjBdlhmios8wjx6LNHlICXqxBvGYm959
ZLb0xniECIkA8YyCgSSQriVoL14npTwiyBa0Qtwfoly5U6YVThOHiMeyeG3F7UYWy561e10D30dB
ATogr9OzWZpoQTN/lzMxI/xu818esuc4NSLXcEvoqHN+Pc2SVZmR7YdpFvCyn17/55CtgCRkyGYi
J5HdxjTmzyFb1RWRHhATsd/nUr87OBiYDZkRYB7JZaqoM1/kzzEb7skc5mbJTMJM7V+N2ezBX8bs
H3bd+qnkrUxCKJUircm4RVA55bmTVs26bttkpU98MRRIDUZVzzUtz41MEXlFa7E86CQiv5jg11zT
uUZHkVJGl6bEjmE+CAriZUW1ZQwyHVEfVr7uPwrJV2iY+Kj0XZHUZCfGDxHTp1KHKRYyBOtlfxYM
b11k1VpJEJxOzS01Xr0ihRUCwzRSVqMiuXVXYZbSV341LS3Zw3aOuEUx3iXanFM603gbDEsK+Pt5
MBRHUp8N+RnNE/7ovHjxK2oeWvmWm2hdRItViFYpMn8iOlzNG53SIa5hSa7CZRcwqSoHAXarQB62
1KgsgxssColWYQtW6qeuUfYpjXQ08khjoV2k5N8pUle7FsXCSq7dyJOvWgJXXkOP3wN7GEvW1Gb0
kegTtCiED30UH4QSBmhUw7WiUXMwtdxcVgWTq2kc74Wk2NBYvySoLfpYfaj7BDhU31FgKYLgccxj
i5gsWFpmO54BaB39pJrEFSWLSoj+u2snKvgIQTVLlyQDEqc+x1j8Yu2kfINVf3dT/93r/7ipZzag
yioHoeLPN7WE8hMWEmCkGYrE4uX/iUIJs1Dn1sT8fROeKHfaH0snFVcWElKTyAzVkuia/Jt5mPSt
3/bdPGzecxCTAJf4PziTs9/s+95FIApmKXvYlzJPT5c9VgnBQy89pDyEtNny3XQbdUz3SpOsCi9b
mVSetajbKsKDJFjbuIzeIosL2iKbDotmi84Y+oeidkCnQQbg063JbWRhQumzuZY5QTvUhUwJg5a5
nSS3JXyn28ZUFlR8WHTskEdAkQ8yz+3V/qlHH66X9CtS3CRTv5cxjGaiQNeh2Glz7V4j5sGX4I+9
CmC/GgUnaTPIRBIF026Ca7iQPezYcpMuy0zHsNSOTtJ5uBWjwpkiIDxJ9TFKapbCHphrXDk+C8s1
hGvQhLciyxyd+1EMIAH0yq4CstGD9KzSuxA+Sf48Ni0LSSQchEl7Cc98r7ML/YgLzQ6H8f9ydybd
bSNZGv0rfXqPOpiHRW9AgiCpWbIl2Rsc25IxzzN+fV84OyspGE2ezGVVZW5KJQWGQMSL9953P0eh
aRBbO1F7zwkNW+9nYF4p9Z0qXWcjJyG13Ai6SEslnkF699hGwyFutK2o3moDNozKnGq6U4VrP/mC
h3kRfofrty2CR7WssJQySFmht1RRKQ+ScVUYiOc0upOEDgVzpLyFnPz8joQiTwnwQJQ/4K3Vd6E7
sVIluNNW9LEJ/UEuWmzejqLxWct126jin9NkHac+oOPCux2VAm85pdmffDGX2wH+mHZ0YZNLkPV5
Cn6cdlUfwNVIpZqIDKPMz6bX2ucH+L0mxx89GWCxV415ONYpOEy31iNXpm1ftI5D5e+smNgWMub5
0eZz2Olx5v/ux9L4wESRr3KRgZBoCW6TYqjdXOz2rdg9yV4PCcK0o3afK72tJul+mAO9XabLzwrh
sp9KF255Xi9+vwg0QRolSmU+xH18qJmfa74scBEm4pgIxJ4asFnVtW1Y3lMFiGeEzhiSOxc5WE37
IKJBDMRD+Fw0upsNtDHAhy8lSgLkzy88oEWK5o8HROhCRZYTKRXbj9emZEaS5WJTu4Is7wcQ1I1O
g1eNuqpDxGX9rLG26kuRSkLdX3g5i8aQ34ZePBZkb14tSS37LF+nrJsQ8X2Ojbiw+5fewOJU+8dQ
lq5bCqpZOLCLaeBVga5XXlm7qd+7WUCKI4RSZDRuK4JCUPDMMzLkmuRuPCA9tHWoUn6Xov4soZF0
1vv5h742H8gtgMcj0UYabm5hOKlL59qkq0bEM/ep+OlIy2ITzJSI67s8XEVGfpVaRzlubs6Puvbl
0WKNIzGfH/+ZP5WTUeMhNus6SfgUunBvkCYyCjzAtOOoMynr/sLEujTa4h4LKxKyuEz5zkHmRAjd
wzyD6HwTR9q2BaVy/t7WphLQZ1FTDBEFt7LcLY0ukAdlwiwH0eg4mqTRjy2d40pQXZi0q+/ur5GW
TSyKp8h5QobEHS0yIFNxZfW1HRXZQeJo7BXz9wyiLX79B/dnYv5MRMLRZjljJk0L1FGA0jrzgX0t
wBo0cVoq9ZMf784PtXqDUJFZLYl9SCF/nCZTNGHwlfDiehapsINw0nS6E8Zg8tLxV4z9ACiYU7Hu
nh947R2yJ8si/PfZeWSxHAyiJntyIFQcULB88OM7MxYfxRomrqBemJwrQ3E2kxADEWHRXLm4xyHz
2nKsCPPNutqSVcOoisqo6ApWdmG6rI5EVk/kX5JzxuIz0IdJtuLSr92mhLjXUd1SQFeBD6oAzpx/
fksBzrzIkbxX5DlmlImXFw8wkFJdTnq9cj0wzVUBcy0cXSEoD2yApKHpSQc8FlrkrgvX14ED1nfn
r2DtZgFxcxSDxo2uanEBqtZ1bcyDdavS2lp5eAwGGCRib1eW9eP8UCuzFKT//OpIexqcvT/O0loS
yqjrqsptKnOTqAmWJtSHw6+GJuOSu9NNda/0yYX7m3uhlhs5o3IOQflFz+dvpAQvStsiLCsXtOgN
OTa6AXJsZqwYA0T6oetkJ5fDY0EzcIC6o0asYfmRi6JlP4SK06iC082wvnGwW/1daIMbM/V+Frm2
A110YTYsHWF/zQZOEChp4KXPGrePT6gfK1Et0oYnJFGgoBwBR0YbPceK4JkVd4OKCV502yioH5TM
1Yfyi1+MW2mqXCmQoTtmTmuZByuNj4Pc2pb8PKbU7Et9HyGFsUtTPtZGRGE6PwSQr+pO2p1/w/OW
vDgAGVgsqBLNozDalw71Zm55k0FE7aK1ehaz/DYtUdjqwa+G7kJo8T+OnX8wJMPB65jlfct+sd5r
2DzNvHJjYYSMXl6VCO3LHnIwIIU6x3dIHS6EAvIcUP92mydjLiKTNFWHtiozvhkdzFCIm3mBLSYF
WA0/mD7SdnH97AGnELGAUR5bJbnOR9MV5XpbmOVeTM3bGjZFHAfXaUhjbaZtRsCJ55/LnBr7/SIR
ZtGvBylYXy7Nem/UQsFeirpqvCJRhhaYvqESdDPopiJ66YLAKdrXTvqZ9nQ6+CAnspdWTpwkAetc
AH4kpGtCXMCL8FCyUZ6/vtXFgBInQQ0bFrXQj1M9r3quO8zo8wtQ+arPWg5VR4OBRuVOsXCx9SFP
5eKFTWQlpjQ0ja9rjpw5YCxGpZIQh3rOntyJt435xcQ9TXk5f2PG2nM/GWJxGpPiTlDakCFGQacP
vnc0GhzGiL4X2Bas6hc2q/U142S8xb4oT3JV1zkhoqW8qbjONdeCsGloNwh+1lBba2e2KRZvayyW
EjprdXGnFVdxh1lifWWOxw5tWToi2Eo/ezXNBBpqlHBr4KSed9lRDg1Yfpdkp+uPiBrznGNVtOWe
U3WZ2PcqW7kQXnvqp5TGLE0lhy8Aywqi/fn3sXac5J0zFi41c15mue2oTezrOdu5IeJAUFi2LhSv
g0enzFg+WSmJ/fbR9JtD4AkHY6ifTY0FhGj+/GXMQcNva8bJVczP5CSSJ9RtBHXwqvkqth0cscHQ
LnxS64/1rxtdLEsRPpSlR00KX5bXIhs3HYD7rnwjDYxIJfwng+kY9MynM5HU/Mf7SYJMlcKawULh
Xq7fuL1dnRI9qJg5dIfzz271q9XV+QWSzqf6thhLnyLfT3h2Oa4CiGdSDX0Uq9j5UdYniqESJlCY
VQxpvoyTVySp6eDhqIDLqqawtN+FPiSy8iamSBUXr5BrhAnHDvNJCcG2KebWwq7q/CWs7p8nV7CY
qnIidIM08lBb80WyIGNUxlWgxjtfpxMU03Mvb93zI85/8bdpaRgwpAiPaB9ZvEYdfVIYtgTwhaZD
I6KZov3ZJ3ifRfmFkX49vt+GMlnyybZiObxM6wxpp6G0sirXl7AE9zFOqSmAmcZe5znq7fdwoO1Y
BERNLYCi2lY230f1vRD9e8HPb8/f9uruw5mFjYdIS1sGhSXRfaV3hN1jmR6sTrzxplslxCmYnlId
m/ZQr7YBPk1/f1R9TmhxPKHepy8OFkMUewP4AuZxRJxAX2rcVYe8RVNF2/RAPtQgaZiL8YVhtbVQ
4HTcxcQWSmlqwhEpnAepJs5uetheIaUM3GoxcRt2tJRA1kMXE76M00aJHE/b5Zj+Qoz5ocpHvHY5
nHScXAMPTCBF47dR2ILZVUUY1zdp85rTTdY2R0rsvoR7w6GRHiL1iJecn7n1BET8rZP2RcVev5Hr
me9r9rehtes6zorHXLuwXKyG/Kf3u/iMjNKfhkRSKldGUhuxWJiKaouYStS1RI1dQu0n0/5IG4H5
tdGIwMbO1ZpvASWgrECwTd/OGCdA+rzrOqYpsHnLYZcNgn5h716q1H/F+3SdgITTWEHZxD+uOIFn
jYUscPgy0BbSrg+GktgQu9yGPnxHajfys3qsr1AhDtcjefZ2A6CHXnyR9u5vgYxiD+8ap7xpdVvT
XfFVAzL+1cP31+f/dqilXUEdLQbNtY2+YTQW3cWDU7PRgn5hMozbdgJTlH4H7aoBpfYftAcBXMAu
+YqO3QMlToP2dX0dPzXhxnscnvXruLqZbum0Kl8LZY9iW72HqTYW2+Rd4KMNjjqwwwSZ5EZtXfWF
Lq6EZn2pt6lEQm72v5//ntYWr9PHt/ieukBPx0zj9CNyUB5BuKVCcNWpu7aKLn1Dq5vD6ViLb6gK
rXHKTJFXhd7d0m+UEnhtdTTAIqftWx4D2gq3cYAx1Dh7SUTXhXF//m7XNofTK1jM6sosi1HzmSxN
Gzl6+8MP33Ifg2uDpIGW2O3lI8RazHI64iJmUQslqwJsr7Br2Y9kW+QGRwO6IErAnko1XcciSgtE
3lN9rRXhQz/Qri+zghW0LAuvlXTMmmTTQbc2825jle+thxW1xOzJ46u6HLbnnw/Vut/3spPLXYYJ
bZj7njcOHIZF7Uus+eS7IOG+6hTSkyQ4+oYA00THrnOmdV6YiuvzA9dB0kUUH+WltLQXAstXDJ5V
Pd2FJqenCtFr/9yrdADnAuqdZ4wrY4ECHwKW9qs3XbiAtRiJZoY5ROIQbBmLY4ef5UxFi5tPFN0p
MxrV2+agtvGFh7x69j0dR14sWU0ijhqJClca8TYdLVDQ467v4n1O6U42n+uArFyKALrqnUGMtxU9
1paUb8TewpMINHsh3gZdsSnpn5HjHAJ6ta/9S6HwarBBHVgmjWIpqrI86OlZ1lFD5HXEaKAV42Eo
voRIjLJXj+4DSYCCf1+PGF3E5jbqpzdogdi3gb+QvAtr/OoadXIhi/eCADj1hYZ1I2XPN+r0oQLy
mnbCUyMX9oUPYPV7PRlr8W6qSA+KuGWfH7IYC3bgyj4xBdlnPUv4cLFfr3AS8K27XkWkVSQIVVCu
kz3YN/7ThWtZi7B0ct+APSRIqcvzgRAJ/iCGpLKEWLyiDWw/GcVV7+k3mUX9lHsPRkicKniYxjZR
7dREuY18qIt0oyXmLou7g4WcXtSqrTr0V+evbvWl0CRALUeDyforYDqJ9Ouka0vsvYh6I2NnTN1b
GaK1UZSnSFcuvP/VVdsgoSex6swlu4/fS9trRd95vP+J/Go11xHxueWYupNosdbATYxZcOGouWzh
/iOsoC9KpGrG4/8VH53c3hBH7FTTPA+M77UQHTtTeOtiFa+1b1k12QGtiAV+nbr+9fxjXV2D6Jsn
34qOlyD/4732vRgBlOBeG6HDYkyHc0oDJDD/88OsvT0c1S260+mj163FMCL5AkVM+Lbpbw3zp6qN
7hsDnYcp/5PFzsCIcmb3qqK4zKFJ3VSnhcpi15LDGe629C7ZIszmOPs86T/SQbNTiUbCFDpj9ybW
n1UhhnVEwNVI+2wyt2kbYBLwfRSKf3RlJPZ0VnxJpzv546POpW4gfu8qBByuGsDHq8NHL0yP4mjQ
yzEdhxRFa9G4Q+g9ZzFJHFyQM+1bqjSHQlWefIymGjrQ5TqxBSFzzULf5WV4IWJZmw8GrmDoHVBI
SMscn6xm0IqiljgcUWUFa7xBaJT9+AezQSaPpFJCJL2/SA4YQmF66cBCY+B6N32aARsFqtrSrC48
c2l13p2MtFhehbjsza6rWTXke8FM9gkmXnlCrDvhJmTGcEiyGwG+kdyLgIZoE4M1FHo9VHtwrKDP
kQdcOFPPb3l5pEayPc9MPgVIfB9nAUVwfwi1AoPNqudQo7mJdqkRYvUdKtqcE+EJi7/inpO1RPDK
yvfnIfwKqFf+2Yr3TKILX7Q0R5K/3cjJKIvpPOhD3QZ5yXbta9+aUThYFTBaDzrJCHklei8KbH8n
N8g5Egl3QaIcZq2FL2H/GX+eelTYbCPn59XaBmacXNL8YE5uXGwt0fMsqlWCF91YBWZCbXCA9tj0
yX1WxLsgiXGWGf4QXPy/aI9Lj3vxRk3Bopez43FnzaegfTOzm7x7O39jq0NQ1qQoRtqHcPXjjQli
p8VVQcUEZNk2T5Hbqv1Gx43s/DCrr/RkmMUqrWZ5Vlg5w3T6m58gagNAJr3pabQzY+kffZp8BKIM
iYAC4+LTFKsk7E2VlcYoIGvDKBrCxzb8KXQ4JdB/alT5kwmcrqGvocyHK6GNHWvI7aDjNFyXeGd3
F+uOa0kXFGSmhnBEF6n/f3zMU073d5DxJqVyOJoActFFOSUaXdkXr3v1KRqtfSPnT1lCMhPurSLj
8V1cJyrUVsA7eX1npv3nQZY+qwgsRaTZ598PvVRrH92/r5BV5OMV6omsNhHUMbcpxGeSJptgGm99
sp1AlBxhGpxC+xrOAlrQvjnYvjYsgCegqq4wcBiRT6d3PRF+V+YHMXczRJyBcRc12BMFFBir5ClI
hEMDGhPi3pUnV+Dvir3eiHaTZYfYMK4iku8cqu2QVLihtg9ebm1Ik39OLboMsRNmyQNiSycl4mq0
TUD78FoWbi2v/CQPTypV8UC+yjFgQziQV1ii1zl0R4QEGnrHRs9czwKxR39Ah5BZT8EXxMmdXHhX
HmnKjW4CpB6q61pLduXkbYrMBPcXb8vORJWV3I91c5s1HFx9nGy0+4SEUKFC1JMe0yymKxPurCoB
zETBT2OlGPOjCrgAebRQfLFw3Eu/qBZIsFi0a0/bWNILFdOtR8JAb8BV1JhQSHdJqFzYE1Z3KYva
io4gkIL3YimdjDHo9ZTvrkVPL2ImCA5kC2HMjoHFX5hCa2OZElJGUSSUln7BPE7WSFPzyhykFlFI
dFCZOOwgbl9Yh3KkgcEPmFjhrqSjXMa5T+o6N2++FWyIPq5+Yq4hvr7Uqbi2aJ9e0GLRMcNez/Oa
C9K0n0opUCmAnpXc13lmZ1VI1V/ADvhCALIabpPOVpAnzJ3Jy6NOJA0pKryUMEc3nxKy99XwrBbF
XYZ2mbBla3Qars2NY1blhTT22lJuyvRZ000h6vIy45HQ1dvHOSOT1b2viuRIghlOm/5y/j2vD8M5
kEZImLrGYimj6V9VooqnKrFIxPJrYPXbDKjk+VHWNgyK+H+OsmS0ykJudKnCKJHi2z0MgFmrUOCf
Peq2NL2eH2z9paHlmMml0MCWPZRhpjVWUuBNbor5zRjTZFPnjpnG92XnuSFnZpXoHhcgaPeKc37s
1Rs9GXqxx5dyrI10dZQw3LCLwB7M6G8VIBFDFztZeumoME/5ZWg19xaJEt34nBgWW6M8NlCMMV93
xSC5UaYKi9FunxUgDhL9vc3K3YSf3fkbnJeY34ekzkPXPY0g2mK+yLqQ6llplsT9uJyxBqRS+nh+
iPX3p/17DH2xeVlDpyZhquPlpWNtax0Sofgua7AVSkjgza4VzE/sFQcolRfW19UlhiONKekSyY0Z
k3QaF2qxSltwRvMHSZWbLlOxkUvJHWEI5+NNKegAPqDmKPLuwg3Pf/e3h3oy7mJdjzxD0OKYdd3s
9Jsy/oRGj0Ahfcpjw64VfUM1eyON3laK7gXxJfakfRqUlxb8tZCBhjXoeXMFj861jzcfq1MRDREL
jtJrNIb81ClNmKhNc124FnthO/Ktpka+0aNLhcrVaXwy8mIa+1ngq5nJ6mBW8OEJqxLhU1eETgrR
sKpua+kSQ3h9QJri6PllYV9mGWS5Dswq4XmPnvrkx6WjaXypkrgN8ukoWP2zjy/mhXc838Rv79gi
tcGnytljeWCuLSoanRdw2BL0PZEu+an+Kpx0jpdvUfLdzzEBBsgXyU9WmTLhtAvvd/WeZ8IAemWq
UcvGDKsxUb5PjC+UN0IR7TP0GhadGb7vu7H51W/1C915azsLgac5NwGb9KgulkIgzaUV0xdIC/3X
pruNNdmWk9cLT3WtLnA6yLwen0QpkdhI2miy1CdKtVczvIQ6xSmH8FqFpzJLPtRAcIaOhbjDN6+J
ugu79Np6fzr+/NRPxs+iutZanfEjD3Fr/p1iom2VlFEkAVvA8dJCsX67dFSjQCL/ugwKMjpAxsnn
mU5BsDcSQCcYZ1i0kaYGEGwx2jWBd8gEzG743/riwvK4NoUIBWGCK6ThCEw+3mzLZ2pk+rzdNN8i
6r0e6mUJod4IlHqs5R1h2IUj89qCfDLiMm7QxCrw9HmDAy9+Cy5/Fv8C4fUdT8K8Lc+esLuHSXRp
k1t9q5KqzXrQmQ2wmLpGUKCF0A2MlbsAz+4I5Xl+NVBfrntlE+PmeX4W/+o6XqwNMx5RVU2WI8LG
+VM6mUU0LhljJZAiKURt+iSJRSfv/GgMDhGg6E3em+GVElB5AQyhOLm3V0XJ9TMdd49MbdsfUwxW
FgWB4Pij0jqKP3yOuK1tZSlPyLCHR1q8/YepfFCGDC26+VqNhrqXrac+k0HxdS7NY9FcSN+1Ir1t
Iq2mGvZ+mryPRYPzhU7pP7hKzBE/lk6GgO7n6mObeu3GL5AU2M1Y+2Clhsyp1UyLN20tZe8CvEzA
2BZWqgbGgUWhvmiR8alrkV0PEs/SSpXvitGEWzwfXiSV/GFf+E9+V0tOZVbYf0pAqcV5BdnwQiiG
dtqXKGrEXWDNp1GrdkT0eJBzREE++lmPqa9S+rdVqyJiTVIwgrGRQQLVU/2Sg8PSc2DOwpvU4jiE
0bSEiGOxYyVpwGaJwSr9Lp9m6YraUIzx6SSfix+hZCcUggTJ4tQws5Jq2zQ9KMfWpqcz4vzcmafi
cuqoskKjpSoinvxVOD2ZOhVqRJ80aelGrH/0Ohiw17SUnkDVu7CBrHwUnH/+GmlxzzXnD12OGElt
rntR3apdso2a78LICUjdn7+rtXwsg1G9sRTCETTZH78ID7QCVT6tdDsjvmYteo6xFzbhOkzlLHwO
gLpY28AIblKsu8TgxzAUTFSqIuUuUyH+xdOFlWit55YrogSrKezhynJN8GpNHkjI8srL5rqO1Hui
fCf135kedtQ8tRGmOAAXwqC4mULp2tJGh6OGo6mU4azAuu8wugv1r2BOnIy9Cpzrpba9tTo1tQyD
JnP6kOCWLJYt02xDr7NQiPR97hY0A2Ue5mM+EIQ0t6NJOvRoLQ046oogAqASr6cKvVPnXQp1VvYJ
U5378iWq5XN/5seX1+LBPfaNXLrtccx8WpDod9lixGunLk53IYLvh76B/aW/6kA/bGO06R+5MFvX
P9GTi1jMIBMFWRx4XEStY2Q63IWZtQfkc1OOP3zoa4OQPEA8tUWMgDIxZ/WqtzVKUF3+9k+m8l8X
sjxUjD0WsmQ1iYNUa6/V7VVd0i1gwQ+xAsr4MmMmyPwEzR3y2DHbzkkGwak1a9N5AFbwdbCMC5N5
JTQ7fUHLZrWRummWZVxSgR+qkQmO0IeOFUgP5299bcWgQvSrZEiVDazCh21NKltVx8KAMNvCOaIX
t9YwbCxY8DK+IYV5qXa4Nu1Oh1uc3uqy6mpToYbTghNQPVzM5NCNu09lkhzE4afRihcm+traezqg
+vH+hHGYIqXg/qoG9qTwpa2Qz067DDeD8w9y7X1RZyMLBE+DAvLiw67KRvMAkhDljk9GkDkG+bim
ulDhXdMrmSa7PEANFP6WvLidqImztAqIQlKwozoimdhXnG64E1BAaN79TLvprB+dEIHoZbHT+guC
yNXHeTL+IgpqSqWbufCkovwRVYkJGx9b9OahN+QLPQLznSw3zdM7XTzPsh1FI2w4/wUW+3ODV1ne
XHhlazfDaQ84CKVL8l6LHEYTd80QidwM6VVHgRJmDZojYSNtqeOFodbu5te2hHxOQ2C0WOlaNaI4
b3Kykzg/ahBHQvnCKWdt/p2OsAj8s9oviFxDqgk0Oci0TlsCNsqXelwujLLs3MD+RIXUwVmqUrDj
9A+hVtspuKdf39J/IvaMMFNEGQdFA6CYiFSO4+AZ3AbKO17Me9aEzXh4+5//Rgzz++//iduQ/gUi
R9ZpT6VKhPiZP/0nQ4cfWaSByAHpMh3d84/+dEEGlka/i8Wchr7DT1hi/+Rt8COZvg3c2SAV/Pqt
v8E9m4Fuiy8UEpuFeAj1JHG2xTWcnoi0qZvi3EoHF+nbt20QuOZRChzOGuJzjspv38fb2N+EMfUm
u72Z9ofkyTsAIgs319+0z6L/GWJplR2V92J2bdxcSrz+qvB9XEE+Xt9ia0vTKOwFkeubgbrRwdO3
vrkB9Z3jS+LZYmKPz91B+hRhfGyPN+2NZn714u3wCWq3vxef6VsLZziqgAvoD3S92cF49W5S8D+f
pB3lLxVYdDu7wYIHAkL9oG+U6y50jKvyIX7gpH9IGhs0SJvvZFxkfbggJJvt8IijKDZC2+rNal1y
p17yRM8VpTWaiNE3KOPOy0BrYRc65l9LvT9k3Y80uO+Vaz/qD2yaE0a3HB9uMZehrEfYdo9iNK43
U7PVH1X+69ebQIXrZYc74fDT2J5M2Ps/nt9/ZW16n4dZU//PfzNjV9776YxfPFfRqzskA0LvWt0O
W8zyqD6zm4YJovzvjaG8i3VMu0nvhsDJrCEZoKU9SzRLlwA/xGf/KoFWDEq8gQZeRXbqf89ofqmV
Tds+qOa7OfqbonqK/Z+0gvefpb3U2BMlPBUPB5uyofg+XWlXsqNRRXSUl2Q38TTUO3BkOYwjW31W
hLvJs8eJaN7xkk0y4RVvY20sphskgs2z/4lyp44xcr0RctyANnVvC1RWy6e2O+TCDyV5NwaobADT
YI5Lt8qtek9ROOStDiamOnbvJsNOCUDc0ZRhF4d6hLa36UUHcCx0pNknOrlDDRkLbr0djkZsAyQ/
IAMLv/qudCu3ThY9dd1oS/JBsHKXbJE9OZmj7kW84rCxj19jLL7hrTS76hUa3136DWGCgCQCy+OA
6JwLp1/dxgOZ+iIEXtxwD9khu95i8mZUByPZ4WsW1NsIS2nQmMM2hHNrHHygydPmaO7S2sHGqkts
E2ithVPRTq4hph0r/eqbbLnKRqjuIWzvIzff4yMrY6fbP+HhnWx67Jgj07aSbXxoIb5vtelwLVrY
ZNvjroTsicMsJmGTXYo75T3fhbuNdcjc8aXUAIgbX/Lxet9fiQB9A8uxoPl+L6B1oIqzVYxbUQs4
xbE6Ng/dbQv7ep92G/TzXJxv7skV+K4y3rW1w2SJvgGgB9WJk8hkR1c1DOzmpfS/4pRlveNnFFt7
3Nm7Z5IkUD2z55f2lXN/Zdjgb4psL+BJm9vduJmb6H9UzzKsK4retNjAXXeN0pbtgcTGpsCQuQaN
oO5Ta1f0N0V8D4yhw6X6ydw3bvIgYVTe38svevoaDZv+xbjPX8psL33pDAfIfvcF0fMeis7GYpYd
4rv6xXyk2/Iq+xSW+KtKO6iNhuGE1sGk9b98sQ5wFJ3mG+KAQ74DRjR9Tvbhll/StsI9dugP2QD/
4or2GxTqKhDxCvgxTf/ZO7EzfFO+e+0eG9krSbEj19vENrQOYT/DsIGj35Af4p9I3g2dowd4yYvN
NguLrRABR0ebpx/Lbpe844kXmiBWN7KCuQOUJGpx1wL0oOlx6FG2IRndNgL314rg7b94YM6p6Hc7
/pLsbaRsE/O+jeuhE/k7D/4WHEHwEKsHfrOIfhhhu1H8o1LNFuOihX/S/0m5/zMjCHK1YINIUs37
sjZnFs9EEApL7yKC+P33/4ogaHz5da7VaIknTXMaQVjiDAgD1zrzjGV+9GcEYf5LpKmA04VFcKHq
JxQ+OMhzjR3QBXmD+deUv0Ps+nWs/rBDf7xycxFBdF4a5p6p0LQAmLw89OMNZHfsmqBn0Z5AlJy8
0v9SCQ8hrgPCA//oMPa9XZk9Y/LGoju8iZiIR9gyip8U7NG++uZPPInFbd+7062UOyrmBw2eA5ga
shDgE3cdJ/hIjG/Cs+bghNC2NmnLoLI5xtMblP5If2TEAra1De/6vRK1G7Kk/l4QHv9jI1xcYkHJ
4RQLHQOICyn3s/NTpij7YX6u/f6f81P/F3lBZiB/VEQ2cRrh6kS4mO8w3SSwP0gF/z0/oUSS4qNI
hnIZKd8vtuRflMi505VsJF3lf4TMfyPCNeZI5mR+zldO8xiHeWqQ9LUt63GwQVB11Km2jybhQWin
ByVOlU1hHZVReh4bc9tkNWDW5rmyvIMCm83DYM3ofxpp8G6k0bTNyviQF9Om1LsbHsON6FMGMoP9
mAP0zZJd3ffXDSiJMvFsDvVWCj4tyZpDnv1s+++i5W8jLCjoEPgWjhWYfoz14Mh4YbGLym4zlbrT
jBZWkrkrw2XFWoBc/E6wyq99W/7QsuZHQmcM6llpF6fFXaHc0FXxWSdyVNv8oHtYNxbqTkoVAc0Y
pWMtD94nJS9AqqHFFOlaLrpdo5ivXvs51sxvdTDT+XtV35pxgqs9Sd5DSBrWPZkxKyEm6JOVB4+Q
hs4Q+kOYIovDrBkamEaOAmbrlUn/jnhV529GTmRGLajCIrhxelKUQiJtZA4XFXsYIDhHzXQcX/Ut
lJCDab3nmEs0ab3T4scSKVw9N4+CqoMJiDNpsAuGGlK4uRUJguR0OORzQ+IM+K0M/4vWWjtSEHtd
EF0vjh2NzKxS5XvKlR3aTPJitKk9kJDcjCrQ3azSd9QXeImK0G9UXfzJIRmdGuY1StY/CqZ+RS/r
hIh4OoiCgsNPIT8JoXHlFaVq14Iy7PoiOWQYiqj5QMUCr00jwZZZfxCD9Ni1775Fgocbgru7y3O8
XnwfWENzk2UiFizg0LVOuFGqjl282XR4Gumd/9DRgWD1qdPjvCRJo2KHfQvsuO8/T5L2lOGfbVBJ
t5tS03c4FusbTYk+ATbf4gPq+m3yUtc6fi1NmcNDzfex2YMsBpnzCI2usim/7RJluq7D9jBJ+p6r
CHa5PH4zYkKRDn9Xq4+2vvwyQKdvHxrzJpXTDR4ntSQ+VYF0zA2CiE7q7G4SMGBQ4DQoqIPa5slq
MMvpad2GiJgF3n1VAwxwtEKJ3IJqmQtMuKCmmaF7zXoAdH1G84ca1w02C8mj1abdTleq1El0nBpw
gBU3ltnbcPO/C3J+8LGFqIbx2QqLgy6RDBRe/PQuq9XvfYvdkZpiIuVxLKC7cO4fp7Mz2suDle6E
enqXp+xGjYiyWj15At8DWyrusQStfoy8TxPXkUBO7SFvvgdJieqn/9xhq9SGsB+aSrr3MtWJFZou
o6wyH0Gn2YEyIO9UPXg3orzl7re9Eh8EP4BaGc3bn4jbxRDcZ0hMgyhjUkRuYvbVpqV+LfcT0l91
OCK0cWh33SVB5QTGax0Ot2bvg10euhe6p687Tf8Z9YYBYh8hfZLzzGT5ENJUWQq0b9fVLpBlMok5
545nfRS44eTBa3t7bCNMhxEel+Z1nYoo1I2aUwZ9EvvMH4+VIfSoEQXwZGzl6ZNh5KTwZ4V+XNkV
aQjMmjmCWINle2mFh+XAux6hRRddvNNKubYFtXQDpXNqP4DXWbPIDD+TAnOa3uxFoNhy9p5h87vV
xGtfekjlfRsD2ARsTc8Vt94i+aDzRcytL1mLn03bPJvNG9VOO+1fo5mLKyhAOrOXFIlAjHpu29VA
Y7VGi69zj8O7pA/7/+jNHeECi6yElAVMGivxmeDzDzO8k/TVvEUuf/+vzd06iSHhOvwVfBr/UkTJ
nDdVVWfQeWP9CwFNwdY0qSnO3QvyfEF/be4zU5p9fW6vnUHQfyf4NJdWdyTCuGFM/nBJJ7Ahf/cx
f4V0o1UsqTP29TTdVhzW0jaF9eVvEJfYIwoAV+226hGz3+9zcbzfxKPN4m7sYg2jl89hqdhel9qI
8Hv7QcBstdl2/YvyNEl2FhNaWi9mO9m0L3qtfkjD4D5p3ODakAbaYu0AWlF6Z5V77JDjoTjKVeTG
PVbUgbnDTCcVH8LsfiRXgCtt+NLij5Vh6aHu1K+Z7xRBdfQknNrEh0B1CiEHCB1i3vFdupOGnTk4
IVj2JJUdS/wJpo0vZYPjkObRisA+mMafo+tODDY5TRtwrjdjeEAlLnBOlBvHqPDUVRxcfEbzpeHb
1r92+afJx6n5f7k7rx3HrWwNPxEN5nDLoJxVUoUbokIXc858+vPJPj3jMDDgW2OMcbtLKkXuvfYf
qfUx9DW4RP1pkcCqlUS+rgIcTOOhgjUi2XtV+Z5cOoOwUzhXpz/a16jvyOL/ZnuI4TfZEjVDo6Mq
rsJd1FyKkSCcfIpH3i0EJMeZJyACnSjlWSLEeg5vU+q2+ko0wIRWEv19CCzYkh4PJ3W2IM6udO1F
2rtlbaF2w25uqR5QKFMziJ/NUZAqw8lgQiIudyruvDlqfC0nyfGrlLQoytnrUjsMeupifnSqea+H
wyEu4os4s1XNZJQZ+o2+ctqfonZX949un5cuJyfJREgkkWY/qYu0RbVkHs033mYFsbrZu/ULrUf0
HE0lwXEOz958WMSWqnHt8ntQb7VuxdsYpVQM0s13GfjiGdWL1MhLqS5obyNq3KE4K7zMlBYa/ZIX
AeqjG/eyfBYsh3o7wXxWw9IpolvGB4zJkFkg1faxupTKeyXvRnqeSpk2psjHJMc2SXN0kcWHADl8
kr+KyiNJFXVZd2/YvbNlJ45UCz9Z3Fxr3gV9m84rOek2CjPHnJzbkjWa+Ug692XgqcO1HVyiv+xk
rZrvjw4mKXpK/K9IF3CZXCudgqjwrsZvg7nEn+Dk/rNgXP3oFll7BU1LXCKio35g9lpQvd6Rik8c
3E4kEYJSZYtePsZ3bWiBhkhL1j+Et8Y6Tsnb6D+rgckeD2FNLKyUJs5kABn1n6cMGr0xJ3suv9pk
regvvaeWT21yjWk7UPjwUoUwPzq66IhK02CV1atC47tUnulXyNVXS9zHJAuH9YdQOl3kgpCYRJMn
ZAnfh/zdkG9F+IWNIM2WBQ8jxRv/VWAMHfnk5J0/Jl7N8+a1gILKPsyph7Vl1LexdciCd+LbB/1D
Ktwp9QTLlgiJK8EGm3UJeCw5M5npyuug3nXxpNNOfjfDt1TfBMGaT5EYiplnKtQvA5xpRLpZfhDq
R9CUsQB3JQje4v0IY2zGhEH4nBHy4WbNK10DbVK/qG1QfK/1O4wV13DKXZptbLEIPbN/HqN4R/er
nSmVG0sp5Z7wv4qCjHYV3QKKw+w+cwkhWMYivv1J9XQ+8lJ6KmIRpOgWTgCIb4lyMLsVm3fSvEgh
8+G0NPn8ay78Od6gZmfec432XYivGH2KO6AblLbdJ2T4ErePYZNmr24d6Zad1NNeohkwuwb6dzrd
TNruBK8krUk2b5IM6Jlc9TRf1oR6mZuRy7bWBs8fllW0pTFyqo89eO8eacesgfYao9dL72mLr7z/
VoMfdVl7U7gJ+9MQZ55gnrVnK7Pj8YswhUV+rZz0SNObh9NmAUS8I7yj/RZfXgdXX6Af8arSRUJJ
0e8zgR1xtAHTSgt6QGa0Eclx7N1uaChDOiTzp2meZ3lR73ODK9TFjh9eMvAI5HjNRk3pehM+RcWR
GaKn5sUgwnv4pLcDK826F99jvqlhecjnfTrsDLBEPDDWMWOrSS2wjOG5y1xg4IyPhGktu0sguPSQ
SeaStlVTReE00LESXRSZxpjuPc0WarpNBTfI1lAyOXKsONjznfUfuIdauwUFmpilHNPC8vTaRG+Z
SpqFCshL5wt54CQFxf5W2BvFV4zZZyYXSV6I21x7lmXGyOSFFnr/rA9u2W6I9+qn2OEgNpaHaFrw
/gbzq/hotJTmtaY8pdhOKFqZlafZbxc5pbJBQ2Nz7AR571QktKYoz16D8NZwZMnW2K46aJiKVT0/
coBhbdLCZ6Zgvd5oKEn5jtE9w4yXTzi4YD24L5FrbeYhm83MZRCiapC19WB9ZRqtM8FdLs4oipdx
Oixm+t/gnUxOIrG2Ltl32rJ25I6QKWvvl6GnaC3ViniH4spupfci/AykhXgyGtrhRvxRbHVjvAm1
LcONSxL5nBNF/EKB9orMM3DnNyljIKVPctQFWzW/BWVgwKe5vdnM8bVmrTV3ojwhV1yp+IUHxnWQ
5MoNOYrDU7EwD5/WRGDF1LqV9V0+uq0Mr4+OOkWi9O8MxaKLl2291auVpRGygPUWKBxiKPosP6Z0
JvL+NRjRGb1Q1mX346cUvPb9verPqXpMuW311kV3RTlW8tWHTEn32rhL4lOsHn0O+p+DdJ2bg2Vt
B+VQZReICk6n/BkDqJGttUObrydC2LOlkW1R/c/TeuKT8/fNbnC7gGVjnfkrY+ars92QvW5+aAVS
yVMbkuxl7Bp/m5WP/KE2ZXmk4GJRBuu2O6rFJiW1Y2NklwRmZ9mMu0a6DaSeoHKvrlPywrA2UCZI
SqiTmU/A5nSXh+WtGndS+JUqVyJV7QwyylOTvcoZmm+hsmqFT7O8isZrq54UzZmjbUU/sLwOo5Ns
vBpWSJHYV1dvFX9FbQXZOZVTXoBORm7Y3X83N/8PiIOM5b9CHL8bnAlC+OP0WRDyoQdCbqza4jVL
1/iZW39ZiVxcYKCz+sOyWRuN8ZrkBM82m7ynPJOCyv3AIZ3+I/9tNFUvqhc0EqTyDwCmTeSfZlpv
Kd3Ed1FDKFZXXvi0KSNbPGcfylN1T62P2T/mMtcfjWdc/+spuZIso12FJziYAHFysB6K9RxcKQgR
TtHRhJcNDpktXAdW+2/rhRgqs7aTdw0yiO3Wle+zfgz69WgxBHpt45LCAvG0ExQolIB8CdlO5KeM
o7nRaqtUhprJcOcLy3FY9tGuDUWvlji9j2wteOq2cIJYGhatuVSExSwlSx8p/L4qv6pHjuPgNm3/
Rs0j0tl8hFREViqVnjmoXhMypAMKL/iR+DnTNowpjsWSquHybL3VNZQoxc+klBb3ieAezDHOY20Z
hEX6TDeWlR9mNXPaQfOS3ZRHy54cpWqWnEdoDjOEedB5ukxK5T4t4RUBkNJFOep29RZo1s7nvD78
6IE0csCzyfyR09VUW27aJ65pUg9V3LogcjR9prhhUUOSlO4QfRH5zeflUKnXV+x0tvacdttueqor
L9kbTrCmy8i/jpt0Ytai0MGltdTplxz1IVpY/UyvOM576T2/0EXNIaBUzkW26GSPWjBb7A4W25C8
SKZL71P2TKtVe+pW448AyvgpH1xD4vyLFNYeFJuOquKHxR7dwO5kcK23ACr2WOnPZF51nAoeRTfM
5JPTGfdaWcXwuFpx1Z6mZN0YLlXgOWRT8kzxbZ14OHK6+OYfeVuK+qr7LGqnpr/jx1OZ99JnRkwL
8O05HC4WgWScOID8YWNLfd0k3jS9RJ3bjY4Ck07X9RR8q14O3Ri8i3HimP1aBIqYgnc5gHv3VwH1
Ht2wnCBYnarGiapSo7Fofdo++2WjfsNIX1NHY/+k5aLJ3H2XuxdEbhyHoJQhyyjzEY9M0prm9co9
EQ55sNTEBfwU1+Dge/W+G7fh6LtR5NbSWsDYmDYJ2NIS5gHtmuzUhpPtpNgZjGceAsq/3EvRGlwn
SYtNrdHu3L0nJqL8xhklzSF5TRt2UregySJkRpVTyqbltbJtbqRJjXuJ0AKwXOatl+y5FL7ruvNC
GJI0LHeRqtg5NaiJwmuK3VZVHLQpG+rJU0s+YCfmKgmdfy2oAZdAccTDIkbmhQGp9vegBtYXgP/f
gRr/6/4/QQ35F3JrVJWMlUcR4YM1+ynJkX8Bt9A0skBUKBDtkTf/k1AzfjGx4T1MooDh0Gf/xTRk
fsTt0QwaIB7QbsY/wTRQG/5xV/nzM/+1Iud3UnOzGLo+zTJOFXDL/nuofZGyv5A/8G0t9aVwRAjA
9MiRoqic7D1fV/foQMIgVefsDjRa8ScDgLJy+Ic9wgSo6G2dC5M2d5IKyBtkyVlO7MQsxm+w/mZn
xxEgxUvnzQt92a5lR7BFyoITDbLYNgMkB9tO9DoGYoa47Euhi3s3flmLbJW9aQ1R1S4Bt9JTtiIn
sF3E3DDb0ZI+HUI/YkfiYcYrbVNetpKeCFPBnl8ucfbCZdjBDjbf2NMXL0QrZeCkymlVmBW7ipY1
k/1HuxpXfbQID227G797Lwu9aRHlN9VqHTuqQ3caAsfgZC1NzuczMiVX2fgnwYF08JpXxjxtukyD
k9tTtYpAuP3H/8fZGolHGK1LStWno9T8IF6F0nZoyOmL8lU9Ytr9JNLXy7eHptkrz4hz1mLqDZen
9aVwLokDOrNlcd+VHlsB9oiztvcX9Spamut+22+LfXRmAAee6PEI5eRhUkbuzvp+RgtCo9+Imh82
c1ezzEOTrhEMyU8MhpvaY21dAcEW1HDsYze9isMq2vCLOtwqkKpuFa5m9DSXJtzMLDX8Ks13F4O8
sLSlze/RZrcrHOm52iuirXxEZ4HQczd5S6/Nj+bHmqfBgR2iwq5u1VKLFslbrT4eAaEX8V6oeZzo
HG3io7TF2DWotkLhcW4/8S9KxRlsaDmz+e23mGnrmOzparrm1+YWp088IwLgPWFpLalUFrQFyg+U
QX13mU2OOY76Mn5nHdKdxpNfSuHEzhtSEXsWn7p1tavv42ODdzg+x8kqYAXmJOLMG/M6p5YjUbdG
kmxxjPlmI/gHtGc6nZ04X8KP2IW15E7mMSRwYCdQpTluX6tmFUeOsZw3wRNF89nKv6Pw+mhcdDC2
9TbyRAJ3XoqdLbOzWMFXt+LGnWEDqLGDr0g0y+pzZi1HRGcvIQYUYHMWalQ3mmeSsCDOB7Sg5epk
cmylV7Ygr4Fm900vrgQDUbmdwSUYS6oWp63iqNErhy0oxvBd5lImZ0Fa6v4mFve6vCuZEZ+Eczqx
7cpAVe+cLAwy/mmsFCY7sz4KFBmpwtXr8EEj1SHOwZaTneYfZP1iGC4Fnnq3THBRQYZZm+xpJiQM
VuIGTDkKi44N+pY7AuEMHPxGOtRPaeGke4lLI1j5tfOliuQzRffxpbSWGgeohU4Z3pIpO/mId80m
XQsqh3jpXH0zdua7Rx385JiTY1F5R+WI28yraOBQbZsbtSQGztYklHHL0TWXkXUSl7GteJSve71w
7sU7DfCyoyCDuafJojlzwVvUfqJgUezxVHjzEaBwyWh8LeJNvQC2HM5ICkqXL+8Ldt1QsDuDLxYr
AIfNHxH1XiTgnvQdV3Dnf+YrVAGKcWz45nLhTgeUP0xHJmKrnUV0HoEhQzMvlf41uDbWU/XrP515
bupnBS/utAxQz6QycrzhHORelF3zvOCvBa4PH8kjLUrJt7yvIMj84agqL9MymwDqgDdIKZ/P5HoI
Ajv4I3/Ya8zniVK72qv7rZ6dAJUyvna/lr7LI/O5ygLo6p5lpLZynJzJ6w6ik3+Jd2mn7GCT5R/o
n+1hfgWQ7CU4Mt7E0tVvmMkYQEJK6cEl56t5C6uXWLnEk4OeM5qdb1475fDFow+UMPPAhv+0hQUl
mp0Trlmnd8qVs5Nv4amKHdk4BL4nUKjOoZ6XAEVO5ASdEh8gfWEKNfaK+4qeibZz2+QEMi3tcdtX
KfySAkHm/WtnFQgUmsUliAgDRT8JFVDdf0fA4O76w6zyv+7/c1ahXo+p47cizT+Kf7RfCCfBVc3o
A8uOdvc/s4oiofBBPYyU/Dd1BWPMf/kXQqqpgkLojBEScf4/mVVIfv/jrPLnZ279SX5fkf+A105l
S0BVEFXVrqChAjvfNsni+5CKYMGI4yq/uGN5oFB5cIcOJ9mQaZ4e5A+PO6pLosaapFiSz3WKiLlR
UZZJbWd6ZsWm7GOmsrtxMOgtw7uojvmnSDhqIPj3wdR2QaNdirBAx8quSQKTE8TkzWQyyga/+VB7
ddsXESe/XIycdOgQztEyRuJO0WqUl2heQU2fI4rNKy/lKSkHJ2Jc10boZZS+pXLU6QAmuDl3I59E
sow8huZFkPPrpImE7oRsvNkYuxjdUfUqI1GdWrQxlWFdd0gVh0nP7CEe7nPHKBPFHOdGn5O/Oqbl
5NRRTM90TZZNTtCNspKiajiOY0yMcE/0fEXU5xrqjZUYatYtogIzjxp+p3UGCl60d0DIbSyIR/8R
zxlPu0lLv3l8Z1Q+6RHu03EzCZbXFmhVm+lHM5NMPsbUg0oyHpPpQxfmB+AtIVxUysso8dOEzoiw
wo0KW1FZa8t4ijLZCceepurEa8FTlGHw1OxbMEpCn/rkIFfVQtDJcMsnAv42c2QibdWezTF8jqCF
OiyjFfhgnXxlVKGOPYhufvDDL8VcCx3jbVGuiyj1CrAeo7Je9AKlbdompGoazWYILVeW+S3ie5+A
E/REoFafsyF4SnftuZGkw+Wk5SZqLyNs/txQtQACqgvVc1QHW4vW9zw6xeyMuf4xBFDN0Yx0AkaQ
BFk/pC2D2LO0bu0ofXgsw9MIcx8n06c6o4cVka9Ocv8qikxKqsqGrb5m0YxP561vABUtlkISmRq8
vgq79r92+ePAQjgXMWVoE5Ebag+x+d8sf2Qu/EX8+Jf7/1z+JNpFaTehlpFgJ7zULHI/z2r8yODQ
ZTwqiR6yMx7151lN/0VHionb+lHGROkB1PT/r38yPyIoQWfZ5HvOee2fLH90yP1x+fvzK9f/BABG
s0iLXF/LyHfs7j68z0/qvToM9+o9yT1w1RxT9tVaqWnt+gZATC+BqdtGac80mXpz7I2CPS5zr3Ct
ezUsTU9cjmvFzYEGmIcWkktL45qhFVivdpTFvKBbRnPP3wWDz3gyuE1wI1kQ77OGPuPU6jeR5Qvm
Jq5eBAWkFew6fJi30+qlYfmCyrKnCzl/Eto1VFH0Y2GWPccg20mwSppDAqPDuZzBsgZMOzd656p0
3sSpCN0qHLKW6qNJcWhLc/WCs+FjAQVMDhfNG/xruZj2fefV3bwRv/TdKK/V/OmERHNsD43tw7xy
WJSVh+Tev0v1RjC+O3mN6j4PPnOgqwjp/GQcXgr77e2D356tIvvpsp7XfuSo7Z1j5oQqPXzSg2Mg
rzKA0UnyOPc6gmKxQFZO/8UN1NwtK/TegHSM0LBJR2g1/qflLrSQsVSqRVKtM2LadX8Rimd/PFmW
N16MGwfAvL5MxbmsL/qO5lEMQClvbWTZ2YtxazftplsMn7U3b1JWmmu2i9ajA2PBJH4dz+xWPE/X
DG4WT1CwI+Uihwezd4TgmEHJ89gRe80CURXdMAAgHsTaiP0E5MsB+ertE0k43IanqZwaZrWIvaJH
8crUOUUfIYKYnJrMa4o6CV9DQEKB7qGZ9RcCwfJ4fl3xqF850YOciv6G0W/HiUr8bCcKWxapR7Ed
RzOSIB3rh4gKIFm04sZcybLDF/BHWjzn+T15CXi1n+VmLLw8dZVq629nf9ePXmzHdu4puWsyqEI7
TYo3tU7KdMlvSV5ycaNQxt6dY8vVhiOSf75ly9bRbtI+3spABjd/SyxfNi5G7RwlsDJ2ywML81LG
mBxbW+suRWerPgy1F2gOyC2/b/ia91mE1XQ1v/mCm/NoQ/pa5Qvlps1nYFT9lQJRNGTcSckO1g/u
KbbO//8FFHbrMA/Pbzxf0EzrR4PlgHaklNOIdqt1V7O8eiPGew7ii76Ci2S45jHkHsvJbHiTsi+m
VeUNOkk5dpXZUP5yaJ/FR0K+o/AVRv1VcCeYepehuTPQYS2L+kKjqccX2gbrmIJ9uvZRa0X5QRqX
5lvpdg64tT1th4/gqEFUDDZugmW6zJfYT8SP+gZynxwTrBe5M2zzm8CV/psH6N+ormfKVFivfxUT
UTJNWNvfbjDsEwy8v8MC/9f9f24wzNe6RK6uQi29+ZcBm0GZMRprvfmbRPm/AieNcBg8pwTm/urQ
+88Gg7BZsizkUMheye1Frf8PxMv4Av64wfzlmf/Jc9qOUyh2qjWuGmzk0JpAMKVhl41P1JnFFxBc
RuoEdwxgEg1t1w0oZw1MaC0/KEUWxUdXn0gYY5YsujD9MBrmt8ZwItVfmJHJAIPWKACOqjB10FSa
lvK6qxqYueRSwkSZsCQWF1NS+cfYb0mjHm04E4+2QycKi3Odlx59hF4Uz8+kRa6nToLYe+kTky76
wolViasjdUzUGn3HF32GzWJ7diioXhR1+6lHodOhnjCwe41WQNlevORM4bSh/OUnvldx2VR181pY
AemIDywPtQophCmHomWtUsJRSkt0Ml8DXkCEBI5SFoBtKt6vMbXLoVuVlg80CV2TjMrOQumUP/QQ
VqpgaQy2yViso4lL09JeGsVHoJhshLGWqJbCzDWAjAoV8lG/65602bzUAe61eczx7PlEarLe54/s
AGiZRqcXRgq2PiFb1L5J4ES4w5C82ooPRCJ8BRT29OS2azkM8DiS4o9iFykI8vA5+4rqh5IyY+Fs
JCemokgKTTRHI/5ckEx/AM5tWrIhs7OqNN48DAR+wrUXDZ9EDzwLGlYI4BSGfIhznbWb88MUrfpJ
5DQjGA12aPZQfezedUVQaYXTai+j7QHeitwPQIKRx0P7gKpBtvswca22vTUonSPfOoi+vCbk1AnJ
Ueh4TqOgHP0cQfFk+A7D2SZ79KDAtBQjPDuCj3qcHfEYdfFLY1mHxBifx1CBucnX9KPFHoe+naaP
i9mCr238cqMX1U6XabRMguyp7Y2PUjdkt5FpQAn0KHER+VXwgNGqITA4C/VvsyIXhOIEs78GLVqA
N0Fad+ywab0TjNe8p9BFt95mY3CtuPXKArEYArt8iC6kyVCjsc1C2K48k2wpSTC7Jg8yRvHnzYTN
qtMbxhJMmWV/5ISdQmXWq7Qq171VHIxYf5nTEJOZAfQs181LHuSxV4uN4KqBzoY2cXzNxoqUsXYl
h6TnlO0bFTifM2S1UaZPQ2qe63BemEVmk/u5nWkDESJzkaA5VAsDObawbVrZi+b8kOUi/BEbeiX7
r5g2rYWc0RKjCfF7I5o7uUqPXMG3OeisZZiIJ6HQL33Q7Js6sL4sC6ltMyo2LXrXqqlXuZW0KJuB
cCelCnkFDSqiiaFB5GLOw1NfXgjzcMukPYxZ9Y6s0p51ELUSL16dxhvFyN1BzZ7iQNkLqv9U9+4c
+zs5hwgNPluGlcoADe2fMvqPpCpZkGHqBsnLgIy+8ytbmfOvsmcutMIFWYNOByGa+tBp5jaIhLWa
CB7LsNOgjuubhNgZmQzrxjP6B5shgUEJsG4BeEHOZEDfaSuvBlE4l3x9VeSYAhykliAq1DgKPmIN
whL5iPISD6jTg4pua2y3Wdruq2xnKpfZN5GFl6c5rxdZpJ+IVCLJybhGDXyFVO2b7Ak5vevLoK9G
fplQ/tTxk+THKxNjohq2ENer1qi+tfJTpulHHykYBTtEQNEiSRE6BCezzkVaUSNXDYsHrCFKCYNs
6D7UiP3wYZJYyeq+lA0mqsKML6renaeg3sgSZ3xBa+aFGIUINyBt4FQNQfi2rOaW1tV72mgghZPQ
7ekG1TaB382Lf+0JVCUd/xGhi3+dGBQCPDiH/c0JVDb/Ym/66/1/DggYlfRHRqaucsrFwsQx878n
UKTM2OYfxqqHiYnN++cJ1PxF4whKBiD5ypIKPfifAQH7HYZ7kb+XRX4s6/o/mRD+CsD96Zn/aUDQ
k2ZupRbip4zy6RCp5akbJ+VMMbi5aMZiOQ/Eh43duMkFzoJ187C5azJq00Theva/O2X+Cpti104o
lDNfeBq6PDiWQde9pXF1akvM8qWImjkJJijDWhqllyDT45UxmXhRcjQFJOgGp0rri71vRu+Jj0y/
Qb5k1YJtCvmx9kcokV99OxspCFdq05AuVR9Mil5DXfnqMONaTbKfTH05lPOig/Q3M92bhFs8Dpui
j7H6+J+JPjtdFhyCUHRrXMpK6u8Hn/bRiIShSZxv06AvRj9ZCPiAMgp/pXrwoSvKfYjmAKsVet98
viWT6XVEldt9ER5Ewg/sPs42jcRSmGBNcQeh4FQ8mDBfpIE+tdQsTXCd+Cs0/yY+mlX9BkRJNZDv
Rb/FBf0bR3KQD0O1CLjEY/orjPz3mA/9ClySvxvJ/9f9/3vF0TT9CEAzcA9SdIim/+cVJwLsMHdz
if+crn93xZEU8cC26VlQxV/Lo35iPr96YXW8iSRLky7KdfoPZnJm/z/O5H9+6uqfMG+SE6LJEDt5
qT2cL4KLzB5LAYJQz8+W5r09yckPPTwH6uaBT8a549+nu4oW8CLfushBYFyLhFIsx3E3hgtU7TRU
I/sW88s8fPlCjo74VkevRYx8LWYjJW2NNj0VIfExgVkjRXXbthLSKDuE2+KI2duRtKzXqN9bfTnO
n3nMEOEJ7XbOzpYZLv1hXRau9KaEjma62StCGiZ/3Og2STNn0Nev5hRyjdoY4CDynNETFw76Z/v9
9fU19r47+z7YaHPs1Jns82B/nScCACIXWnoRuZGLG99hOrTfFWezuX5/b95fd8+nXW5vbpxm+T2v
vbPb7Q7X0N68Hp69027n8ZcGIwvGK9s/zwt/ydC6q9cgXh5K1LW5ftD3xBBD44cLfx1ssr1/Svbm
GjHAFn54QWKAS3Uaf+pu3Z6XrF36j55QxBuFPT84wotEVRx5s9fWc/hZH7WVWdmqh8suIIXsYtTu
BITz9qDrlkSFeOpSfRPPxap6VvfBfdgA/T/I8PGaXR5Hi6fqlot2/hH9mKMFH4mheWj7crc3bdyZ
82q+yEc039d2W6mHXthCwFcqmYn0jS7SbK9W7hSzGm2D8n1UbtKznhzU6j3CKFB1PMrEODYVMJaz
p0vRLnUtjH3dLZgS0lahuKuHpp5fdymzbXRT7cpFNg+IOJzKlbimlYtpx+ZQOC8rl9OMQ5aHM22F
dXQMjr6+gYxHFas2wDHGfGtkrCEAMdWmFO5tjsntrhGLMcJRWm7rPc8oT9bCXZhvRns3AFh4PwiV
69Zd8Fl056h1u3wxnMBBNtq7IJF5YBcAbgrGM99aBWZg+zVuApbk4I4kEiiF8BMfWYm9pPDdyfaG
suy6VY81Vm5e+/bdEjc9WVgVzKLhvxS5Q86p9FWx2OZb7YZYOfscvnL5WC3MRRQtb+MB1SkHOGc8
kAwjktuxGI4++JH1oztJjS3tC8UejoVLFkvk8B10q7W2VK+oOvIViu+t/CSuJ9hpXoV4NW64gNCf
UFOZIa7jCDPfhpMaueOlecXxZw+HXsF9O9L46RDSGRlkwrw2zdEcDwr4DtCSEK47xB9OdOJqbr05
c8u70l6gw9bVulmrCyZTpzkpD7AucsD4KC5F7K7RisuhmPQJG9o6NWyeIHoFUlRW+o7/zFf+glCM
x7PmaQEIatFZhTXfT1+fGjT+OphO8Nz45710cjRvPow4a9/14i3dhs/5aiC4FH2L+oSiZbzwWtea
Fz7TBMEz4DXDREmH5lXzuB1YbdDgCNDQ7WCAIJWk4l0Kz+HGpPVyrJZRMC7iko8iUDZzhacx8HkH
wWwW4kq6ys17aOHjdEaTgBYdLTPKwhMmZTql/NLT0ftVfvdUjzrm6eENiH7R4E4RdoMuOlr0ISUq
R9qgcHXtrFbZFjCuIC+5HFaZevs3z7XY5x+TrYaSmDmTrfBv5lo0a38UwTEX/+X+P3dZ+RfYFJKs
ALgwyD82xf/ssvIvBEaAb6kaXImqm2yAP+da6xfQNe7CU4HpJvzy93OtxYDMFszP5UcWxj/ZZeU/
p+T95an/yT6elpraVKoRrMYYxGvsu5VM4qaOxpUTU8J5qEHbYforOUdEqsVg6UOyI2u7nvVmEUYQ
cqLle5aOMbfvUKinU7MMijy5dqOY3es2X8zY2Bhe9Qo/hkFOhUC4fzGM/joZFMzSHWj3MF6DDE3y
XHLly6JjKrEjRvFFQS/RTjWTqLU1+jFxEOd8J8Tt2pk4KG4pwh4LKHJruV8VETCyjzMRWXGJEQDu
chwnEzNQhfw67zYQkkATnArHGsOvVJySEGpBYxmNJBiW8lxG6bYzLAK25WxPW2PujikHzrAKPxgE
dPTZJt6LVNiAwQD9C8cOd0ZbKCexC84qBQkWi288WomX4legcpVcqtLwirhb42borl0VNVe5E8Ij
QZLDe8GpeBFK9VrvsUQMhflVd2F4bwahtOxUwwYBWpXf+waxb6ebvtf4vts1/i4tI2TW7IUSgkMf
NzE0DMMM3p0GnjwX7mPuo2wSXB++RaiCpyE8Jv2HUuO3S8XV3ONvQnsiRuPSgJtoZN1p47uOJpAj
Db+wOUXhThEFTvlMMEh4JElYmN0POu6IuemXCoxQCPyGhBNMzkTnjE1HMWTchjGibXM1cm6BxcVI
94b53B3mh57pFqaEhQn9kmLFiuNMhqm8ApbBnC7MojsSzxTp5VY3h2WAqyeLfU9pR5DQ5Fj0yWYI
2ImsbBOBz9InsDJYo2exO9eq6UzC4IWB5gXqnW+kPVkMHRobkpEsFKRZGUcalfyeOGsXFGgvyobe
z/7ZnG+qKn5pmgDilJ3i/+PuvZZiR7No6ydShbw5lymllB6bbOBGsWGDvPd6+jNU1fUXO4sfos9l
R1d0RzWQMil9Zq05x4x1pw+YAcwaOxTGPdFfi4RJo51FsyPbEVdhmYpjUQsQ44JAYhwmdWdD9rdz
gpsEFGFKj5tQRzbvA2gaKdaxQetHOv8Dlb8BJ16saAVFE795/x8ebHWZ+yWC0wGGRyf72y7D71ua
RQtz+fd/D7baH+xjZIoBBn2Mj4JjDVUxlBOIkjhv6T/8M9T+SUjR0e8seTE68TTssP6zoeFHOnnr
1BxQSDPoMnb/Fxsa5Mu/b2guTpxWCz//IDjORpn02BlX/jTS65qldSD2QN1QjwVycFNF4yHUGhgb
4jYdDbdU400Z0ZwM020it7d9nDsdSsaoSBgjtHWko5cog+cpMJ06XFKlQ5rXMjrCijhHHx1OFFPy
ylLC/gqqnnh2IV4WtbTWh4KlEAV8ep4Pg77oyuhiKJatZCJrX7I/p9DOAeBn4UhjL/TCSDyPonXS
24JKtjy7DPebiqpivvB+cNtM4mLEATkcUplts+3sd8F6MJEndTgm8XsnVrTV2vqplhfQIUKaRklP
RaFqLlvNH5HOKCRZN5zUgxIui+hikVGqbBpmfMiyoF5JAbuqRsLnMGu273Nispae9KTeBqKAri55
FrOBV1xQSY9KBC7n3KqWG2oVFk9+We8bZ+pCr5ZKhJaCkbttH7rD4gEeJN1RB8Q11WQgVUEvtfKl
/qZuw1NvDo+dXx40NT7N5Pvl/bqm5JySE9XLY75Jhfy+nhDNJhZ0uHL64bfhUR7jR4MCkZlU7cbH
7SyaQAuDch+YxjozJ28E1VbGoq3X50GiJmsNV9EgbgajeslrshiLddPi/a3uMroGLBWjK2HI3jLV
3I+VeacWEiRDtSgovaJLHaw0vE/1phhWVZw9mFoFeWUkjZD2u2BM+0qSDtjb36eIQDnKWHYCWULV
4lMqCjtaIo8lstwkNW7qevBkuqxZbjzGOkHJwiKjkonCy7ObPouOTSocx0plDoZnoo+neuj3oo6g
e6Q239pNEtxW8AHNmQJYEvduC8N8nOXbXuqx8PnrUb0ZR2k3JNM6RFcxZIY3LQ33PMS9GO60/BfJ
0+X4YrQFq3wQJlbx2ojtqUhZXpehV7Jstdpx3czXo0ArfojsBlW3FGcJW/vATg0K+v528LN9FtX3
WXscsP+2me8mApYT7SYjpHHu+g3BIZ6RNuclaCEJTC9pURpohTvrbDEageZysvWF0Wktvjs2ewNq
5EG8UTA5W425LQF1aD7B3AWfnD6OsXaQaLBk3fju63hAQ+Zgg/aGlF+1tPqmptrJiDelpd2nNq6h
JtdDPrthz8qfIgZV9nwQmdoij1aeU9Xg3hWEd9N7E8WuooZXfQTsL6LlkVTXUd3o71OXboaxQhqW
Jne1WCI2a/G3Wh1Mn1o5+Zp67AEAdEshkaTKZDVWLSWAnnB7X6JmgblgbH6kLQ6foV3JZXSKpa3W
0dYbZJY0mRo8DWH4lpmCXSJruZU68ZCEuLnj9L3MIn6NiNCpxBav461FBJ7zUtIwk5jqUexiTjQL
rdiOeeoJtOllq9VtQdX2mZZs+3gkT0CQ7wV9WHdm5duT1T35IhbqQO2RMYLhSRo+Mf0V18FtiKls
qOVVqM4OgjBfK0+qgdmhCHunyttzT7xlmjD4BKXTKOiOcbQNsritGslLKceWfnZiS38oq/6kNlAZ
W+xjpNJve/WvKOP/xarigvMgKpgCPrwwmGJLmf6L/Q7FQeboD1XFz/7+7ynY+ANhrkK1Uv+TqPtx
Ejb+IOLZQClGDsLiCOKo/zT6mbbhi7CjwRjEquC3SRj2Cb+vgtFbJGj/1SSs/UtJe3HpLC4+TsJy
rs6mHMzWBgI5qpLuUAfRgyYuyqe+YuQEOx2a20IZZA+Z+XxfNkAc6lZ2ElU/YLynBclco2uPJW5e
RR+ou7Bg1Gv66kJyJeW3Wjxu9JIkAMqN+mDeFS3U8RoLcXKSjMIzxvsOi7IutV6FIVliOvF1nGu5
eislWCNxXQTSL4VoMDJwyEVWiIaA5kHbjbqYmuYbGFzebGyn2dhUUu6I2n1RRBjSG8p801oSMkLI
xwcN61LrR5u5KUAxtUx5rzlysGRh+uaYLc0fMG3BEN1WMsFUFZjNBc1pQaYgk9JgHNKQ2Ohttkm6
qxQTQKb9kAp8ohXlLenaBNqelY9TjGJItNaybO1SXXKYY+x2jo56YJS45aFvzlnlZkaPpThz/Yn6
kFC4razsteCZAGoAMdaBhJS90mL6ZNPi1z9HSyaHuyCAhw1lLNvdeKXDIwwyBl/twapVRxLuZZgf
RYHXR4KHCut8tI4BoPxmqZsYDzEzHet9G41ZZRg7qaS9XQzrvAImPL7owBNmNjdJAfWXZYssEIwm
DzBoI3EdsDpoK+lJjF+k/DjKBr2VITmxh0dfFBfvk0VJEXM8K6F0JWYNgdV42TU82x34/JUlDzkU
r5AvLq/3g5hH91HHJkqRBDo1ORugMbR2rVhuBYRec4oKVwGoo2lHPS+PQgAaQZDRnbCNIy0Gariv
2lKFoT4Jt1WOezW0Ng0Vu1pwc9SDZYJiI5Ie9Ez0Krl6KSPpfTCrrVmr9yl7WsBAdkKbJ0Y2iWJk
JQXtDjXIe5W1W6t5qUaKzXgPCqBPoRq5itkxycTmVZfj2ZIENsXNrZGqTq+aDptVPOSD2/STM8lA
aESsTol8HIXAUXxl2+vUIuMhO9Y8CLz/mGoGZ9kzjYvOzeC3lfwtmTSqg7J0qmWV+l83/wxbqnwo
N3TmugCwQtYhIVS2PlNBoddOi7sn1k8KPJ4InkQBlBbVtFMtPV+yAGeCcgd88kH77scq0UbQGfA6
RfiUYrZkIputgG2a2T7kyByXJ0XvWtQbb1IXgwiUiapAEyNtREWGaqntVHlcq5Fw0AqiY01ePVrz
alx62iIjV+nONyPJs8RhoaXWSU/tLP+ooUyh18ZVtFjom1WZ4ZQp/Ocm+jkjqU8qYkvoQ8hElRTn
Zhaw1MzwBIHMlqCFxU1VoUorjoZR7zp515cLUqhxQG5By34g/IftouWMuAs15AFGequQIjdrAEA4
lh4k25wvqBp4PPGAFfF9BMlTBPhS14qdd6mTz1iWBK5/ySYhVtR/0XzLietHU38uDYGWIEZlxDtL
WB2kCGJnusFRafzpuLKigDzWEpuAWa/k9k5Xj5EGU0YUN0YW2QHWqaQfnQynTNhirlG5vxA+zDy6
rQkhWcnB2S9vRuJnBYm1eQJ3CWnA//TOVxFVhNYaOmpZMZl7vpp2CQy6mHaXdt3vf//3tKv9gVyY
iZryCh3y3+i12h/MxABs4eOzu/3X3tcCx09PXQJqtqQt/bP3NYHVG+Lfvpf/ymyL5Pvfe9+Pp24t
e+MPe9+27i2VJ1RiPpGdUR4PqP1hn0Q4JJXW8DLEYz77KJ+KT0LDpzPuBgksUVJiINTAOQs0zMbw
F2ltW3N6DU1+R46GXQ/QahWr4cG3EFnlKr77vGAD14XKsRVU9o9yuZ6F4rGhOOl0CZV5P1ijWcf/
1lCA1DcJapZaGbGo4aCVM8qbbz1MKwYXvRWQNTNyMrfnMR9j/Gr75lGKhesF61lFEpuXMj4sA2Xq
59uulG6FSnGixLzuJEhgMSwB/9yNxZ560Zs2IS9iwK8aDWZAaedkaOV12TmRlc7EoAVsguNCvOmJ
gsuaYS9O0nHUmkOiVm5Mj5Ls3E3SWz8sI9xDqnIV+cc8pb9UCYsktbYxfCFqkqJjfF2OKHFjJrOm
wIf4EqopBr7WGSl1QCvVjwyPfAoUFSVrb3ODkGgdRVomRwBvRBI6i/ynqfdnYcbhM/kKczEslknC
pexT7CwFnHSmtmcPDXEgZlgZKcOWKnVcaGDtttJQWrNC3DYZ9ASsbGLF6Npm7NCKKGGlMkrXIQIT
UpcF4X93MCDMghRqSTT1JRiC1/PrNTi+C2pWH9bgn/3934MB2lhdImdMXfoDv2tpFtksTGqymVQJ
w8ayPP+750CNzKDpvpwKwX0Qq/+/wUDmRxTrDEpoCAzoSfxXg4G6tBQ+oIIvzhxdw+9jAakvSpnU
beM9jC4rE+GKOHK72LHUccN7a/VS2dEbZC+ndP1dc6sdBqYXp/C8tY7YnS44GCEsrs1WV+xqi96R
bvmAMPxuJz0Y7/KKf9vHnuZ8GHw/odDQq/nmtC92DqU15kaddI0n3QXvjXFXB44RrceryQu35VaW
vUl3M0/ZE5Th1gd2uRlgo4YOeTUccNKKuHhZuawwb5w6r/NMh3l7dIP+Bw75srlO40dlcNGntpUD
VHB0ktUDK57Vs7SaV6ErLH1HT3iYW9vCx3t7OJ1VPOSss87BQdM21p6yGd1POsOGzejwTL8FlRyl
gUNo0+GNn9qD6MnqHvoQLX3gIevXGQ5X5WRboi7xzC5nM4trmHIsds1rf1iVe3U1s/12ZJf1BUx8
qpEU+3a+HdwR39tsuy0xDBs4/hthM6xxXni5i8fFKx0a3Ofx3Hvdlb86sBRrS2pkrDZdEz9I48DG
BbI/uXVMa9bOvHSfgxwQHdOVF/iIAE+WxgtSCPJIEHxUawTCTuHG6ztkEUiGvGE3ukSWuyU3W8Kw
0zqs0Bz6EbZx79sYGDw6p3ehiMYhPM27cq0c4/fGAbzFPSJRYS1urKfk5etnhIrxJ8+Iwj5WxiqK
73PpE36c5qSxGeVJ7ZvF8oM+N3AqNm50WfEDla+0aVmoU/pqdtmefykdpL2e4PIdHpqN5ox3OgSh
3u1flSthdC1pxaqfa5+vkpp2CRsTx8yI3z6y3oLxdkfkhdO6yl2x3pvn8QrepGHONirreAX56BFw
xZpSIuEUvraYmfmQyZvWo/tCuuKTsQe4ybK17T1gQuMq3RYPybwKNiY6i7hxYOfdCq/Wa7MiUE/D
UAKjQSFF05GwXtjqmlqzv+MZrV3izwNvPnTTFqc583KD1iJzTMxARYTSNsKQRCpV7uUYQsxpTSNL
Hm1owu+IdKafORVjn4RvslDLq+4h2ChusJEc/nOA481/B/uX+2b18iKsKqjLpeKoJb38g48Bi7DN
PFrzx6ty2kzpU7IvWVRQhs6q/bJn7KQDdXI7sX3H2reOom9p7dPXX9mT5yoEnqB0vhV/RrcaH+nf
GCsBILQM3DOy7Z6lcP9LpSmWUOgutZeroiVuhjXwDvU2ghh2eoZ8O4GLWD8ylTphCrVmy+spp790
ioewb37pM5tYtmwn7YAgprqJX/s2t9vX+ml4YjeOz+xmLO4lpLn+kSbrilmXcJZs8tg/CQ8FLwxj
DBcaj1cAtlyF8VE/KhBV7YnNCAhg14hjR2Jnxn62dKTram8AedMU3oxmtmkjqnaleCaG2V+4a7fq
6PTXFtVMy7bQTFHcHUtv9r2wtQANo/BdZS28qRMLef7h3A0CAEZAIHylPyuU+porKK7wxs1d9iep
Z9jGuaabhjkMZfwrxVJe9PnG3ywIqXmrtl5du+OuEtxeo81Kl88uHl/Hm3yDMgNsHXKKHu0vgpkS
0IdlC2uftBRD3a88fyM9w0R77KetNB31g/BQ5w+qI1cbTLuqso7Tt0K5DVWX04ChJ2SnYjxpBmSt
E4QTyjkwLSqHtsfgjTeGZUeoyCx6y0297hTK+OtJts292t0p42p85v9qe2d8bhi2K2e4gxsJnoAv
E7kPz4+JgH01H/F0MQqxHkM5sQIyb5z67Dqw4Ujo5zH1TIGa5L0qHqo7dTNcATriGNZRxj5oY/R6
DlJbbryEkSm1uyvtbLK51VbJYwYQz1l+26MmntRrCbTfBlvXWn9sb8xNvePgDPbQpMbn6DF5ne7E
feY05lH70XvjM2fKH1MOtt74OP43XycYy/ijvKRnsiJa+M14G+6il+IKHc9JWosH+SDcDHd8KBfO
NZ4LF2vYqrsTwZqwUINUc9N7fJoQIdpk6Y0/g7s03Pl76Ri6xptJTYpJWFmbG2W9k471LnrkKvko
/oi/4JM5Pv8oZ+Wcr/VNd3Wub3RkBCBSV81V4UpHHc3VqqvX5p5bwiH4y8zhOMkrfzdcpev5WYbg
9V2Unbb02S7XHxhWcadiXF12Ob8P0l2J3EH3m8YDerbTzI3hQrf3CKEnquZY3lk/xjsKJ+ZPaQXI
963OV8oPODB7whehfDIRIserz/pLCyZjR4rrxnqz9JXx0HJD7PQUn+gauIsUyXTVDWZ8/oNULfaq
zTezzTKZfHUdF3sqKYrBX3aso1QP7w9vkls6OERKB07lvNa6HebW4RTasWteI4UsvGhnsK0Jd8E6
8drVa7v2V7vAhngL6HtNa09fSXY+OuO6c/QrjzU/da417ux03YKgWwvb2AtaBp//rK3+N0vnpkxm
xp+7YpnABZnF7Rd7eHhV/MKHZfuit7n8+7+X7TL1cX5ukpCHuOdPp/XfglwZfzbhwf/5wcdVu/WH
QhnPZOmOM1xW9X+28CjgQVNAAJfwdWtLOf6/qZzLF8vf5cSBf7M94MSoF1gXclwjFEvYDGWymW7C
+yOZyQ/KDzDDm3kXQmkaX14tr9uWZ3LXEpg3H+7ap4vv3x/1/xyc9oFF/5mruVApScpgzYjIodKX
3Y9SZy4bG0rNkLE0bWXFt8JEtNp0FSrRsReviDT3AuGR8h9V4nGTot5IzeshwTda7CqWIXLtfXOC
F+/i5QnqF3en8auozAROsFtHpwFLHBEUbmjTvZo3xTF9kOzCPefPw1V7iq5VV2F5G9tfn8PF2vOv
U2BvR6CDCBxAuTiFsM+pwRshDERMR7V6NP159fURlvrTxxHnr0OAZyOOGQQLK1x+/qGKE0sYSOUp
Sjb7q+qtfzHLlUhS7BoKov9UX2VvFSSt0q3vxLX/FJ7CBThhl2cdnqjkIs2CrPT1CbEl/eR8sI1Q
wgJEoF+MgMKczlbaCvEmYNEZTpMdh5qjTnDcAlf2KTuSN/L1EZe54cOYu9wBMix48UUDBbxsXOxd
pak0+yIx442SEXI8+pu+D09mBfrk6+N8dqspDygqb7WqsC1fJrEPtzrNZVDvKhqQYSdsHvLD+ISy
qT5UXnUU1uJVyQMF0sUh+PpW3opOvBdf8je08s60Cb95uP881r8u+sO5XFz0HBdypA+IurJ3GVjt
WjxK4qreBFvLSzfhbfNL/SbQVvrkWf7t6i+maNnKgiyCwL9JDzpbujs0/zsS5Zi9rn2KWLcJaIc3
mgDf3PRPnqffDrv8/MNN11Vh9kNZiTd7daeetZfAA5ezLY4IIu3Gq87aj/EX9uB78KeWnXsaKX1U
zgpzhYN2o7erb2b4P0eNf914QIkWXA6VuszF+RRTb0ZBo3EbLMGl942i74Rurh+slax0674sdn0A
1F2+VgRAwEG2Ikiuj88pIe2+b62DAft/XLsSNuUOoFqSt6uMtkNH396SrqQO0cuc26OhHEXrNiga
qpI3SYhS07LjgGfKmFdkUzgSgqIWE7CZ7vQ4Bkv8NMdHkfDcbNAx8t03pH8bwrwuZ3R6wnpob0p0
xkSyr0Q/dTscuoP1VBDcJAJNrOcCtldnCyXbUj7j6+/wskzz1xuKMZweNPhIamy/f4eSWJNfU/Ho
sPgBbT0D2ws6MPUrcM6Ep359tE+Hgw8HY/b9+MDkKIGsoeZgLe01QKyT/irn26+PsVTh/z3mfDiI
/PtBijQnJDvmqVQozCgyZPw43ZOb7IoZge+I2ltapxpA1txwScR2vjn8csP+/RD+c0MvRqJQj5uw
iOR4M3WKO7S5I6Fe0epXP34h3cENCFKaC+INBuu7UeCT6YYC6T9Hvhh3QDsNmoL2akNIhoSwK8dn
HusPUoUOtehXsgrTqZnWffyzxX8/NMDfIzTMlBMmH3lL9t2j9emoRLNE1CUJv9KfAr8Pw0NYWGWn
CBPTjSnSjruPm3tfh3gIexLq3Iy3XoQIGs4+erL7DJ3cRFD20l39+hv59KH7cBpLr+XDacyS1GtC
IsWkMoh2Kl03WurK5V9yltfx/wRvxfVf3+/H7NrPJ6APR7kYe5TaQIsQz8sQbN6E5+QdwaBMK/p+
RHNA7Uq5aqnnbAl5E240O7hWVyXlymvzFdPJtr7p/l/etA+nc7ECpNBdKao4xhsBelad3gg0+Sfj
m4v+5gu+jOzu8nJSgoIvOAFXr6M0VoT3r7+7z45AcZ4FlC6ZKm2Q3787QhEinSvhuxuPSvvmB9+l
p386/snY9kwK6zgHlIs1kdHVAxJzvjcjO+uZsLLwsHVErczNWbTA4SQ/ZxPhV/JNpvqfEPbLYeLj
cS+eSlMYeiVIuXcVkToU6JR9hVJyP1IoeUh3TF2nfJd7xcvX9/Ozd+HjUS+e0mCuzLQTudquQUo7
PdJsMzv5mxfu03fh41EuHj5D61GHq8tzcXoedLs4Fc/lWtBWyg3BEo8aBeboWD7Ut7T7Xf/Nh622
lU8W1Uawk99c8Hf3+dIWmZtdoibici4q4cIMjqV5k5J47b/J8rHh5a8wBZg3LbI/sb0ru+ucDRta
va/v+6crtA+35JKerBEtWU4NaW+hpNolFrmWCl+Q32avIvYA4nmcGT9fzrdihNeqfhVBOEk05ZvT
WB6qLx46Vf79dZKyoVLgXnAWcb9SOyrpirgKNTIMotth/m7g/ezllVUFxzlsNVyuF0cr1FhWBjiE
G4s+bkRd0CTv45v7+tls+/EYF7PtGCKTmFqO0WSvfflkzUizI/wz1U0rD8h09hGBJPL566N++hZ9
uLDl5x9mlBrSAQWzZXDtFSJYQlwtr6aSfDN//llY+9e39eEwF0NTn+t5HClDvBFvurV8RGz9qEFZ
WaC3ND5II6KIb6O0vq0c9VrbjUSK79IN69vj8M1s8tnK4uNdvhispKmSlCTngtMA4YGMJAFqiJbu
qm8Xb989MxcDVKM3Ue1bHQPUO6nnbuO9xFfCCXPKu3CDOopW5X+a4P//M/c3hzQvVsCxAQRLCLg4
NNj3C5vxWrhVvPSnun3rkOSdBI80hNLW7mmT0cujvXfaB1dF/s2j/PlDhdCUuQ4jzeVE1KfYCtOo
5R4DlbHQLFFIzX9+/eAuTel/DwAYPv4+yMUXaaYylhrG/o3vkSTzNKyNDUozoMn+Tri11smWfLON
N5Kkca8f5EfCLG3jSdhI2+Quu5K/mQP/HG7+/YD/czYXX3YM9b5odS7ZEs6KBbe6v06pelsbolLS
+KdUHEPBqyld6dUpbp9KpPitQNEEwWA5YcoksDYg/LJSABI11UpRnqbxRp/fjfbcqORFGQS4AnTJ
oydx+tGQJ55X12V/07euTD8mQY8f4LHKbupk15JCY7xm2f3XN1z69M3RQAbgV9QwNl5c4tDoYHet
igUMaPBVt8bh6g3n5CbxqMT5V1Qk3PyhJe/E+frA0MA++ao/VF6Vi9E37WMj6+h3bSTUoj7ERCus
fwmJvJ7yUWWv1zoNwV6j8JzpXt7cJthB+oi0jhmsjYH3ARSTUQH2EqnYEwky5qjs5EqHNCu07mhk
Rz2NiXU3kAWSsW30pBdPheRmw7CTZslJVdEr+tpVKv+kVAgPJnqpJqC+tN+lNDCyqrlra/+p61Ab
okI3+xafZLBnf+MkMY3AvBw3SAJcccJmExZsGGHe7JUqdmb6NIVvHWN2wxZtSUWRbCC8DsgOUKok
SyFX1hDcmQGXpArYIWoN33e6bjQF7pjcEAWQOpJF2w29sIWKU4/RI/swwifcNH6YrKVMBatDxJRi
lJNTZ6/zaN0IrBsiNnT5EsvFvt4YsZyDJkhEYTuo+YMelSwltkmF0rZL3VHtj3IJ7ScAXqUnwVpD
mYFLwx4SLM1yZj51teJWQ5OdRalLr6X6JA/+WZCeZ61VdtDCAOhi8SuUcdO1z1NB2wGnil6nj5nV
bZto2CQAG0czssEqYwbvt1YSRlBfMxAkwr4lkqpIZZhQ0tYIivRREGYnwlzjC/pznnbPwdz+MGPz
QTejlyZIXfQa7MaihyAJdk3S7KosOuk+QOKIaBqhJMlZR9ZVzd5koEOj2H/0Desh0pVmU/uYD0g0
vk9042qeBrfM/dsOuJibKWO5ESw6+MU5ll51LZUxYI4VAlFSLSVoK3EW3LWSpIAeask89sNNO5BO
WSQSRH0JDMEktj+7XkDeZhIGF5IsrHhCUt3OoXoK5+aQawnbjxhmWaE1bt+ablYlhDOUR31CpB62
Iax0WX0ws+k6C2tcKIrdRkmxHVIGWkPbV209epkQeX6kyV6EXxS41B330asG5dnUBQKVUUzgQVIT
MtB8mst4JOak2ZpyvakJYkghyvt6zZmHZFZZXqBGN6DD6AQjsU5i6L3WTk2S0ywXp0af7izE4WWF
LiGwQFeW7pjL5z4zDgqlCauT75Mp8XDTIllN6JPKHTyOEBkZlFZdHD2/bGNgbamnUOSEl3abhq0n
WYl5n7eLg3e61TuAdOK8l6fy5LeoB2rRDXEHG12+t4TI8Uuxt7tCIeAJWTu5of6sPpkRzzZiWkXS
T3L2WJRPftx7eT2iM2xRzQEyLSHVWZO0o+VaqrsS1Yb4ho/7OQ3AlRX9QaXIKMaofUMfm7y4qsrp
pFi9m5kQUmPpKTFzt1T0W1JQyPPxCRxDqIP0JhKxJyOdHxNXCqdtSJRHlAT23B5zDZBcozlUxAYR
opmQrgOgXWHL9hoyXoJtQGAsa4ERJiWzMxuoCiKzwfwg1EjMA08EAZD19O7DF3h6bogDt+vpmAaa
q4178omxos0MIqzAGTOK/EoaiJCo4zfZSgmL+jno3Hkdhy7XD2+eTCt5+X29O/a1TjXlWYKt27+1
5bxtTfidU341x2j5YsJac6xs0/vc4T0zfilowYUKRoZ/bkfCowk6LR77vFyBtC1qE6+uskmMRyI0
eu1VyAW36MlkBgW3WmDmK6lQAPr+RLq5auPJLUT1ULbqXv6zPS95/hQ4PTQIkdy9hLS7sBDQomBQ
JuevnUybt9nGb0Ta3GtPk7awdmZ0ltJXSXg1ksHBN8k0G5O0B5EckFxBCzTNGQDLNyLN8RfjYdef
IlLz5OFQF4/AFvBnnfwJdmwugY8xCDkMhLuFMtNjKw8a8ipSzRb4TDOx7Ax6RSjdSdFGIqdD6VNU
4vd6RSuZfZla4iInI9NCehMiu55It5IIHqwCOt1p7tY16pExJOMR/dv0JEbWrrMGr9NovAeZM8CM
seCZhQNRikAWJ16PGNG9QtxTOT5NESwQcYk6SGGgYP2UIg1K47sgbAWDGPUS38dk3gddgUqUSrm4
rwdgaNKvOeOppUdf6URy6GQFMo9Ei3nbzD1FaFcqUIkuI6MgfYz9R8RuLDmYa30CEMgfhQYErP2x
UCqwVgS0o81PqSDDmgVw4EbtYq4yWOqUPP0a+nyfUUAkkoMpKsX3BsLDGjpHi2CXlJndaWSQ+WhH
NHRj+T1OtiGC7pwfItFy5+ShtchPbM5Sce7zF3V8VpD7yuNboUOk4anveW96DJZA6nmLy1UK5k8w
zlKJlo43qS4IqiEokqRWkj1STBo9cpxMt2VvrEjN0LhYwhqkFOcd5WE9nQ4hUr0xfP2T4tiXj3Fb
H9pePw2ZcmdQSQ6ZUhvwIXoGMZIdWT8Na1D5G0zuk4asRX5SZ6IvAeclCPzw78hTuJGNs96Ldpm8
J+ExtUD7hKfIysmkaR0x8FrUSLm5D/PcrrAQ4oxd4yVhHMPHIBAYkvwK0eV1k4Fr03IUQMRZfSvG
5UpBdOPrfNUFkXEGEqf2Bt/jejYrNwRBqjREjIos8vv2yq8zp0s1x8hbnqfd4Bf3kam7HWQCRgFX
EZtfcRARcpSd1JkyrgAL8r4As1mns6uWoLU1MvDan00BKCV5RI0N1ZQR1AjvZC10TbXbTEMFA99J
ouuh2UrtfAiMaBMMJz+HIiga1xXKNcOoVj31yp7vT63umwYxS9xsR5YTs37XMLaYkbqxsgdwpDZ2
zlWPdE6rTsaI7VlEP8PSzW9+RGK9mYfInfre6QnIE6FZtum1RcBoLj4bZrwOwy0dBrscYw/BJqaE
/CwPxkPAANUp3dZIpzVFM3LmuKnc61kj/KVEwRP9KOKjStJnW4RbHQcO3HmY3TPiwbpyrfpGJPmk
pspeDJwgD4NWqFddWB96ahyRavBGnmPlce7JYxw6N8dlaRb7mu+8SlHyWJxn+4hQ3xbkHiYzlw8/
vEQmWs0x0Jb3TsDCTctWbN/L+GjyhMU83or/4OdvJiN+kONe1jo2Btc6Nun5tZ9/hOhqqn0CpKIu
jnnbr2a2eymvEXnZNb3u2TzKWMaldLxvu2wdqbMX0TRXRcw2tKsseVtW9MWJVhJoYzFAjkRya5KN
6bSMM5a05M4iXdTBmRLPavGTtEQKAubGSJnjQ4gTvFlRdSzAQTSl7Pr+C6FfqMHLx1J5rqtfegUe
HK43m56TUjOKlaOD15Z8GM2uc50uFRr17j0orPVMklxh9fZYH2vKEFp66Bexa3Qn4JeepIJirPRr
SVDJwPPmjeU0I86U5K3UpSuz5RAyGywyCkdt1SoqCG4+eSq8IS3XVvA4ooHF5uNYkKrN7jqeEOq3
AWvd+i7oJh7nX/EQ3prtD2kWPAkHOX1u4h8Cd2xKWyEGe0xfgjghWYq3IU/dOD9aJRFzabapQsm1
wpH2DGgvuBNDvatVkUGcWD+CeMswwqgEyxYwyJLJrWXMruia0x8BgYWFidDOHGypU6/aauD5NEHM
PwVFsOYlkkIwsalxLERAfeG+7NH5qbiXcbz6CGnNQdso2g8Vra4YQd6m5RcKIGl70FdYBAxIwibp
ZV3xCo0CQuqwjqknKb2WrvxA2pmL7U4onNAXSZ9FFVoYdqw9ipZCAivo7vA9j1/SSf+/3J1Xl+Pm
tW1/ETyQwyuRmEORxSrWC0alRg4EiPjr70T76Kgl+crHrx6S5e6KIAh82N/ea821lokBVCxMgfDB
tO+UyzvW6bc1pAU/Bl/Xbh0704jOcvA9FSelJUYDG19L7Rf317whNYgAqCbGs9sBRpZFY5Fk41rM
7t+1PrD8yBdDMI6tii9OJ6W4wYZg90m7o8+5tRIReltbp07eSQ7+cG3Mlgoup4yowbLGLqyWdk2t
UI05yNunPj5ii5QgdMgch3bHxtiPNhjfJ61AYj5ortUkWwNttpSjzOtSwOL6fdexA6irQ50Fq5jL
IjHYWVGwrqre2BfjrbXIDWsImVVgLwunuGrX1j1G5Unldt8M0JEf2mibeUb1eyfA8keGUkpAavJg
H5/ru3Jm5PMhpdKXPzfG/43iKZT/tE1NOODYD/49YJyWI+2cX8RT/+r7fxNPif+QRYkYQxVHBYEU
In2L38RTfGoeE2J3NlWEGwrz1d88D/o/GBMzXtckJnMy3/+750H/x0wZkUGeQkKcoSH/iXrK0Ofu
xC+toT8f+pxd9GuLVa0isdQeWFEjqo1dg4eQdJXFSHkYL2rG+SeTqnhNwfVKY5SAMIdArBc6LAB3
yyUeWESTa3VXvYr+q3jq18Y5IyfLHj5JfeHf8kdNqutAWBerPLWOpxzMHY4Dunzn8VQ704GfYy3Z
aPdbPMxEdT6Qiy7lnbEVNtRDKhuzZ2tJ8BX19XvHw/if8nQKkw26cbKAfHm3IX+V2+CBRcHj8qdn
9ZlZi7s7AJCI7Ll+UT1uKzLE0LjXxA+0cxjXcCwQKi9kN90I2hKGOQrqe71lQ5RnzqC49zUCctK3
oKVr24P5rtvpxhCdcT+t8iU/VuCPyvZnmqG25W9zHmJkK464m6dMqDSKxWHcF05wVd0Df6lvj2rR
LHJ3LF2yD7uDtuUXEH6hOB/dcdwjXrlQit4xfzMpsEcSM8xrgAzyAtvHm1YRHyK1jCSzFJrbV3Al
cY1PWl538NgzdEdI1YrDEeZLfoK1ueuOFDu63Z6Cq7gTyIE/JK+5254aJBROXNlB6oCj6v1y3bLc
8g826k9rgzI5eW2xt5jv9NyX455g6+cBcGBH0Ma4Z45MuTana8zxjx/1TXV/HhFCfA4SN6sMTuhI
pxN8Fq/3qbq1nCbD0+3iFgKUvhzmVLLK746c5jzfyPGpf+J8UCY3Nv9f8GI5UWa04iToAyiXk7VJ
KceJdoJ4/CZVr/0Tb0t3KO5OqRKKfsK63Puqy4HzLK2UhXQZ33gJJw+5rzu/m3y56n7EaPHvHAdn
BecJb/OSBty4NJbphreAayAfHQ6AoBCoDA7vjcoFydlFEM9fOL6c86u6HLjr1TcLCfDi8zh+1YaH
ZlwRbb2qN8b44EtVJ1dkLwaW81BWUroLd23iQiwnm6lYzp8tvQru1PQhqf7I7NpMRYd8dQCMVr2J
A42wKf4H+Daky/ANIbSNgDoK8XUaIUaZhiOXzTZO/DE+DsXk52rzQwCecowM0JE5gR0lfotQH1xa
tIW7VmiHtdtxBdi3JzHLWjQkYQo+YJ249/kguSxFgbf2JuIDh8+XbYVoNz5cyhtdc0mYEta6J2SL
94hzMDf58LVjQbZlh6TI4uefttp7rCzKGyG4xrV7CpChV2t72s3i7dzRl+HnsOv86lTb03cLK/sF
KWCyfjzLy8hN3tKD+JIzT0K6s1hGCH0W4wfIy+I7LDD3FDtKLSc+4OZjFiBuKh8upB25+Tk75YfH
rjz05iJaSN/my+zsoeMwPcsQTu/eMtggd7Ts7tTM4vMIDcY+wt4wLc7jmQP77N7QnduPU84GCB4+
PyUnPofJDv4AjjT30FIv7+dsrW4qYk6+EVQ832Ftfsgb9YUus4l/ZEGznFfTmIwu+ID+ob+oG4ac
3U76Zm8BbX/WnO/ao13eHk+cSeVd3E7vsOP25TH/arhX19WeLO7FPnvCnWDRMrOtNad1wU6/egK7
iY6ON2AtufWTsI42Mir5cTUjJal85p+K0N/0qnWPil5erLvTGRO/uRH34Qt8F3rGwzF7pRAirmQS
SVQM3qlOslf9OXulOBM2MVV1iLfL4b8U9I92WXyWLlFDoBY0rNlrGvokHso7/iJrJ76QaBhImeB2
oDa4QuOwKhOZ+CL80z1Er4be8EvtNXOhP5t9SCrEkjbj4Zrv1qaWns4c2XBIYU49KTDM6tkIVCsL
p8wcU11DF3ouPsOXZo1rLHbVnF/OryHD5pXnAzJyl68L3odDYzDX5qWZbF+wM8kTOTD2/ML0wtGf
+TOhGMMBwr7FOJq9wDhofsTOLcSMEdr5a81E1of6yV0rXK336AcYVWaohBdstZ0bb8NV84prFYAU
YZrTqj/819ZIPylhugmZRWcbijmbMcjfCMzBRP6xRvpX3/9bjaT9g4oGRRX7HBnx+gxg+a1G+mn+
RCSOgxyA80/t+e9sFkTFDHxEVN/Iyeeh1+8mcR1xKqktmFmt/5SxLpEK9oca6S+H/qf5sCW3ExOY
SmZ85k1BRcQKBjd6SIuojS+FcZeXoQF5fJqBQUoX2DAe3CrXLpNK/EaQ52AjtI1iQRsKsRSN4Ies
mUOkDr1XCt1SmwlFJagiGO2uiQSShvYCbsUGIlJnh/f4R6OlfpXJW0vHGR0oc/+drmme3EJdRtQQ
WD12rhX9tf2Q0F0JW/ZJ7UvOVt8ArKTGtGdbKJVgGeKEXaIMwRCamlX5Qq7tq5YHysxpamZi04OG
1zAznCZgTslMdQJOt6XXz6gSk9sUY8MbJyJf7/rblLDqZXd8jjzUqjDemGZmR3c485j9MlaLUP0M
c2nPgGbLp5aV7omh6IrQQzILmubjHFrd+9jqs199WeaCDYlmwShhr5EYrZ2YTlwbcExROfrJ+J4z
3gnKw/3BPr2c4Lg3uheXr5ZBtG+r/niw38q01jOAN9IBiKyeFmC7rLUbDcOnUvlRojidppsQsZiS
CSiNnZ1k+F+4+UMBKSZ520YzbFtaOQZ+wSxlc6lvSh5stbJ+JM0+Vyq3BJUFjWdpPtKNimRVNsBw
1AE0aM2OUvUF/bUn9fnaKs6ylF3lUQZTOiE6nciQHJKXtrUcM/gIS3FndpiClYBdGfBh9UdpHNoy
P0296tDvXAdcBNEj3hoMUYyq3BgPdLPaV12TLB9ku4pHMxccQCqOyRy9e5dvOtoTZv8e9AhZ6TgF
Wrvpem11V1nlFJ6qoa6+s7EgPGzKPthAsjkMqJdEKTtlNbbOVK/JRxZa1W5HRFKcL/z7ockmnYun
LzPW7aRfmQbXEzLP9r8Xfz+vCIyToV4Q8YRXS2TX9PeLIRu4XzaM/+r7f18MVQSDsqnLnENTNtkV
/r4YYgrDbSOCsgIA+Wvkq4gTHlgvBl8C6DkuVuffF0NyrXTKQrKqLAWPzH+yYeRy+Oti+OtL/ynA
+kWTYxVanhONJi7zSmk8WX08VamG9r6PIy8PqPmngjCpqNLdLMKLZxIC14moxJvxKWxIATS1XfIw
Nqo+rMixmxOPcIPLORKX6jkbZyZTZnwPIz/RZOvGsnU2B+W1BkUnssdoJNqDJG6mY75mZPfUTTVj
KWLp0zG7yCOuX6BFsCPsShPsIopqO0/Hdch6hE9jIT2KlSqEqyykrX4fv/vuOVK0rQGvMG2/GCuz
/BoAYRlzGEp8McLewrNchz27nXY8CnHGClim1mcHs/FF7bvCffRZ7w6pes2txMn7+PRQ4F+2ZgnU
ivmdKQCV1OLuBaDvqdDkt7syPhMu3TmGVbzIyGMLs9hqI27j2Oq2TfFZVdJKSAQirqqNprF5aSMX
ChHTwNxnyBpkOplw7FL1eYARhwyJcmYNTh88Lq3Clgq1q6GNCyPBqG2wRW5EAqnunbltdPZ5bf8G
lmQ9hfNZV+rXlODdyFTcGJCProoHlY4iRhMoU/Hk9XGqOco0trd7dEfPT4qTK3Q9qMB5lx7c51Ia
VV8GH6g3FaizzYsuJV5T6y9lO2heYyV7MQS1eQevaQXlLQG3GRg67TBGZmA4x5nH2eQrxqq2GZMT
OfM6AUgsDFHw7wPEdYCej370tJnwSZzK/qENz00e+u0DZnouETHEdhQbQM2GtGRHo+Mo6PQeLldx
le853kHeI7UUwZJWPkHKdm1B/DKSZawZfgBKSIdDFJiqHStU22M8fqciECmSv7Nav6gYtibtTjtO
Hr8CFRwyUY6l1DAqaPD3B/QlSBO/ho9hEz1ovfdVd5QbERVBRhtyeriKGe1yugpNIZ5GBpbLOLVW
U2HQFATDJLGQyneN99TYJMNsFWrHz1DFahoYkmOE2iZpiWxKpOSlZBiptjJmYPmizY2VrlnMpN8s
0dyazkURJKcuvdKD5IyT7p4/zKVYkHEvqtCVG5OAimMxyWyzArKaRRTEMtRhlS1nEWguAtxdV8KD
TJjeTuE60QMnYMcbUb9UReFaM1fqwRw6x3OcEtKpIA5iE3Enokk2yqU0TG7ZAV1rCWVII1IOsKcn
u2EokF0M+H2D1nSK0NiWhXAWEeUXxbZ+3JO1Jq3E7CPNPZP9nhy/mdOrNET0Gpi9pX5Hv4jHWXPI
4luuXpIgX5WsCRaj9MHQHV1PODog/jlvmuTFhnktgznXrF6qd2UtCtNVV+4a7OckVJc60Rd38tgi
s/6MoHuv5amS19YQSCTCD0DiSHvzwKH6vyz1/0Kv/ldd7Pyo0GZf2swXxA75xwZbOg7NaOSSuCxr
Nr5svechwl2Fom0hprDUja4PntTC3OpCF1eNM6iV3WkQf8jiKtrVz8P5b+zKzg9J7Z9PLszQ/4fY
x9lZ+KeH7J+///eHrMTjk5mgCjR/to3++pDFpyhLOuw8RkK/0u/hLmuygUuWVAPJlDEt/vqQxRqr
4gElEtIUZag5/wGSWZ43U792Zf/y0ueH8C8PWSOtE4Cm0bRMQrG3xexxTdhjFyUZ5Ga90sKpWgit
eK0lRnxS2jybTFiZxGcq4/PcCwG2PAzdH7MS2mnb3x4x8LTiDiOFMXBCaycimFxoFDcgX43QwJUx
77v1gOtRodALvXAM1122zUlna1mGB+73kdS2e6dvVVLcghrXPaluUfo6dug0yXqTldS9d5eRIrpF
Zy+Hn3ki2IIubJvOCbXgUkB/HUiPm9TSaUiTExK6aspgbocMioHavI9Dtc0FlHvVU1wJBwxTtskP
LwyymSaFFks8R9cJSkVcrZQd5b5yRPXWCAqd4z2yKLQnLQDZwOl5+UkGh2Vi/q4LAjnh/S4YGXpK
7XOafxr5hEwtML2HlfOo1iEzIoEhK/Gz0JG+KgEZvGhxjGBEifFtJeZqDM8qcPZB/VDGtxIBZZQe
UDuRLnIbzMfBSC73NvGQzOxIP2EBxv6knYRga1boO/puUSCcId/BaStxFffK0iAbYP64iiahJxcu
moc8Mk7UDHqm0qurou2chOhHcjHsh2IeU4HS5G5tK7lbPNTRuYONroRShWYoH5IquES5uooSFRT9
w9gmwsPXhMgdgteWB1GivBcS8BDhgBHiao3Csgq7ZwtlZsPx4VTyEgqGyFIAfTQqrO5ed6WWcHgD
BjHj+AYHnVRHdjfp5D+qdkAjhyHTXtfLDE2odhvT9EmSScm1LloxXnS4Z13NxHrKaiggMpvJsguI
KGEuHZhvVhu8KpVKziKt1e4CZNhLEyHzhdo8hDxrlYhJ8mNc5UwJYeqeAw3+DxEO7E5IK1YL0DJp
zQZ5rDWniwIQIMa0VEe53Zhdq6zySlxrVvhG84AfrGbLeI4Rxg6ES9BLlYiY3oGQlpQknBCpWeIa
iXW8szV2wfa72Gh9yKiFpz7Sh6fJsAH7x85EYVJAh0GVrdMrU54fSfbclgS+DNOGfSSQGdMtRppU
aLZtEfSkMBCMWJISPJsJH7l312NfQ4dXV4+tLButA4MwMf7HZPPfuLrPMVoYpBV8rUgaMG2zmP7d
Fooh/h9W93/1/b+t7iJkQeDB2Jig67NUs3r+toViCTdk5mYSG5t5c0Wr57eZGzFhhskWaTZtz8En
v6/usvEP9lv/202aG1T/wepOY+uPq/vPQ4fExM8Etq/T9vrj6j5pcjFOXSAByEAXkRzL9xgujNvu
5Ov4DLl6nRx1ZvPFwvDEq7Jsn8Yr0r3sGK91JzqYl9KW3fZ6WW17BzjNfsDJH1xIJ3+KLz9INd91
ju6ySbhMfnkR1jFM1UX9Aj3jTNIeTW4iNpfiOtiz5r1DOz0ydT4Km2gn7bIn0nSXCBQvFOTJOfh8
1AvrVJwmSLSOdRr2dIMBQgkrY9uvsXR/PPSFeLFWxbq6Jk/F+/RWLaqT7vbr/Erv/pd3/P9QSf3P
aaMWYBcM62Fu+P36UIT73moJfUIf3OdIbsUmI85IdwVlqZbPDzj/LrZPedqjO0KkVLGc/psDmH/B
H2alXLJwoP/3AP70vkmy3sLDpW0yiheZ0RsnUrQH0xsUdq6f8BMlAc0kE5Ry+fe/+ad9/+9+85+K
SKFWWjlNTcnXztWxOhAdz+o0pyPAYAq8MVojeTVIwGo2A7xZ4E8NaSssyK0KqmkZnItrjDzkR7KW
fKj0ZFsFW7V4Mi/toZU+ZO1A680KgHkNaPDU97oAFMHjXPPvid295omHT4sYK77L8B/ztKP6Vl/u
L8b2WvnI0dftRn4CsH6IgO4IDvtXL/wAgImeXEWi19jaTan+zZuh/alE+nk1mIouk+lH0aX+eXAd
l6HYphRpvnE3nMcrk2vZh6Cc2wpmEis7WB8ZVwq02RbfOUIa9WUsqQ+SY0SqOipZMMYQlM1+FYCl
kpONwDib9HXVjU/D4vi5Jf5Of6wqg4ezI6XOEDN1GpjgEZB7X/ww1BfA2V1bQp57QvmuMi5clj1e
wmQgXccdhte/vwQklFf/4vL7ZcW05jPyS1EopfEQWxIAefa8pe5kn4CjDvDVmMl9JfiVmOkOGuuJ
sBaZOIa79IdykA4qUsr9G3taP3RNJ/anZbyOXQSIionIyBbKxYC88SceLX7PSS7bDl6P+WamwJmu
tmqWGcn0oQdUa8UM1pmDAFEZOqLNte8YTH09A7+FcRDX6TXcz/g7oIJrcV1tC/4BurdVTypMI+uc
bWWf8DEkBpVj2l/airizt+SMw/+bACa2cJUW760e97S6aNJyJ3MNZkzSglvcSJup9sXWMcd1ipAs
LBg4TaY/iIObkGLjgYjL9gYXXKi4LTtO9lrp/u4/hh8EhioqHXraMzJUU7dT33mE2/if7OysIHhE
9Nzs0hGrQHrN4bwK3bbILkJeX7raz8jnDgiX1jyp009oaKJPGtV+n3yJ6IUTJUVwl++IK5Y2gS4u
H4f0pAfX0FDsWs+wcG0SJN2kEscnAb5dV8hLrWLUawrvtLCIgjNPAl5INSLf/LstPjLiAt6a4VTB
vx5kFHuscH4jvZYc+tAwNTteFPFpDgeM6T1k00EBf/qwTpllEa5H7XT3suQm8KpiwGTUpESTM/cC
yNXtJ97M0jaBkaOEd1ESZiM6IMFO+YIMxKO2MnGog418nJXsUgi3LD8p1snSDpVwgz9lrAd9JzUv
jC0SnDTqQpBs7eMe/eA9sfJdbhyzMy7UieE9pbH4NN1pze2Ax8cM0oNLlnh8QzTnZK86chIBTvYE
dO0mjh6kXMJzid+vN3BbhJYpNDjFBytccuNr7uOp/WaZww0zSq+ryXiz8IrFeWurJLmPrZO+6eEq
ET8fvTciNej2SnAJxwt9NCzTC2A7TeUl5voBlQD29CHTD7RAtEOZXQ0R/wRr2tlMPzMLvhkwP/rm
KVDzhfzdlSs+oKBdj5PYU7q9hHPY57ogIytdE0BSOQVhWczFnyJtye+tEq8Hvk8sKBUuzOwFUuN+
OOWWWw52IaI0ZNZP+qIqvcbVU5MhY3lOJ/xhncZIwvQaLAGpr8exIw0/MkVajRn4uvlNseUYskmK
vFi4aXJ3CRAvlMIV88OMtxMX4ZcZkqA5arA7u202LslvuX8gCs36U1+5EhJxlBdIvVBmQC/uXA24
FovgA7VPt0o416O+y7WZxOGo6rJWNkwcIoO4Hk8JV3R+2AgmJ3WDS7v2A2IRP8ZNzUw/41lQn+Tl
9EyGQM4Jv7upV5zGDTiyt+KkLscVGLgWRTJbi62+RIaxTE5040B2LaVdD3CuJyYxeZKuwBMQIEw6
AmEaduv2MS2+rK24gFm4QPLpFcvoSv9qz7DcxgM07dIDSTJLcy+t5lbcUtgYZ+1s+rLf8sHYSx1x
o/mNU77S6GpuGVHCLxH2twM/gJ2UJHsaCmcYp6/quGMAUpeLeWCt3LJvGn8uI7rDIAN2bb0hvgAS
Dt/ufn2Io1N/3z8u8dLyirPljoxQ2Gg6MB2Pyb4hSzXUXUN8C59r2AQzM3JaNc+wWmCLfpDNsiK5
vsy9TPcepf/QvSa3ZVqePHvQ/h160O47Hp5AT8bEFpCzCAxu1kWHCUk+dCmt7KGf9bfkJiflhxau
TOkDTWmtn7PplCquhQIWNvJEqIEtLguse+gBi5egPvWXOPdExc4D3sjkDZOR8MBqQ0jouaHtm31w
XQidawqbIVrHgydoFxQM6ODj4ctwMvtLQYApQcpE9fxsdAS/OXw5iSyCYxYrbmyerAN6ZNQCSDJB
YtijRtqJMw7Xgtt5gpTTAlXcxMmhuz+HZKKTV9SvGp4H6mLEJkQe7eiL3Lyp36vLofJy0SH3AUnw
3WIpo7/udXcvbfFizazCIF50bx1T1ccSMKsKDnvWV9t5vdbvbhKv2UqDhnwWdb/bRUT6cZsrbqZs
zP4a91/j/dyVW159rmQoi29tctDyj6I7yMKGW2Ce1lYrLUcTSiLnl8WTkW4jbWFbu8rbe0dC7uS+
F4i95B3OivZr+OY1fqEhfSQIeBwlccm8ogSqdGrsR+IrpUeOUxEta5k/2HdxIdxK6q2zICxrEIvq
MmZ5EMiI+u4NAvwGG2JZRxzVwfwIBSfkPofjGPj3kC1nvkAKc9yeu2+cafg1TtIVmUnPpY5cIn7q
IIGSev8e3vKv8JjntomQyg2/ZG8AZflprJttueWu82CbIxwOwXre7ajB0uRJNKcR7h+pZYml0X7w
6exdGBeauOTLkFt3z81HeBh2dGER7ZzmrgXgU3Qjh8LRNsaLNY8lEGSDhFmgVUoHR0Xj+zb1dkxy
xAEx4TWJCLpbZBdiwIP8E4Ap/3avWuhK125PT4bfywIgOsHLHl9XIh5y4zPaNC/JtrpQ6BUxRorF
+GN8x0c5fSLIJ5IEDxduFGM7+vKT4JE7utA37N61t74gxcGh2xG9DLblF/t2NaK5x7zz8AV6U1vZ
WopE6AL1zL1c2CnoZUHPMpDZygf9FW8TjrxgZ+68s/qivZMfQDWsPAsm1MtRWz3KD6F1YIvLtE82
jOORzqcsGAR2JL4qMlC3ceIl1sqSF8WNWguTjHrnlrazB30k+/6WyDYfqB9Lzkn9qaCZ5tZXV0nJ
yrAS7k63qg+FddIozgv677ycxMUxYqY+84+XeX1SF9T+X11hO/cPxt45mUSDTwZa3S/FcmmVXpS4
vWjzX+O+JJTRRHWoOmlPJ2WBDUQ9KH58m+8mXE3gNUMvJ1M6tydW3afyWXx/vNQ/8mP0BlSK2MUJ
GTXBVd+Rj9eW2EJWmYZnLDaUlbqxLiiClv3pDs/5mHwryJT8O+0l6iTy2Kc3VrqMakiwGXELhRcM
9L1dMT+RlqYaF+o/xtP3hqj31yk7pkj8qLYfoWdOW4WbymSFGJxE8YodJHyEP2l31MZ1PsfTLcXL
XTgM4al671+zDYcEhfqxU5/UHTshc9F/1XfbeKtIc3aHj9Gaz6H+nRDghawgW/C4cx8ud02g2AHK
VOJT3ia7QFE0t0u9AjBztlj33ILqc6E5k4GnDpDuUx5sKowOk/A5Km/MQILCGVW/lOwmObXcxjrE
gPDS9guBJ7HXPteJPd5wiRBxH6Ohq53glVsb8mnro5ZgyvPY1eMivvVnTNK9zOxlc//IkV6y6vKw
CjaMm45x7LU8yVWahDZnQ1Zs9QtnH6MTBF4ZBSF2MNusHfQYxinL3R4715ozG38MnetIYMmP7Uv2
jXnu2G7iQ7tpX9Jz8SxcGB1pX9kr0geDCy/Y9T/wozyY7bGoP49n5aq/hrIjUUOZyPfnpzXXTF77
OIX1x/K+Sre5P21I8plYh1bQrZpmxe0ykIsS2jiOtRv6mVQBlcYSTuaJjpQDswOSh1uXL3pAtGzY
SNmcvJQ2Qu3WmS+mByZiWbQEQqtEa+saCH4e/nhUTmau1ftT4eCyY6abL+p631/SbXyK2bIVi7vo
ovUkqdsUCFgnyAfpLe08fOwUIu/KqyI59Sp/bvnlqED6C03Fu7EqmfgmTvTYhDyze9ZcRMRO822M
zkMCRmrfaZvUft9RKiBrVhe4IMb+Riy7eVSPFKS0ymtbwW2r7bVqG8ler/oBviGtZFC+MN5rHQON
TRadrs/IXTO4tJwWxpylaxGyZ76qkW+EXjHuzHJFxU+ig7xXZVcgYr7oseR5YYxTGPMkHuyLqDvt
OgJJ/WGgU8H3IHrKSn9iQsiKnAfHRnBz6SbX0NtvD+Zj3INS8jly4wCFyp+qyoV+HClrTBqX9iKG
b732rlVPOlfNDp9z8FQKm5/yyuLEOEp8idZz8aGexY84u+CJVRH66KE9kEnkcduil4xBANKMHiQP
FhJ+qKPGPqw70kzgk8zgZWFGgTtM4JXCrhrUUjGlzFHoOl/rUFjNiaUepcMd6xJGhU1BBdsCrI1q
RysrRyb6fZDcfPACHggYr/q3O6GnxdKkc/1AtH5Hqoz3BwehrC3j0LHM7ZQ4Ggvg4kdessXxiZ0y
ycdj7tjtVcyXuoMNnz0Y/mbHGkSCIW2EqGmKTtpehthtltP9eSJ/vZKWeoVOiRLnJSx3Es9/UmXN
x5IH9d28gZGMSxw8PusON2F8jKFopCf5Bqne1L7HbUWofXKW6aqj0MqUWz3Nv0V/VuqVqlBXYaxE
BGbsECI/QpS5tMg5jxvq7haV4qcZefineI5SU5yCl2RwcuYwwJVJySZCKOYnr6nXOLtWd6I3d/ek
Z1KWFMlHFKV6GuNWbu8UBHf0XD7W1uODNw51LNBAosQkR0mlnYrV5p46CrN9sX5rVVe7UlRlJpzw
F2V6ruekv10sEpEVnjsDIjbaLYDe0ybgxCGkUrmG/JG6oJeOgbErdlNy394lR8xsUblinSwVhPbL
B5U3/Sawsbg4b1353OL1qhd94acvuDojQOxUihLbQ9lFlTpkdimS99m72eC346IpvpXYnbj2yFlk
d0+06JtwQMpU6jeruhkH5hqS6ipU9K+tsE2IiZaXmyDyyJmMzUV4Hl+YN9ffEsD+/KTR5jAB7yP3
onGmblthrfZIuW1lHU3zMwBFe76M84rspY1Vhz6pWZ5lLUgYw8VDB+6xbH5kwU5vtspXYscd7Dk3
epDbuBi3Zy7B0jstLQTTJIPJbKOu7CRo30hkD/pPo/WDhXvKfbQalF48kMMzNiuN5wjUm1W9NqR1
sYCRuMALtV40F7YuBqPAYdFM1P8wHF7HV2q5ZDvgyFzev+jgYuYiWVA6IQxf1MWGcr8OtuLdPVOK
yurKckbl3zQopXn2+Zfe6K/NqT9pJFXNJPxp7o2KPzq82FfhlSSy5gpW8UiWhtLh6Hekl/KEHfuF
dwZ3OBL+aVmfk1dtg+Z+Q9zbUmB73T9NL7jc+JLsLLBB9dvdyHv1ojuhO+7SdXSIN+U6PeHEe8kx
ii+0k7ITAF7hRV8KLueWtDfLxhH2Np2qK9gAqk/PxCm5eLzv8S3ToHSDzcM3ojWgM5c6Ai+Eyd7e
pe6ynGKXnJgugWl/Dh0q+n6DRocaxC+ecVAecpTofBKV5a7bsXd+jtzIZWVjBbtxivWnv2/7Yef5
+/M6n/dfmn5CV5SRmnBetTP4gVV4ZZ5kzwrpqltoB6wyWObedNuJn5RDsx93wdprr4aHBx0Fgce8
+AqIxGVqNwFeW4w744ndopuuBXwK33TObXzMNj9jW5JHDVUfjMUt2tQnYT3XhjviVPfmpv+q1tFb
51vXxJ3cdpujZNd8zqh1UnnALvotFsXDUX81P2gTfjWt9/dn4Se95ff+N0A6MpIJebF08HSSgpDi
j2fBwpdM7jmWUcaZd2kZeR3RPp5GlZph11+k78Onfsqv8RNeU+zB8eZt3EsvBhvcYVE/MfC7GX71
oR/1SzEusLwq2OB3zHFJVVWpI7AA/zsmF9auP7xzfz3mP90RYZbJddBwzPF7siJF47NzzHV27N3w
qfO0c+N2XrQtrzy+L8Eb3bJXIVpwz6AxOiQrONZ2so339/1lkt14I7xmq+QyXLrtY8t4Pd7jDLLw
ihOd+uXDeNy336kfLl5qd1/sJRqf0fmbDd92BWZ6E/pP6Y5HyaLwVr60rr/PZrl4QURjvz8/y152
RbL6nB8Mv/Gkdyoa8HhH7ALr0Fcdy7f3ptetGwcJ0Gaf34QjZUyz3WbvoKPzD+EWPa/V7bF2rXe7
c4MDD7nQfm5WmEHsYqvTQz6d2o30Tx3L/xcmNWs7fllv/nl2Ac9aM+2Zi2Lmnf96X+SaMBRWTPtf
QLyGmAHWbUI2zDJkFXx7AIDGR3HMUNPk3C2IEqbRk4mefhNTz7p7ckNHcj+AoahWJbX+NaOBpVPM
iPq/QTeiYP/7I/35Sn65g9OuxFDcM7bSzsSy5+TVyJgummWyDXbTeablLpAHLwOXD7y1c4IGG9B1
vQWZQzQYuSjw6lLy6J30e3yePooz3eRuSfLQzrBph96a3bAaPsAq+cOGxOdv6WN+8tlo4tz/x915
LEduZWH6VSZmnx3wZjGbBNIhvaPbIMgkC957PP18qG61qkodUmirbkUFmQaOwL3n/uc3+ATTKoRp
7XQXiiEnI6f6kB+9xXhLzs2h2YdLJGes5V5dpzwVX9rJPEwjbbXSwTUW+sq0sr2CvcM82MFd28wW
0qY/mwt3XVEQbIpdu5KfuBcUu8J5x6Z1uaPJ3j5JPkLseTlHDpS/xf1cd4qj9AyXUt1w09+qd22V
b4Yn8xHvSkR6Tv8sgi9wlvkkyPMOEs1FmOT32anex1/xS7aFA3mIz/rN4xk5Cmt4m+tsRxlIuS/B
UVtj5Qumeab4JvjrxX/SyXTI7/orsdcHYZ3Xtn5k6Y1nc8FYd8i26PWYL3bCWVwCJVTDfGSxGr7N
Ntm1P3ivylp/N5hE60O0C3FFK5+0HeysVYW1tL9uPsGTFriIT9Dlc+MgIrP/fMD7n4PHD7e3TPP7
x9s7LfJwkEqFyfxYPNEoKVAI06KiPZUfyW/b6hTHT+1aQSm3Me8QvtU9nEp9ob/hMhGoC20ZXU0n
u+Z3+aZifx/v1BPr0S30OVKS7Hj/58dLeNdf3OXTU/DDXQ5ho6ujiLvce1Is4wylfThnW21F448+
0j7FnrV8aV/VXboxrI4mMtXubCcfk4NwmAY0cprIo3tqn+nxkOLTUx2IAuPzPNpBU9/mW3guB3dp
bNrYVjbKTXsh6NExNvJbtmMlTOLL9HeK7upCWrKM3xe72kHc7R6HXb0XliW3S7LRLfmyKClUP+hQ
tDQXTu43iJXijp09E8VzIq/qRV+TxLcV9gDiFOHrwpZXbIWIpoHMKCCTlb6afoOGP69sfUXSK8gv
AMRSYfsMPGuaRk5tgSUtjcVsly38LzVEJjGp18i2nb2mqwIy8wfYHytyH7KnNzc/ATfR+B15BWoW
XVPsLPQdaaDTb8lf9U7/6o/1SyN71laNLDbfO+mz60imJnxhY94/HzUaYPPsTlb1qryalr8k6+wW
LvVD8tVdwutw8mkUH7RbDeWghpZVznlgdy1KQqaH9AyLaU/7bdKrbZUPH7Pd7uZZCPeorIwLIt4T
CCi+zKVqfb///pnEF0nQBKYJEbUTZp0Ti/9PiC/kJfCBH2iNk2L71+//TnwRFVGaQjd0GdapyDd/
J74Q3aFr6n9U6JMH5m/EFxTlomgilEKGTp0+9Z3/ox2QNBL7cFsxZcFQdFEz/g7vxRD+sEb46cgR
t/8yRoR6XXmSWq86Hbke4+Z5OGtvpS2cEf/ZFM9v7YOEsDkI4AKD/TfpjGXBPCQfTjy+uPcnAS9F
ZU9+ma3QpXnynoUVasI1rHjW3OocUTe8dLSEqrtsrK3uLuOXyunO0NX6I/oeBwrlbKtgIPaevoBF
CW+VA+8RySNax/7IuwgFezrqlVM50p5tCfoBXSLoF4c6CSZRLDJqrWUy1CbE+cv7JrxhgLEaVpzM
CmIFAE8Ks2CJLF67l2gT/R0B2DlCKMSQmUoqGT+xjcrBeiZ+odmx+r5PdQpZCmCjkxn1kPZI7fVr
JDALr3inOxOvhttHf8wfHBR7QO0+9AvOVGjt7sz30LYPK1XbzNZIJukMrLB2ZADGIwUXNuHMlwOM
l8GolS3wdMgAV1vpS5NbxbBuTU5WemMrxPP2FIEOH8wfEXQQdZ7Srztz/N98QrJoc06CT+lNvCp7
NoLIsj+6XzMGUg4a9qVNspy/yzH6mfs7PiDt2QrHUy8RcJlz8Yqs82U8fj8szvwb2WxchxoPDowG
ic27ItOcdkNKXbnMH8NKlhf5YzyyCYQBUgslQdlXTmlzsOKNgLUra/705JXzEA2nOP+uDBf26o5y
kBeHQ3vSTALKkHV3K9mm1phU8f2pfPVfZJsPRdv2pCywOUM8TrfqTd0haL9jWUCHy1buDTfjHpTv
TKa5lRHYpjE3qYAfd8Tnxnt/PWoOPgGEdyH/tgp2gUYdagaeAcIeLAeEYDhEW1Tx+gZQZzhMcvnC
GTccSdMvpGqeIryVQO12PdlfECuEXd5u/Zdg4UdLfuo/++sk/+9WbMNEvA7gwC1PdAFoJMVAV72b
W3lqmOLVgIfB5AbwXU4PtP2OA8wcubutWPoSE7+dtGjxEiAHETNSc0lYMqYIbnlowM3YPtVDvxAv
ON1KD9XY1BrBcLD8K1bAsAx4ZCRb6u5oAFiHmA8sPslAq51quUMyi+ciDRSICA65jVgI4Wy2Nd95
QVpoT/WJDhWHAFCzKz+7GvDSgoevLsdbugxt0u5DrGkezdPYrCRMZritM/AbHZk6XB5cUmzzKL8I
wyL1VqpCKLzljVbfrMpqzSe8i2BxtTeAKNj/kBQ3WWGhCWgw/194M34G1JPWZbTPOgxssGQjJ4PP
8F8EF8CcvsIqhztUgKw5N9+1Ha+4yyxYcfxasHCXlBQ3tlSgA5xkwnyTPSUvw7FaPuQ3zljYZC+T
/+fboK8CEkIRv4cOTXmRC/rWn4ejYexx1g3X6iIyueQOxkM6TQSMXGyjhiYLAh7sfDpT/QGXLKzN
JOGpki/TRWzLXUAgGXwLz859Cx5r1lj0tWQGk2TRYwJFb3SOZlnUrV7e58n2xCYCuGh4HaQ3SqL2
KtKzwkbTDewgtAuEgaRxExs24pJ1Uz5x8EK3igfe80giXf4BOYH/sKdBDV9sZuN59mVcaYs56mgR
ije9jNuUis4oM3YY1wUvk3GSv6+eJxxU9tehQ5cGkLKcQ6zaNTEC9YoUZIzwxKep8xh+pSuSuu9d
chRgYpP5V2PpaSczoriJ9D7zYCwV8x5HG2+nbRAYKdwYyz6eJ7di66+aneqE3EKLznYfCW5xsXd2
HyF6H3Tu6OLHVwLfMtsQdoj8cSmxc3oTjEEWYaJODs+IK/6GwQbtklXpcAK8L82JAraGa/Qw1qxS
7hnvyXdjzfcMku0xarPrMwy6eCXiY4ANGhvJnXLCSNJF8EJ6XkFWKV2d6OFu+XA2fUDcuwYdr+9h
feq9PbPsBK2lU0J+n0EOHwdHEzskQHPyJyBPj/IUzGVlfkWP+/jGXTDn94iGwK5YQqHortnU9Ua4
ni76Nw6NODqgwPqs3p1xT5AfrGx8D4RqldnkTfOnWkcAlZ7VYPjEHyCM7QInxjmn2ROVhxuUk8Dn
Ok4mDcELh9C/jW/6l+Tzg7FlT5w4ZuK8AYO7dPiHFnN7/sdWbpMqgzRzZcqwosjSJm/5P6ncJDD7
nyq3//X93yq3KSddJ+YR7reASuhn1acqCBCTNfQlAnJ3ivnfJfAEUk9EdsFAyWJO0MPvqk9shTRk
pKakSRrI7N8p3cRJEPMD3AIl+udT135Z3lVcE8mUgd6ytC+RJwk3paa3Oxp4MbYpD8WIR3CZY7vY
htE+ItrMUTtx1w/JZ0DYZyx1cCyapSnhJhe4dOjrklxi2qLlsuz9hEV4DZ+vs5OhAchJSRGN1N0g
Vy+RWmLJgVZsnieGguJiFm/KfubbYQhYJkhlYEk6femuyTV0pMrrUI9rHIaZe2pIjoTebroi1udi
ru7i7BZqIwo11ZFKb4n7RNH7b1zaeTbLnhBhbOsS4DQTMFIVihl9uMloLS76eiVFs7sfnHyG2yRu
Flpu7ApVsUfjGX2cpQKtBv6agPYqdeIZ9YmIa2VGVTNGZrDsB+MTI6cFLpQuIRf0fVNLqpNVQI5p
1AoH/M32WaE4A6tSRK/kwZvAzQPaOBVPS6kDo2jhezXSPZyEEqhnhnlc++sh9bCGHNvPIMucXADI
HFhUIiAv55pZL4qgO+bdsE2Zv/2UaDp3J2Nv6ooe/YchWXclHjviqVUhLURxuysqFSDNTTBSzFQo
HQHr1V7M8ZaV6fjLOtpeH828GNMIIUMdj4iNJrbM/t/j1RWQd7pnNfXpjIHN4KqQxq7jiooLjhut
qr5lAh1Rgg5VjePeLIrPhitvq2aAWFyV5z6Rn+NkchhtRJ8ZzdxFSHSHtu8sQ4aWpiPzXQ1FTHZw
YL6NLjLboUVHE9AohqwUSRjUhgXcAvStCUCfn09OnAhfk0kC605iWA0qG6m5MXNXjVbWU8pbPIln
/UlGi/YYP6aO4sqlkycmawPFrYrytkmNZQR5rR7ijQujMEOhW6YPH72uMgl3xyTZuTGRV0P87E/S
Xq3p7gla3xjNr4L2t/LwxwtRA9eTLPifPH6KSNpNROrSlB/HmPQX4ycLyB9WvgxCf/j+7+OnwWqa
/yki2/9J8qESN4kz+aS+nEbPH1a+CPpY3Mo6gxt2a6xxGVp/Hz9lxIPEsLLwZYCV/55qXv6Frf6H
Q/+lgeEZYTCWoSmuFREfd0NOkDLHPc4OgvokoEMV4RPU4Zvu0ULVm02t94dskKlhEdQqr1LmrQsd
6Ual24GwIul03kBwkLGt5emdp/Ep9S8lY0WK3aOuftHaUofnxrzV41ML80k1nBb+BRJd7ESuNSI3
vb0J5b3DGVvyzxr1oTbrMGLcNfnn5EAMC7UPGBYzUtsEVhlPXfhcAfsIF9dDxQfrStgq3UWLzgO+
/7X82eW7KBF2VZNvEeXQncKtVw5hlI0VVYTYC4Hdgb56ZX+pcspHU9fmKTZBtc/xo0Zfu7r83FYU
T7P+q9bxDCtiB47/U9WZe2/GcsMn971FtdVjtpH36THPo9YyXHdTmd5RJHVu6IOdOYxOOxPXuLUs
paRZNAkL5qzaBGJ4cYk4ojyFYIJjM9RtD+4D7L4Zzeo+ine18u57r3qpI5KMrLhE3z3gddKk+qOP
c4ACkuK78tCW6iLNS+h6HiM8tkAqCXsVpnd58Sk0NQRKJV/OoPvogrvoVTjZQ4+vbsCaL6I6S1qH
HKR7QrdcxGyYsZIcIuyaBfFZK88NM8RQeMcZ7ihhMe4DGZuO7kDgou0FMzhV4ZMrIq/mwuWpM5Ph
NUx6x7JcdxDmqrQ+Yv0dFOuIFvvoeYtUipeZhF/s5MsiEHttLqqMJEp89txRnkcy5gnSzCnFa5Nx
xKF4UhA9xiSIQVaL9IqR26ml0jIHKDxk7mkeTCp9vOgBptOlvI/gepjerXWBOjXR6qTBEsryQ8a2
26/vfur0cuX0w50oMqssT43LeJvlJ1WGy9ngPF8Z23KgMJWKVx/+E44bTlMZt9lEg5LyjWhWFw9a
dF1Bx5THfWh6Z5UkTcmlsSdSfqDZ3Ix9ANiS82AMBg0rlkmy7FtujN95lC1bQnjmKSQboxcOMVBI
lsRPfhY+J4h4v/6xQzHqGUZEQ0ZVBxApYq/0p0OxrOqAgj8Mxf/r+78NxRKlrCmo9OXYgWpOvdzf
QEjpXzKJv5PeT2Ro/e5t8hsIqf+L8pX+riEaoqgyHv93KEZ9B0hKqimDKBav+t+KC8bTc+oM/t5L
Vn85dHWaD37sVCAO1HvV7QzAhA/QpmOWbPEr7s7jMbdpnONw4Yi37oJNIwgOtr50WlEq4/i35RdQ
hmat9ZgZryZTxvAlfxU1YEdcJOmkaYrDd9QAg4tNSdLWiLMg3wW76fnBMc01hDQgH6wV+mSn7lR1
h/V1i0m5PneftHvbWozb/kYBs6SpjfI4CdFKOC0y4kt1KT/NRzKSlrmSHDADyE7MGuNLDc92mEvf
yk2+0230Wkh1H/kumyMeeWXYLF/Hm3YerP0Nh/jepluamjYoxvApqmdtlz3ccTseHoAmJ+FKiOja
o11mdSdQ1Hzi9EQUhPNoLd76T+0d90ZOFDNIzmGsrf5TvGE3iR8JFpjusrBDjDs88B4wyffytT0F
EjQWJ2427YlvqJSPt0n0jHd8RdWNn6XyjtNtV/EV6V15n7HmhUgKb+UTl432Vp7i14Y4Iggd2xbG
fbAO8zm0mM9xB4OBuAxxLe4i2GFbPMPbTe+umJyCZJ1I9D8/FUytqRvpgXJlEaUTNS4s1CXqueBF
6YEyzhMZt8frfdeJxxLNBfuGT9g6bDCaUgBsmsYffE7c+caFTVdOstWXerLU2+ndGKJ/O9fEjY+H
neVzG2SLxtg2pqUo54q0NQP0zduyTVDEeMPRlJ9lAF/kog0osJ8UtHK8BBAXePMjmU+Nt5y8SptD
u2lv/MDu2RMH3t/YHQupfP7Gyx6uEUvF6luLY01lGzl4u8Fs81PccbrTt7minAxbFHd8tEQbQYdW
Q/w5T+RVtlVAqzHeA0sG/gYgn0BFuj6L2gZQxVURnwwC44M1oPiYfLj0Tmt9Nb2hr5TYCRU8CeaE
9u3xpzn5aPzOyqJOb8UK4j5oCUkPm3ahLKXmWj8TQTcCc9Ednk2JzIm5TV85t22/gZ3NOutQbiWm
rGAHqxRsms8R78GtUk0QbkYPikmLJrVI94n0r+NrOnsBbxRv7Slv1iMPHz3QdxxFgYKTdY/me7C9
/IrVJ3eYbNcn3Vwr8PaxjOxAhLEcJQeuQa1j4SrIRfr+Dj/3nypGAjzgk6EpTyWPZGDa3UUpUAOw
DkAwtRk3PMK8wECA5+uWG7279KAo63Ej22ysfG0u7hMH1F3gp+E8CtBMaMGKlN4SRBjA+pOnH2iZ
LdfLJ7Dib7DeKOxSPAA21UJY0VqYf16v/vy6fXoqFtQ/C33+9lbM37gitmpjmHoRT6xnWpdw8Zeu
2nb0EqX7IL2rp0ReBwWhMdR738TPaYr2ifyb1t2Ka6mQQyGCq4cBrgMgkeUezF2MNm8KBy+sasQu
YGUYdveG49r4XdKm9ecMfvHMguIPo+9L3fafJQ9SuvCqZbWo0BdKK7iNghO3V7KeYntCtObSCjt/
p5StLdrDtrHixBJImBlptxYX7ktoO4yaM1u4C5mVXn0cylbYOiEaKF27J5AXlR7NnJUa35pVhTO8
k15RmfncHC8u2Pg4b96L9tIG78FFSEgA3nm9XeHq2Uo4DPs3RkJ5Z6wArAmHkHTb8MFedxU6SBiH
+3Tj4cJLQAxs43m1YBzNMbH/xjqXLq1av7TRzmN5WuXbIl1gouBKjqLb3nu1yIZFWWxwMk6lXZea
lliRo/CCY53Z4+TAMO7o4cYgdgitkbwHnze33SpdRovu3uFYxTXjFjGXWU9oz1O6FpEsumu0uGpq
dyfobPWNErsZXwPWmpjz0MWSuo+q5FCP6fEC1eOo0jn7MKtTqKyajiCSUwkhlsZB5IDKzkBPAZgx
ro9oUvCofLgCkDE4h/np6U/jgVs+h5eaApToylZXnaFdAELLe5FoO0MiIJG0xjVMkWKL/RZPdd8v
AMZxXu/NZxb/BTcHT9MiLbIVZ+LH05mmM0wOhIU0QNbk6S5MyEqMz5uavKhqRGKJmlTexzzAGKgW
xjxTX2elFX6qfWGX47NsrKXyqXll1FBYF3n3QPiG4xHgfwruPi1d6JEMANRUs8Fs3p2qVyRLM2+J
EROzU9ztuhPzE6K1SeWxAMQ3wEXfhuP0f3mP5f8Cwsodgr6HKR62/RyFQx7vXb8nL8Vj9iVsAPhh
LXuLGf3uZ3bHQfcX6eSt4i0w+mQL+kjNrXQ7dScVLzNwAA3EP3kJaTB9msF6elPDomuRPO5IxCyQ
Krz2THkJ7KrBEKiX5fz9FddYiFUwkIguCTdUDxbggjr3D8MuXmutJb/jVdYeKmSHV9pfcUecpy3f
MTg+NwVME3oA1QoB0CiiNYLBCPALMHvHIogOaIncrX6Sgw+wKHkjYKo7O5kb4yC/Fpv44r0OUGWa
zbiQn6wonw+37BXdHaFJ157wI6wLX7tji/nwF77wpHcRnMKmJX8bho5HB1EjDmvB+/hQVlOrZiHK
L5BN+2wh7iP3zVgr7lIusB1OHuDVGYzUWtoAcEPJwFbJ4myqZEtHdPzM1sg9981Rf8cEWHg2Dt25
xbJbFHduc1eVy6zb9iPRMd90W2hOHqMl1ReEPjI4MO4GoGaAyDrmPhcfuXffPEjediajmonWo4VN
CXw14RGTK8KgE1694ZQzPxHNg/LyW9rR/dhJ3sT95NKWsDlQ+WgfLR3Kt0G5TEpepo46uas0pxRr
KklYOryW9a2kx8sCyD+4T+b3Th0D/7ihQBzeougbFU605e5O1hhRKlwhj4ejk3HLiZYCenmhtH0Q
McGHBj+cvQoP0QCRirfxvEOBM0iXLT2+lSV7AnrJVANC5dHSkw5SkyVMfmwYoNFxwLHN2wQ0wPSC
dRlOB8vO7ohUS4nIqDfodlwJs/JPBo8WbqAjonNM7iFeaKo/zB/wQbu5u07XUJ0bgoCe47PLQWsf
JUTYNeqb/G2g+zJF6CBUJOAIIcrzpCjAQt2oDl1fICmdLfJ2gUZOsUV5rrUQUZXlsO5lWC7j2lMg
Rgdzk5EwQbPnieRdOSP8sUtqHGXhWyofcmELDZIGg4b+gZsiw0OHBjfN6L65qd4T46zm1OIWS7b8
Os7eZvKnwDUl6OKKjErGiOgNNCFC8B6y2+6YYgij0gVcu8T92Og7cHWOcBlmkjbJvd9U7qal9jYt
NXHkjByJhSfjZJEzuGpLd2TR+lUyI9m+sIiYwPmjU1BR/xlbxTsgouEV/hV2PhVDxUQzfV0c7gL6
SXklZiuB8DoGb6p2ngDKyKzlyRxhBfdatkrKVwFkkeiGnvvsG+JLCHGMzml7zQXKUuw9YBihoPUd
HFa7tYJ6FemyR8jpQqhx4d/N8O+guZUTKpHHz+J7fSmpgCc4fI5fz7l9TZGXLjMyYqxJeN852iX/
oi1lBa+NhEUdCiV8l60BfUm3GLbwj1Knosy14nf/nYlnPFcvxHrMxJU/O3iPtuCILs0HuDaQuF7O
JRrSb8HtQCTKG8AyOTPohUkMHIZtVNn0g4zJphtVcebaBBsZMPgeJVyuz5CIJN9Sc7BiW6SvP2Ww
WXJiZ63lgCep4woZp5tjIblBSDyj3Yf2/Lk0F0QgPpWGLapL3bDK3o5xGXB5Xtb4BtG+IrrcN+yQ
6DgGAH/R4lZXo5R5h87KWcHnFUgWjN+8ZDnmh044Db7dNzu2g7O5vzYdlF0vpF11O7Ow4NG/Mht6
wxKjRwTX826DrsKCFmhp6wX0wo1Cx4yxVs4vESxRhjZhPoorqb9W2kJqV/K48l7cZ2TMETRKnn8T
3srGg4ybfQzcMM/Cc7tnGNwMNzOy3a2Lx/jsW7gNnXyPnCq9585gH/R9dEIiHVltY4cI6jpndn1x
desFoss6JVLXEu/FlfnOXqM8tWSiZwcbAilJIotmK3ykewYnC0Hrmjwc6CRmuqQAhEQ6HtWrtkoO
SIc3LuqG4Kifii3u+cgszuate66/eERHBdJZvC+28mf6GM79wws3VHVnIDzzpr+iy0VnxtyO6Z+o
L6TMdpuT5m75Fc6MptlIZ1EogieN+Zw2Ai7Bw2yrissYHK63kH3hpb436sTucUvgmY1WQ32WV/W/
E07/ifyv71AwZl9gHGAw+Mf+JQr+M//rf33/N+gFqFvTcMaRdVxgfzY+IlGEPapYLumCLP4MgmuC
rEztRxqWE/TyX+QFfFw28bIzeJsg+4n0+Td8j37BXabjBrzRBE0DHzIF5RclgzAMrjLMQnk9Gh5T
ZUSg1YJeFKGAFJv1e82U0A7hXxBpv/PAf0B7/n21ZFPkzPCb0qRfQoezsAqUxJhJpDvImxT0lNFI
B6GMF4aRPolVsmva8HmapD1ZmgtpdStL8xyFqAlTQuqryBKw/WiKudAPq7gsHZ/V8hhGSIkQ2OXS
gobofCzQl8wysgFYrTLMD0yPPwBup38f8P9Jm+SUBWld/b//C3nvZ9jqD3/2Xy5fg/VLVCWdtK7V
h1d8b6/aEjZRXVHPtbLezbAx0QJzJZY3DJ+h0UAoBymoOoGYQdNK3fwgk8Bqzh5xI9NnjPAbmMF/
aUMRIT+JmfpDRrdJWhYpEI230z335CnivfTJO/NnGxUH2NUgB9so6xcljPpcpxIbulU+kNgRN3AV
BBRa3SWqExR7YAAFxnpTaT3zbqXhXus0PMwUkHLdLHb9LN+HbnwY5dGRkn7jViBrYfNi9C6BX95L
OaEOxoxIkll1HWITF9jxXASUUv0qToCwO3jjGRYxMx+bWQ1JWnh32/wYS4++BJWvjf2sEJ7zHl6H
5G/kMVyAojNMIQpsvSejhS0P9uMTFTNi4CEnTLy7MEbd2G6GHp+Wt655bYtHIxETULUo02bzgU60
CXIT5PR3yYIdO0cusdVqVQsEfNMxWLpqDgMox1kI0UHeM1NHBzNtFyLrLDeAVUY86WyyYNWSj6gc
LqpUmlgKhVsziy+BWnK0YoPNtlttvFG8hwOlSyi9hZmGPmwU+Kv1t4CV/KjLuECaD9PoYEdH7bgo
BLW1A0NE0mvkO0nt5Q/FnElOglyubMfbrH5rFQjyXviIBbTfTMv6qED6ipWVKvbw8LJPrMaX9ZiQ
SSus5Zm0Z6zYuQgu6wx7si4le9c7DEm48uLezgbvpBaRU2bSWXCDVYR9blPiQ0wetO9lj7qO73qt
zSMJKLVp1jFQfY2KvTOJGKWSm4ndKRixmr8Ubb1pwVfyWod+GXfETFYJz1sIbKoa3iXpZ3ar+1sl
NMkWFK9tWeP/NV41VbKrKHV8V2Ovwk3U6Gi4X7l7ksf3fvbcSLSzadDS1sJzB1sAfKQvyszfSbm8
bVGLtv63BIOK3EQv5w2oCE1vhtHHZINVntVSE+02Z+orsMqdF2Z0SgN1GZTF16hgNMBgCjMud1F0
drDJVBe+ZYwOLE+EeJlUM8fM+/csxaBJz3ajiAY6aXuepELHeLnrrnGOnN8s/V3VGxRVMnbZtMRi
DZkWDlIGKls/Qttr4LPQNZBw5BBitlZjrwRtW9TKhxpNc3TzrAgf2WjC1xsvqU66bhNuJ3sIwtbn
GmopX85P8iB/4CxJNGbVEYqarOomEw9VQ9qF7+IfxaK5L57l0viUgTIGgb6/V+19gQybESZsNy66
9t0Aa8CG0k7Mb3SY8mjvB/UiaxAntd4haUMkZ++loC+aB+bBuv85eE916IShdql0x8PMU4/Xo3xQ
EQHiPJWOjqcSyKkTcw+w06ezgwv5nBhaUOIor181LBng4KxdCdCry0DdWCd6wJKT/75AUlVQrgzq
zpExl6dS3XRqjZ6rDi6qG73EHstxzm5emhg+4V2pVm9yjOWLBmAkpwwQXm9iEZIviCjo+vBQKF4L
UFHYs3FNWjbZuQZmqNq86QBjZzmK7JKcacyhJOPqReapBTUu5Hyp+81G7CUcnwNicIeD1FaHWV9d
kkg7R3D3Y2kTUTXVk6Qf+b6Jdqc2WnuWABx6wcZ3ea9qD5B8TmJQPdRgtgn8j1QbLCX9bHAHEGsV
SOOqwyUM4moX9TrCXMgQfsojSmqseZexgW5bnEXMTyOKHnKzmqGqDiLM2gI4m6WClYtGbgG0LuWN
ZoVB9pGAT4yqjGf65rsUykNSSZbUAqvGIRg5LJ4GF+ihQCIDw0Qp/XWBNprZhUQFILXhofX0cvvh
n8tloIuEnz4lkc6fBlrBX1VxtK5+baD94fu/VXFUXfgdQ/bSZMLhfopDgbAgS6KiIIb8TmagVvu9
gYZlMSx+EQY/dd5UXv2Hy0ADTeNADROOg6Ly9b9F4/++/18aaD8euij8wgVLlVwLYzKrVii/w2G2
F8qQZEoCDz+QJczVZ1R4Go5WMZouDF9IXofUiN5KmkDwYnIy3vuPZEKwYQnZGQYFFx4eniMXnZVs
40lXHDxyxEDvt9B+sjeKriIBIO0B2aO1i4bScKJL94R5wzpz6BDYiFJwmwAMlG49WLy3xlK/dJpv
ENC0DZRsddtAdMC/IMysGhOneKUwmoIGkFf81PJIBI7hWdF6SE4A/GiWYdk/QzZQEdkv6fZVPFJW
coZ/BsJfwiUvvqIzJg4OrSxW+io5oHQraOoZa1aKsIA+yZ+DRWUZJ4MeIurhmusiIM4dCmZSe5id
RsjbRK6dGiYGuos7YM5jivEQj/m5r6yK1SgeTAtgEGieVrfHRiw9yvVcXJPQvAwO6jKlfbPVHDle
ku/J/oU9xn534j63xQph9EJctF/SB7Huyo6QqeBk7oPdePD22b44A05PfatvVG/XjCU8biVvkYnz
KPrq5WwuH+Vr+SI49Y6Ox7P+gVOZEuGUNsw7mo5eZNN7Sz/II8Cq56F84TdpCC8Sb0ndJooP0UIc
d1V+0Y2pe3XqGDbRHiI/TecVsDLBwoa8NrSCQGsA1gWcrTIvQIteOu+qhbbQZ3aisBv4WsB7a8z1
ESd9QJmQSeVC8XBK+tDG59NqpEMbYKQTvhj8FWE842aEJaoOaVvRNuMBh3qsGC7QtglCBhqiFxrb
uQ6+MeSbNnW66lWWVyrrUX1pjvc6pVtDN9Jg8tAjrEjskkZYLL9Vy8I/hapTt4/27OPMt6q6lQo+
FCxAeIF6h2TXXkTTqk7wxYCEilMPOoTqFP4EZczMyYEqMP6gdYFLFU5FAdoAqlIr+aRKOBWnmVOc
2oNEjlp7KJ14TXrpOkNTBVS5pGLAAgKfFUSUa+05OWbH+h6fo2VyBFBXoeqVvYV21Z8rH/Gb8ow+
F4Sv7oFngFmL48Blv4p3+as+1+fm2B2Hq3rPmXjNNWsud9sf+hUebbf2EG6HTbzG4fOVbkq8FgE9
V8NVIiecYJk1xONcx31rAxyc9x/8O755qgXMndd3/u3f4BV/5z2DWmCz/T5c9a8Mr5fB9qFaxu9u
/gJ70/B3HX1Ei9e0asVHIUhDTC5e8fTACxr2NPsFgI7AlSaQGfxZH8+47OhLCnNwWjoYK36BKaje
zS8ufcVl4I8ACJhLx1E/jMkaYeaxvRT5aoqOvI3X8TMwT2lzRtHT4n/FnUiMGcIh090gxxGKZdut
Evz02DkBvMKqyJ57Vhcx5m57EfL9lCo2Ym66RTvOc8eDabtfcIvwz6nvYXqHS0reUSpeZeRCjXYr
l+mDXmnaQ0Naq9qUfVZVp9w/ETIebAiJTe+8gYCmjKmPllPcGWsE/NKfwPJp1s5s9kH+GjvjBY4J
rBAJTNwf5FuRo/exsgXj1h3FUTJYGFxwkEhmbFxKOJlKo0yzO9w80RV/oSii1ZmgCIL1hH8U3pve
0l8I2+9L1H8oBgNbUBIlcA3NULS/mr2VSZ/7A/2Fxfgfvv/b7K3+i/QeZmJFmYIFJrrKf+kvKvMw
rFhNEw0WJ7ICx+U/szdIC0p2HA6gzEABV6Eb/jZ78xZKOlE2oExCZESP93dAGCCXP+AIPx/6pA39
QagbkvhS1xhkQ6QoHwYgexGXKHQncq1QStgoT4RbISBOEQauWlI2JhMpd4CdK9X1OXJxnapGdVvG
6VlLXFql/5+781puG8269hWhCzmckmAAMymJCicoReSccfXfA/d4WpZ77Or/P+saj8stiQID8OLd
e6/1rKBI3TnqXRNJmFyteIkE9WnKJq+8/dDgeoMvaQcpk1F3rBkfh8NdpefPRgrhJ2VxSRKpouSl
OJvSzQwVFmiX3CcBm3x9YCgjoZOj+egRdI3IPPWh0SvIfNNgE0vp2hqeRY+7hVVvLQ8STJGsq1rd
ulSMcWvdS1Z4jKySsgnLOpI1t6Bh37WrHnpMlInnwteBt5Kq3NNPDclhIVlNiU3yzyrPiSzzFldh
UqbEm2Aa7sS1YHZH1TO2WnlXI3Orayz9Y78CSA6SOd2aUYKdxTwaESHpupqfZDd+sGp/z/7sBWvn
PGjY4PiMtjuZMNCeLZHgYpFGu5x3e8v1DzKiy8bsHlLaJZbUnnOZvvIQQHrwBhBzvYAHx9PlVY+C
3WyldJm6DEALzFENeUvUSv3MKnKnh0udKXdhRNAIXRcqIwbgSuc/qa0HDK90ZAE/dUNCd03yHMkI
Nl2EcxTTXlCXLf4lCOXUQHXKDU6eIoA62ne2OMUCYUd48Wp5rpEX9C9eQiYOuKLSySTcGdctV+yv
zCCkS39ZQn5+/PclBEi9pcjki9Ad/rR8sBDg4FUx5NLg5evfd/7mHyYrBFxy/uAhsT7t/M0/OKd4
kiZB07Rvafv+gwYuh/i87+e3GJKlazg9dC5C9H0/rhwGsXa1W1T6qkhXMfQhL8T4ONa/6dh+JQn9
eRhDlkWVRVZXlS8LlBn0dRkoHEYvwAT1B0rdxUDrzkVRpSKhJRzeRbKReZh2y0Weh/M0eQnlNzh4
FRvFVP7zpPyfqBFW5a8vm3hwCfEpzmvk6+gZPy+Y5D6WCcm6+mp06R+GTjw8fjoV/qa3+zfvKwfg
tmBYRFjx5v54gKhMm66rQ53gCXMD9sFOjArR3f/Ty/jrKF9eRiyYcqjkHKUdEWYVHRy4/3gR/uc7
Nf2KH3rtnNIipB5KUwLq9J8+udYv6t7jEB1EJXdh+AvLmCXVwh2WUv+bhvhP04Qvx/rycrKy83XB
5VMRn2IyhHdUjDXpXslCQhEk/v8d7But49M902sSk8nB9ML0chkro63nO1F7qUyOVa3SCK9f8Odu
6n++l397UjAkIsNCmUKFprPy0yFL2cjdUOaQCfgxVTgUnbyK+99gO6ZL6acPzLSQOhsTZ4DGwA8H
qcNGcweRN7EujplMWwjRTssdvTWl37yDf3tqYPzAbTEFyEpfLup46CpFbgRwwEwE9GTYNAPITZ/s
yuJW7xCleMX9r68q6aeBCWcIpjhCnFj+kA9/eXEBiW/yFBmxkm7MTUPZC7IC9CecjnWp/ubl/d0b
aUiokycgES6UL5dwK6kZvVFRXcn1zlKeE5lG/rgp6uo3x/m7s4K9DpeYRScHM+KPH1hhNoESNsSG
69o2wvktKmTrjfNfv3O/O8iXz0rqskGSa5kXoz1E0HpoFvTh26+P8W3u9vXU+/xKvrxjQ2eIVq/V
UCFPTT8Dr0cae3H2FtaiRc1lrbyb8m7cC5tJKLRF7bD69fGnX/+rw385OYZIV5Ki4fBVivQ6J86w
fO0bR18FifKbGxqdub872F9bha8wnzhVYlFK+NTaeBTwQtJe6keKXI1gIBNtidHXOH+FYZ6q1Ux1
cYW3ebMq2pshoNHebMdUwPPI6B+XSOG765HusWb5xJmjEKLdN1dFyAM9WzmRJIr+qGe6wPkXb1oN
c1D5rijvFmaTVGEMo1ykFjFSpr+3KPACAeH2mGxxWiDLxMEZ4i6RcPO3uMQjb4lvZpfpQCaZJIr0
aYbA3AaiOQ2oGPEjv55SxoCK+xbuDwm1aZAdxIlF6bIUhxCO03lYvyvVR+JNRFL33AkXDVJr6yeI
PQk8LGuyWsJtptAzaSZclB8hH82SBEVGC9t1jP2nSA3QiQh9cZMnuvmkK1l80+hecNYkk32B5OFg
bymEG9HYJC6NEE2te7SBodW9YA0Vn+NMbBAsIw6JZNBVbbpz0xA+GO3HRG+XRj3M2eLOaszhejAS
E0mnEBa7YjDt7emklASF9kzY6oNS6qh/XkqYd/IASc4a7CxF1lEgSBbb2Rhdu3QafNLDxJ/lquTz
ZpaDqqongsDqzZU+ajRdYFo3/iEPHmWDuUUEwPbZa/2DnlMNjOhTGh0rAartdmqeIJAByJ2LDCBV
jU1XcI0G5ENDvAuY1DCgWGthtI2NYT5K/VbD/EK8BbYYYLzkO7iytFD9lxw6RxKfBk1/8ePuqa5A
tjcnsSBAId27anvRjeNY3SsD4qEmXIUtWhikVqWr7fJUmQcD1Fw1XXcBuRb0Qo1YmJktTPPe0QZz
2yorkeFATyaFotPm5KINybgqa/NsoIaKrb0UEEmWJBspf8ojfleeko2JqMuRTMEWCkz8QRegpRk7
emIJHTcrd4wguE/1DMYAUD8SJdMRSq16N7JD6nRIxyh4qiZdxuLIRPFFlOO5CavUwt2q4TBLJAUo
LVJPoFJesghrYuu9nS9DlEoZwjKGzLURirJqF5J7TKsHNr6oDZ8NlJzh0MxlP9s0Y/2B43NWipGt
xeYpNG9SCzYv/eoOurIyGIAIVXYE1yqH5Voynmo1prDUtEwPC/L7Ei6iXEjPaohEFMOsFaXrbwmu
PWIzM1oHcb2QdZh0HcOwAuHhKC4l5dIxTmRMJCFVLoalhRsEBbOR34rUw1p+ChuyyJR65QJNsYQP
KwRWURwLRmdF8VAEOC6YitcRbgR6aySkCF6Ka2RS6GQUc5JTyQqQaZMOJfx3zfO3DJ1npp6svArn
wmAdBXPvYrQQkZ6aMfSPR7fnAh9ob0X0mi10virx5K54HIMbH6ZY3odzK8GZG9ZbsydnoedqYKED
Ls/HK7rgdkInk9pTQzcrVpvnVsnvMz+fezGeQZ52BJ9RBejRAjWs3Bpkh4U+EtyAdZJz8OsKzkTa
mKlJDgd+tL5a9Axbm+4+FgyyDoptNcVJJMkjs8+FGj2ifF80WbwrLO3VUN+08aFM7q3CICKKQV4y
LHvXc0hi3xh9ZxsyfbjRmBsyguTKnBX3COuY3s2t4CT5OOHEa4kvsBdfqj4v1n2IJKoiGinspEcf
/59lVsjcmnltAHYUYRu1jePLpKrINUt9oql3ONCXsbD29REno/LaKThs2ktNGmMl8hEjq6vxiFiJ
gMT1mYYEgIsSDYU0DzMCYhj9hhrSUNGJ/LcypQfDO1IQLgKjwS1qWClo8YbqEmkTx2W6aidBOtYT
D1ZFgoAUobGLBFDQTTgp3bmuq7XuN/d+DGYvRL0gI6qsfK4AYSmVnV1jJ+otwKZjYOdQj7yPAGpF
oo40rbFQRsrMMzKgZYN0aVXz6KobxUP/4V4YbeIRvPTJVRgoDLsB2LqmBMvJTalYMXI+3P9BtbZ8
GT47k4DcONfkYPipOvdh3AUVsYYFRJhK24go2cQ+vS9VZUn0F+h+3AKSElsLxXcEE+B+oKI17bCm
eBUDg66bFeGjar3IubqsQ+yQdbFzazS8Uau0t1mpg1sREJYLunffj+JK5h00sSBlSEmy6q0V9GXT
ObXgrg3M6w2cZZXGiiA1v9nZ/7j1MCnSkVMxkGNfLwJ1+Moy7TAry3LNbkCAyVFba0YidMjCmVme
6/b8623Oj/vS78diWGnpBoQIZdqZfKoiKhRDaRIp6qq0XoDsx9J9I3140Z8F7L+z8wu3gzYrrRAs
ingQ2fz+qm3Dj3xt2/z0+O9tG+kP5qvMhb+3fnnkd+Oj9Ic8mckxwYqYLmnlfu7eWJDVqJiZtZNl
NpUx3+e2NHZUnc9uijczlEkx9w+6N0x8f9qG/vjUp+9/Ohlqw6i0Tk7MVQg23ECVoPdkyWbsExh4
yTUGINR4MtRFz7ro49nE+DQ8StUmSCEwFIhxYoU7D3g2hL0xi4Bq5owvnoSonnkT+tsyFkL04nNv
Esp1QfJUm4qzbmDNDdWNYKqkUFhPHrqiujbeGqmFS554WB1kY08Rx42pdyqvcHz6vRZ2j9CInVjK
3o3SPBd15LhkKmhe4G9l9mRFyVywhe47WABgDR8QZtFqzdoPEnfjC/V0lzJxKhZv5VjXWGy0Fz3D
TFeL/bmTmp2e7su2TFbqFDNrlNGyzrFfNchkh/i9wlUeSh1id4pF6PKZhaq39zHmYIkfxFOK/C9D
4rnr9P5k0YAQB9so7xriDqJUBDU7JWVlS0W7tTRmgJ4LlUqydS23u6jfhlKxcKdPQftQMDYPrsAC
jONQ1c6JnFzHABaT5u4jv7CTLEC9pWaOpzLwwY7TkD4QkGWQDZjBKlzWYLEKzXhWmu5c6B3POsQH
p9pDzixYxFvuqc3FR+aciM2q9+O7QUXVF9cHdRSWRn/qGwzUeOgC7Uz0udwxLspee1LOiJUV+djj
rl6P3O4Iaz8PKS6MQHbZeCH0lpJFTt4Uu/8OBVC9lchOaqKD4g0L3cht7mHELpCT3v6nBP43Ljas
uzRx6espKGtleEAsv79YbCYZyQ+Lzd89/q/FBi6NgoEbKPafruhPi42J3lXRiRD8NoP6tNjodJZZ
fVikJoLRZ+AFqEdNFulA0rYzVdGU/8law43sx7Xm6zPXeA6f1xo/sERXLODXKuXGK16AHE6wB4a6
MIOYrWAskMAc63uYcZgGh437pJ71c223VLmvAOOFG/8WaM9Dj1z0dfjInnNH/oD0nRwmRXt0wb43
XBV0S5irmdFupHEJE4gSSdkYzSZEf5EdcOaFJ4WExtf4VnsgH8Bx/XlxlR6o3JpF7NtiudSO6Q6G
+LBpX/Un2pZZCbmQWil9+MZVRAyIP2U4YOlE5NGeIO9iaMPYMc5A/mF8xuOJvzNszvD7wPThzYDN
xqvVdo3sqNaifMSkOonqwr3+ni/jZbCIyBqY8/z43xJNzOyFPwSEzY+U2XhqKaPs3jZmBt4byOrM
eZsNvyt+BRKokxJrKksPy9LUGU9tiO2UNZgNzu1pdKJky37TWpInQAQCVhWChe6wqNvtuVzyn808
v/WlHZ5e+gwlLHvxlsgE68S6NExTbvy+mOH7AjO8v+tFwu+0+VVH7DuT5aNQ34qSibeN+Q94ZkiN
y+HQ3wwH/RljoeRdu8toZig1cU32qGCRRbeTrzTh5Sg2iuNRCGcYp7COF1q0mPyBaXxBj4pVHId4
Q6khShQNCG5WlbZU5Fc3uBkUlxgbywnSazY4JnaCB8m7wynZJPpKup0M6FIwSxmHExlUXuQFKpvy
GN7LTvdGLiqr9uVPkJ/1XD0a1IczEkVIA423mAuNQ3dK19nr8CbedCfhOhyNOxx96D4WfJD43wHj
U1Qf+A0yEoBmwcPl2+7EOuyLZ7h/Sr/gtoWPznjWFli9smgZ98d4O66COc1U8HWgBSfLXzA/vZ7q
2UpbgGy3VfuVf60A1y/Kwe4vqg2fCsCVvjNSG5kKmhW8oQwHL0WwMqsVR8Z16S5B8qkvlNkiGXX+
aTgihUHR4i7xfjaQC4M1BW891yiUpw4uxEG4iOJ7j3PH7U+peBuDPsK6KC4Has1HFKnRm1c743UK
MmvJxLQ571E/Dae0cEouwskySxFawlYqZ/1RfpronNY3xzjdFnkPzgl6JQqVRTNHr4FOvDqa2+rY
PlU3JAKf000h44YkRGAvzxJ+IMetTpbqTNqXm17TbZzTyREBCDIO3xF1R0lQotTz9szX+qcSqJ2+
1rf6tscB48P9ru/kF/kelukS4/5NcEz3goMN9AVBtE45whSU3s+piPdSN6/ugV2f3AvQ8aY5dPeC
jZGF2KngOMUC5vM7EXIfKv/MWg870W6c6LE+iDvpOl69x/hCDEJ71QmJmeXP6bOxShzrPOK9mSjS
+nFRUzQmqxROP5KoB/l13Bhn8yg+ICTdkQIC5JDcNljhzS49GBtMqrvKIXZslyH0EXfmUt6pO3cr
EbmMgP+oBou0hjko4cUUzlAEEdMM/qFTGHQ9MMuGNwhq0GICPh/FqSQBRQM7EecwmG9yUFBnZyxz
kVNWs6kPAWuipSQjs2pO/2222cgzsGhz3aBuxSQI8tBIAA8m5Dq4/qp4UxZgN4F7bTkrLs1t/6zD
oJx1Ku9L7J+fSYCTrgLwRmXuKXa4lhFYtczw2w2ZJpZpuxAHFDiCOWQeE5w2rrzmpFVEycGENu8b
AP3Gc5uZqIDYW84xxc3K+avu78qNWuHaUxbs6Uij87eI3nbFiefghHwqjZOchl1yol2mckdYdWTy
KnMsVu08PbRXaJDaQn3ACkbSV7QbYjzBe9i4/lx9KK8+fCFyj4l7wjeP0QQt/l13Jmnvm9YmA/YN
aK6elDI99wKG6y91uhRwtVUn9kXi07c7+b9x0zJpWyhQaRtTqmgqpJZfbloYsbCr+aKN+fr475sW
7Q9R0ZjHqKhZULvoPPJ7hQQAUYIIQ73DeAjhzF+blkkbQ8U2OZdALlIPUeT+p0LiW0heTQBeKGYU
nEX/SBtj/jT4+PGVK18G3MNQ9OGoVZgfWusWZpG8oOVItplbvJm+B0pUq8x51LgP2cgUawxNdDNw
2jtd2iYeyo063nuBd6cKIzlHPOl5I/oXVVSVfWFi7VYENu26DKJaEXTH8ip8e8R1w/goOsDvyjp2
hzabi1LhbwZXqej5QY0fmhIbQz1cNddE+tl1K1mwKL4SNKC+cMoKmhRKGi7kJP1wfRjJuqtamzGu
HiPf9XAWSuw2NBIPApdLLeuDhTEQvaYQe9ULtOBdVDBUg62xyH0rf+qiyFEauvE9EpAOCWtO1CXV
KQ0qkreifO2mrCwGTThdRffZS8o6paeaa9YCX29ZPmR9e2NkFZQsqPKSkd8YppetDbFaU2Ltwg7p
mVXAA3YxLSh+Nyw0hiI0TksaaKlSrf7dFx4qg0moMV2D4m9aE6rKD3y98L48/q8LTwK4x/VjWjJK
I+nHC49TUEI8guDim97kuyZN+kMUJeb5PEC1JDBRn687LjeKCFGDWUqN/I+qBVWeqoEfpnG83M/P
/MvEsWlUJjZuIq2HeATSAqeWHa7PJly/Q9DIGo033KpvUWHGADjY1hTLEAttB7eubrd6sTUIURks
IGwChEfcuR0tSvVco/tUd43kML6wXWMrzAiEiWG/VYJ7IRQwQnuNxJV4rLeioZj2rtIuIZChoMNs
1oRC2dBKLXf607EPKtb0A+DHtJDLkpnlnSjKg+qjf2vOw75bQbRBbN5foD4BQWJLG1SnhriRzr+P
0NnSpFyMQJnYv20gJzgUCfGDaN7rZ/+Un6gjUqV8BU2jt0/d+ChyL238W5XkM7TzL2rD3i7sNxU/
YFrvY86k5qWnBa8cpfDs6pZtZtsS4TuRh2jkPcAN22BdO/qm3wkP+cnbNgeLYQHclZ3HD7a75KBu
zFXsDBvp2IC3p5Gh+ZORt9ooN/J5IL7dXJUOvyTM+LvcMQVMK1jSspPxJkcVu4ImaOFDSTNjvGNg
CYyYo5fd3kvYBqHQ9qTuGCgKEadG98z2dGSfow2laA8+PaHOVodlFy+pAxrbu20/iN7EnQlOMCKa
1d2XH+WHeVN+aGdCG/1n8VXa6Ef3aJ2Fs3ssr/mzBf/t6r0lt+1z+2xs8kNyqpziJO7YOzgVGnF5
WWm7olnU6kasbLKk/W1xknflpXM6R192Tn7JTsAlxt7GD97BNMIlbhpXQVzLwxY/GyYi5Nohm3Ic
/iPlEWkXzW1xmjr7O+3KuJK28YGILCI8TuFU88wLxjcT4XyRMYDk1H3rq5nbzrJH0olbpl0eecps
zInuaxaaRJIMBI5wD3HD7ZbAHOTuwD/aeNUcxeYmK9k5rdgzq0TY39Hjh78MvYKEvkfryikFx5HB
Dn+zixtTm1crmPa0J2PA9gj2+W2atF60OyTTkKjLM50mNWf4cyEU2kdF+JBRiiPHiOb8g1kie3R1
vDY3ITb4fWzMy27LLk4pySsoZ1FPDjX/xx5mt9bMd7LR6XmVknEna42j8m5oWPxbPIDTvxXpQxz3
cbW4quEaCuc8MGG1ImJWKAvzBcbaY8vpE+pr2bon0dFOnt2zvvKe24doXKtnFZTQId1JD7DPSn+h
PYjyBjaIWc5gqq4maghy6JI+/Rzf1qJ0eoerFESTqm70Z2Yq7cnatvAI6zRe9c06F1Z1YMBmyNfc
4eaBv5RwdTYhEY+RZMxMAv/cvM5m/jSqLj5kbqiJqhz9wn0mZ3GwVd9umcYGw9aj2q12NDz/vRZ2
NIUSejXRZHiBg12eEkp+1deidf3DnervHv/9TiX+gYpBRfwxKeG+KRb/u0XkW9zz2CKir5nEkRz1
uwSSnBKkUsiqDfQ+bBT/e6eaEkzovE3QWbxRkGH/EcdVnWSWn+9UX5+5Nn3/Uw/dUMM0UuqsXkUJ
Wa17pPgEXawMu4PsNCks8DEtCD2AR3UhfY/AWezA0Nr4C9BYPusdY1m/EXwAPgXUWCbOgy3291Jc
4n+abjvL0d8O0BhsnEVAwrRxKzGO7mawy7qLB5IsX/UYkizxhi3Ug4EpiKvgFGw5HMsnKpruIJP7
Fz+a16FmNL7EXMSiOjOWIcaUN2xCVssN1mkuwZa2Fq4qY5k/Ruv6BE2OJycvyhPTbS19ih/JnKUX
1UKok3aw3hZkCO7Ea3apb+vb8JGvcwfgGKTan3jBwOV07p8BcdKmzZ60Dh9C+ZB5t0FwDstj4e4w
G6m7YS82M0QqyE4GW3gvcIx4NrdkhZGfFHEfXhNRsgdywni3S2c3DN4jFhUgYsg7LfQYxy475+Ul
7a64vuD1pFdrSimqiDuzxnMlreNHd6TBQ6uHjop0WEkXZtyLV0xANFaMxeX99pagc6Ip6Ba1vDEv
wWx5IejrMVwXp3Cdxw7TWKKfDNo28Tbe9sbcmpOt9yfVUGhuItwuxsFDY2CZp0Q4l1MUgp0ol9a4
iUhtCG+y9iYMb8rykq8rFXQUNz+aNAyGF0hSNG8p+xdOFaarnrTTqhnsrUhfi0474wfQoAgzRyZb
maDPEIH5zLUjokd48spedPpLuib/Cuxdei2sjWrTIHolPcEiKHnKLs4XU+Oov4xniFgNNS7/xZfL
ZMvzQvFJDkXg0Ego5+Vm4wOqkhGM05OBAwU/yXgPHggMIKmA02pT8gFQvTNkvemfplSCuqVB+0CE
QL4xsdhMHCXuStmfoQKE1bYYjAwaoNxt+icOQsKBEqzbJ3XNrQVM0lLeqltyQO/0dQ/E6AxxipYa
2T+MQVY4XIh1kZ9GoLSiLZPz0pDDQ0SMNcX5DCuMBJCukuP0lXX+KpJCI+/J3uFb8t5ajzc0a/mZ
8QZnIo0p0nPcZUoAUPrAb+6x7nPzfCd+J3/lp/J+SeIPOIbFMO3s7Dt/dv7YRjP+GDN5/pJoWGWw
5/CgiE8yOZrpa5+d8fM08tGwC3Ul9rY5LtJoOajbdIHbaMWbP8/3+R3UAlndyYh81PgmaC3KwLkB
nFmNH0p2tap/S8PStvxsHojLsLupOd0q2l5PzZFt6wN2cI1/8i5Hr8NNQ0tNoUUCm8IWbYx8qWnX
j4k4a47kB9n/6moJ8T0SLzDdeGV/M1uhTfF1kKvLXx///R5EmwIULVMSy5isOCLlyF9timlqz/Eg
mUx02x/aFIaJhGeCpZgWmFmO91ebgl4HUHKNm5SmT4XbPxjk0o358SY0dWh+eOpfbkKaXlmhmynj
Oh+JZJLoW4MNgBKFfklrV7HVrfqivUtaDGkqy7rQEn8uLJnsYq7Ttzn4KLUXb0JX3ecZaw7MiqEy
dlnMdajriz7CGmjcy8J7q/gra+rhW9CSQQVKVB9WmG7Fsq6WfThcO704uaF+HzWQljvRqQzCxMtB
nWl9ukw6xW5C1/HSYpWJ7mTVH56kkCS4aLQws0zKQbZWYmfNrMy/F3wXsmJC0lXTbGXFovEBYLoF
R10oz+ihoHwORICb/soL+l1qYA/WZUeWiye/1q4eeK+gqUW8L1IAWeRh8LOl2qZ3FLgkYJlOXjRL
pX4rShRuSfhQI5lSh/zaNYV0iIANpqHwluUkqWdTUzAZFpJ+K/peYudR5m+aun6uFLIsCyRB/Kqr
JpBobdbGltIyO41+lq50f9jEcfsWB9GNXnbMBmRUUZ5HX9v1TPAWHXkwl9JIFl5+Q07bKvKpnZC/
bA0pXgOv3lem/NJ1OYunqy3KRL4k5ECnid4ndh1q4KggNwZYO33rQTBYUNVsKY53SPo8cJ6FgMkJ
jY2bUpSocrBMiZ/wpxyKiEAKUH6GcvYJ5+lBiysEjiqXQsfq6Lu7mEALL+fWgNqJmItoyrtoQcAs
Tdxfq3RKw8jzgNn5IGw6KbmKkTorfOExlmkGEdHMzE0xBlszbrRB2XUtwtS2oKVe1y8CLdpQTZ5q
fmXa1XdVJT6aVntXADaLyaiq6diLiZ7NRCGgkHlF0LbzFSOcZT3K1oFcxaJYjoq0GkJl0aJIE3JQ
UsGLWZR3ZRnN/P5iqMLCNdx1ZiRbyyhvcp0tSA8R0CDpW0qHQxZXN9FobgfXWhioX1r3apoDZEtr
GZte63iwgIKSOXWTJHemStnH8FxMyNGs9fxSJOKqZzc8U+q+nSWhu9LLCpR+R4shb2SilvQ2Wqa9
cYhG9KNhD3tQodJTG/WtS3xLnPVDKNqhC4JONiqa1ioeTsl/kXXxkLvIUctu/m9exRXye2k/AS3Q
cWOylP2ikpj0/D9UEiyFPz3+r1WcnpdE6qFO0qL5DXn1aRXHxzMJoiTqhi9GTGVaw5Hq/Md99dca
Lk/tLoRUU8PrH7KwpKlJ/rmQ+OmJf2l51Vbvu26nD+txVEIQvn7ePRAdUO4MrUleeR40a6zq2bWq
O1MQPrJcd7Jc3lQYTcpuHJdySDDW0Fcb1ejOnRtfEpdmLoiflcWYshRevApyRx7Y0URODBrEiv0y
iJDwARs1ZAA7PlZF+tAanqohJIECRqqlvvpS/QFkyssR+UZMA8VgXYS3QxXMZSu/CPIArkCHknmr
19W+ADlbWVz30EHSQD+JKR7ksTyJrjk3wxu93aVxvc9aRYM4CwK44woq9AfDZ5DDPUDWCpoP/dxz
GbOz45pCITr2xkItr0NN2eZJBeE5zjInj82Vr3TLgkCD1PVVdAQ8NoSIdVdINEKi4Spp9ACjhtGl
2J2zzFok9NeLmEEyxYhR+6uoMwl1F1L9NGL6j8PxpQsEqBJIkIIMcDswA4FBkNqDWxgIodX7RZiC
V+yaQ1zRuaJ/F7l0vXqVyXVZkIWW7oyB0sWvSXnoUcK2frgT2vexH2dtwu4OZpEo2als3EpadvY1
5b7okzudu5JlNXYtiofOjWzfaOV541PVNSApqyB/yNX4YqBOVKUKsCbiTLdF2B9azWsC/+ObWfWo
jT35ap3r7Ya0tu7SWG3rWSr9x7fz7xxcmQo7M7rcOqlY07Lwy7WEAdRXU/fPj/++lkh/QI77m4WE
r7NUiH82wVkTuMq/tySwXupobCzRmnrnrHH/3Q7KfIvt4TQDE+lnIMj5J9tByZzGUj90z3983uqX
pQQnZZMjADXBbtfCMkS6jJdhqT4xvi9fQ9zUZA72CPH2lCTIcehZ0DqjtiHElAwZAJOKvZ0YB7Iz
En2KCERHt2I8G928ZokpDyoxLlm0nSb/O5gLs2T29BIW9ujky4QgSYImYZM7aANXpDpDJZCc+lHY
ojop1uLT+AYblWubo5Yt7UQQ6NTdS2+bnswPECCUv5X1Ft+TcH5Lz0O9I5cKjhfFE5f1ra5aU15C
RyFKhECyHg7En9TF2lhL63FtOj66IvMtHudduGtIMFBt/c1zxNfqUaFgfyeg6o3fhoBjqoTl10JI
Zp7wxCpl7Q2wEk/6sV6U1wDUJ9dx/OGumWk7EpAU4xDsJXa7/pLwJ4XNTUQSGaM5zPCPsmfL7IK1
gUmz+uJG7+PTxKiAjkGy3gMgCkAWRbq8m1OBh/E2MjfucFVtdBlEInrE+NVT3l939LqNNzds4c04
Ud3J/+pdgExIHQ5EdLnMco3fjZx/unJ59JfHf79y1T+YX1nAmv4svCbv1V+7ABGkAmNjkTw/NHo/
1HJwGlDq0jnk6UBk+O/Fy8gZpa4qWSwHf1Ic/snFS93y9eL98tSpGj83FEOhy1otZB8gZ/JRDyGn
FkZEK99yZOD+SpyAtDG0YzZOg7BCaOBAJ06ZCfdyWpF/F3sYeQrurxLN/bzE3lFxpYWmmiG7o6ng
pikqoUh3Gld9D3zpWLVevQAMdwglenSl9uDp2i6J2nUDbm4aU5tJhg3kqVB1pgEZW+4uN3Zeri0C
ytJtpWu0k6DEj/kJCe/BjcyTJ5nKZFY4JrUPyUXIN64hHcckvJTQxKucSigblrkYgFqul17xBETg
aEjqY6mqK8NkLcJSbaI2xfxizaJoeI2rxk7L8DT41F8QgrWUrQotUK/FMsYoLgHU3XskjJYvFDdc
36cczWBYeltDKO7N7CRWgWFbI6M8/1KR3tQjPOsiglybG9EQ0Gq9SDgaukiet+KzG9Ef8kmCrZpN
UvNTRmZEM7OwHnIim/IgxttVO41P+x+Qgmzth5ZWL4VIRb9SBrMTi06hvrCju+8bvBq1mDkjNHG5
JdywjQ6ugb/QU95VUgB6enGGGRFw3zp+AvHeuG0LywnBd9d+sa4BAw0SGzIxpfIAeqEJY7To8+El
l8WTRYdYLBjEZdXw3mTNIjDNBQ/dVID+hki2Ry3+KOsOfgTYDEE8arG3TdzimluMWmLBfVdbVtZB
V/pLMwjnsM5prEnFXiuLCA8V89XULXc0D+aqRoghOyCtGSDXF+rOyqpkkY0eSXeYRaJirpfRCuAh
pPApC6Y94pNyr2KWEGTPMCyp7R7HiSUAfA+7pzR89zP3EMjeLqHomoetC9q9FEBdihE0Z56dX0CN
WpnSswVawFeRfd9IzXMHdDonjzoAKtgGFwlDU5qzk2wYRE1D1VKnfWp4y1ppbDCW6dyowA4b8any
o0Ogmg8Y+055uA6gn1tAIAWhyHmbhrdCQlkmSGxVg31TG/vBQ3kqtONJSIf8rA4Vs7eUabOWK3ut
YGutVw1Kv8rfpuwHln0v/h9357HkOJKs6yfCNWixJaiSZDK13MCqMrOgtcbTnw85Z7rYKDZhM2d3
V21t1dVBhPDwcP9FcJdVgEj7oE9tNGSvWgdoBQZZghXu/BgHycQr1/8fv+xMWdfHfAyYAI5PMzb3
6p/1uT///r9juoxtH/AZgMyqiYTP2Aj6d0yX/x/SFCRWCHKQc01lMqibAXHA3XT8a/JfMZ2EDKg0
LqnkVshnmNp/BGeYtIgYHtUKumLj2/ObDfL3iK5wa7gpAWhrhi9NDb4g30vljJjDmNL9PeVjDCgs
MOlVfu+33eBJG8qjShVWCky/Soc41GCogndliDYqkeYkK7791//zVHhY+qPYOH7OyVCT7DJPrMzS
wwyfC+2rHfBE9emrDOLKyz4zo36uyTcHEIeu9xT2o1FysVcgAgaB/6+9/4+CCBLrc/GbuZNPb0pN
cg1HFBJ/G0m3FSxMmW5PDY3LE203fXXFHwlufh1eJ1wSSaguL8/D2VU9mYbJPT24qeZJDqNbymeH
l4hQprae7S4PMresY7JwsqydmOWK2qYsa/8gYk+hBXBlDmqSrS6P80fS8fc1VSdAt1ItkamVGadT
wytNP2Y1jSaIwxK34CDTDqcjYhbyzAqe/zpO1/gg0jHV/PvX9WIplPoQU1DALCA22pUaP2cCiOpi
Thxk3Ap/Ho/fI43shJN5JOcrKnkcyQTV0GraItJwYeFFgYANCrIPl2dzVPK5ONy4c0+Gqxy4wrIW
AcB2nrz0PQxk+rT3SXIMRZK21OSFhe1EjIdH+lar2K/B+U/Kd7H1/pXz/+MZOfvdmPmJ9LuxsRsz
2tMfYrhCGlkum1RWHjWpXXSlcNBhTxvuYPf5y+XPPrucJ4ONs3Ly1VFcaBnK/v62tnDNqF4jdMPk
uoN/NLNvzmhFEIJORpqc/A610Toel1NsuWpp2or9q9v97E1Ioc6AV8gBS7+F2T757Zth8G8aPhq9
yTaOANn/6KlqVZ8iSEsh02ZmfG4SJmHBl3PTMgJ+mtORqGA4CqU3l76Q7vg/DjQJDQ3IBOabIyuO
HX3IdWJSrdv+GY795vK6jj/5j8Pze7a1yTElOVcdyWQ3h4DjBqWnyuTjAI85mItoQ5euBe328ojn
Q/vJkJMDlBVlVGXjx1nWDyr/iJyBS9V2cPGQlkTF8SnzHlRkSCz+LA5/XB79zyfYGA1p5dGcwzFd
HsGRpxu50z1BEnI+mDC4GqqnAmEBq3sVaJFJ3nYkQ+u+v4jlZxXJx8Hjvv3CVxZFu2DZep+OvBG6
XQTWzngwtG/jqq7oF2r7FsYpSepdZn2WVbHIMEuKjnoY2DUCH1Gh2rX6Ig4/JOq0caDYavPRe+7M
rjkfmk6+bRIRMKkNW2ng29Qe+9YENCIAuyI4OA1MeuWtovlvASO0jh6UE6G6MR3c4wSMZ7R/IeD/
MTRJ47b5Y1ud/JLJBh56IW5SZ9xW4lsONUtHYTVX0VFoEdD7OVgc58com+Faf6/dhVG/Q8tJkPJU
VxeS8XyaiIEnPGwiCEySAXIPAmsYP5jVu+m9y+Z7gpCf5A10rf5zzR6211gKZHfRQYBZ97ftpfqt
5aZRwOYugpWHxL8HZse1ZoLkNzj9jy/VdYWShYIMkTbZxepgBW6BzfQ26vBoomwgNkQk/7OhsBwn
9aLpHyp9NIYXV5n0lmU7H7O6PFmgsN9UH4JyJSJgbMWfAi/EnHK/Sl5Frr1wonaZ6gg53jvBTVb7
Sx+jvggA7OVTOHZ6/twfJ79/slObzHebUnKZJsANbFkMh9+V7NrFCyseXtQqQlT+CStLoOVr+rUK
5W6R53gdPVX6XZGgf66iRFCvC6zzgn4Z8dAuAQHiK+G2X5d/6/l4dfJbJ1dfXQquJ/mhv3Xd1wDB
MbH4kgqMHPtg5Yv7VsrtgOJBcmul4dLKDpdHPxufTwYfr6STLR1ZVcY9Ni50g64MEBsip63xXtcS
w65QnorzuXzq7C13MuTkApalzukqVEa2CroxTposKX/qWbNogrmbYMzMLu3iyX0qKQFJvu9Tgxbl
ZRF8ETTwZ/Tt0gXu3WKsRZlGMfcYAIQw4S5P7PmL4OQzJyFKTqrIDGqWtXKtVZ8/hNZrFfVHh26W
h4h5BIoVfgqeSXDZgpaCOQ8NbuMW1RDa8SEsOaN86IBO4Qyw7MzHsvxQ0gohio1W4AQJmksLEnpY
8DkM4BDYWJnPGRq/jWMLFgAwMQeNhecA7PVQeqojeRFBKbz8kXPnbCylnm4fvzBTHuusZcA568CS
S/exeF0hCZCVOFs1+LIdY3mbiJ8aqTkN8GpTKAkyNOZG6oEAUwBBwKdshaUf37gkY2r/TPsxI9W9
/EvP7nOTh7mo84MkfbLPh0jDHT0QvG1CYDJdrC2xJDQAg4cIooroN8mONnNdjDWAP7ffyZiTje5n
Qh9XPkGoWac/pFfvUO+yq+jGWmuH6gqB2Xf1IdsOm+FX/pDfmOviqZ/5BSO76uIvmOxBHQMG3Dm8
Mc+rb2pUs9qghf6PD1d7o4t7LbyvRzKqrttu/4p8gl3ECKahQYBcGi5+Efrjl5fhbFz+PSXGZL8Y
umtKZeHgEci1pQb5qpPxpU9nEpWZzzYmLzbZkQtnkFhsj6dnouCYhwi8oEJ5bfA/zf+P3zRug5MQ
6gd6ECLt7m1NJVx3rGwsrap4LpaNM/NHLDuZucmNJhViFgoh3xQiS+ni8hrQ5/aCey8Z0F7gsq2p
DycvZvZyecXOJz0nA092cWWkil+Ne6jgPpS66KqEA1xwK/ievwb5JQHCVXK7w8FyAG9q1mCJq3hm
Ref2zSSS6z6CP0bJHOfhNogeXf1nHM6pSp4dg04MLV8NRJ48GUNpO6t0FPwrQ6A3Zd9A0n61+Mfl
+Ty7N5F2lGgyffdr/75bSkcd0EY2vW0Jr6NuQwxSEfmoP02pQVZseXmwsXj55645GW0SAAYnCyPF
YTQXSQFaCmqIrWeCRTge4d6dor278rAMkKcL0QZJkNmo+88ghXCI29EYKZVo76jvljSngXq+EPjX
D/ujfGOQxdK5s7xt9ChsPVoEKxNBBWwT9f0PAFtX2K7OHNPLU2F9i0ycHNOm7lpFS5kKL0jXadGv
g+E9AKaRSOhfIQQX/dKsfGb+z6Y6J185CQ2p2tLiMtlSRmssB6ywNUx+oBzpm8vrPB7+P4LDyTiT
4JBZchG5FbOpGvUVV51tBXPVoLMX6MkQkyzVyDrBM1tOIIzNB6cQ6bVz0KmIeR0kq0Hi+TXzlJ6b
vMmVndWNKXs1I9bIGQwqZivlYzUUa79yt5enb+aYUO36+6EMfNk3y575c67VlfGiYBVBre2gL790
mOxbdRtCa0seTcivV9iTGDNb83ymYKEwi7asCbdyMrmy4hjlgC3ZFg3qaMTqNHuZ8C7pw0Zub6N6
5NQChtXxgAlk0FrHRkFJsvnKPbhL2lVtCjzFNk3/MwS/lMmfvZmtL0/R+cX4/Qsni1GUfSWb4y8M
nYfeokPcYRbe/ZKcmaVQ5gaaXDfaoMqN4OvEx1ZfOgjXRf5Natz7znPeX3fWdW3QuXXHPqxNx2AR
end9g4blnRQ8BYO4HBRtZXGOpVgBVvnaJO62oaFgoGJhdNvOeW/qfpn7j1ZzRLyoGRqautYGOXp8
b10at+hBqHOarecjz++5mwRhuOtiiTwo1R+Xh85TnRfLVn0RNMdOWpz/wmOLNt/l5Tp/l/015DfK
5yTYRR6WfW3IcvU5UNSaxxUWii4N6MvDnE8Ofm9cc5JpDXFVGlGkjfkchuedazfNqxlgJYetHLSb
IlRhxO1TaC7yG14BuJ+FMz9h7ksnITYMhpwJVb+PjpzoizLCY9ETZgL5+ej3ez6VvwcIN5aGEHND
bys13bagaeU795KH3bL2IBsfJU7plyf2fED/Pd4koKNn7aSxwniqW6/LXrc7duflIeYmbnKiddfy
5bYelw71rUHC8Ud97AJ/ZuLmRpkcZ79ResnVOc5RgWypgpd1vQqcuRN2Pqn6PV2T+F2HkpcNLdud
hpeNFMJCsN5MVbI7vcRAPZqZuZnRrMkjJnQNtYfozjfBSXCCVSabi1IabHolcDr/18fuP6x1/j5j
U5luIzI1MRYZru5vgJFY4XMw7Cs4EuKhEQDQIVbf6jO9wz9J9GMZ+2TQye6QhTKT3ZB1U8v7pB6w
+EwXGvaFgocGUrWoE6yLzDu9RTIouzZSE01dahpIcMUP4J7BBz8SmeUqgyn9Wg4hlKV6Ual4nutz
q3G+fnbyUydbzMKzEfkDfqoAKdlBauoD5wC4ce8DrD+lflPaYyndZYBeu3TOSfd8N+lk8MnOw0TF
EHyTg+pk0kblOjHTXdbArwxfq+7BM51lmh8lIQI5DWdhg8fMIsyKlZ4BW0l3eXuvtU+deavSFbl8
vM9t0vEZo8GqxelnGpkz1ayQteaHxdktvhgoZ8MZH95KSk+mXs+Eq3OX9ulgkyAsFX7YimN4VNE1
EHGQxyCYygoyW97MZ52LJ6cjTQKxI9SJInWKt4VJs04i2G0G7uHm+vLknZH7hy98MnuT+BtmmZV5
ssybHs0Fv6y2rmWh2d2vPKNFL/pKAsgUZb+6ETXk5leXRz87mwrFP2rvcJC/K4snl7cT9mmSjK+G
GO66gY+Y/kJLcmkg3nx5oHO3jPZ7oGnnPpHcVK9FBsqpJ4iVBrurnIn/o8LpH08TDXQyYBggNhTf
/n5zOgW0FFwcvG0LAceAB2N63UqJ8EpFmVf7TJBzG4yY2ECZG/KAOmZFqQvJIFoKQYYb4T5v0H73
YerAf+6Rpsowo40UDTkNlC8Q+07UY1Zi7djflhGkL5L0GmjtgJZMQJ9x0H72VWh7lbngEYY5YWGr
wtz+PxuDTr9yEoOcQgb+9p3iNcpSgCMnBNW6Qpwhi7/0ABazDIPA4Ms8qJ6QgvBeuryUZ8/FyTRP
4pCOALJljTdgMyQ2wLZVHh0AJ82c87N9NwRl0HgRRxr89C4KHTENjY5h5OFd6352zls3PCj6U9os
0xDqOXp8RqD9N9v0ZNDJFuqVOAuimvw5Rti/cHDanG2In42WJ0NM1i+t2Be+z3fhuY2IUQdJwlwU
2t6IqkUWyzOLNTfaZLGQMBfkDkfhbRE18OJcOPSIuga0hVFkFfuv/2Jr/O+3UWiZImVGuIMh1nxb
Fja0Y/vFQIFSdWcaSd/lsWkN4t9bYxxm8hQIjKpIHY80JY7a9Yin1Zu7PvTsnnRh8A7hgORljJS/
1oJZZY86B1PulnBHR2F4nmQIKgIxFgHLaiYhPXwdxNEGAs3vfo9IrN0jh07Tw2k2tTp7fsctdOnH
Ty4wtysA+6WsSAdcM/w0419yjMa+p2OISANRfa+iGxMMDML/hKirBla9573kzXOGRubl5ZLHibr0
W8ajfhL+NczMySa5TItKg76AxAHw1OQlM4CWRktNeWuVd2R9M9fb6G4IARYcb/aZwwL49sBz0BpJ
bMH9NAMc15Tgv7mcTnbT5DB6/TBoicxM9S0mVjDQ01GFNXfwup6rap2Pqgb3hijKeBdNvawKIRpM
p+ey92SUaQKAvxbuurFN9x/Tj60TfZl5xn3wnIbsItDll1fibBccwP5f40/OqUJmVyNewskpkb9/
idAqRVBH1u9SGUGIXqaZ2KwglG+gca8yKlRZey/SM9HVYWkmT32Iin/7UbHT+2un4G89ZdKNV6nY
qVSbusAM/cmNHu1sDgJz9jI4+d2TgoOac0KKgB0kmkcEn5EBbdD7n4tiZx//J9MzbeY0RtGpistW
0GncyVUMBuTabTJ7EFrqyAGKPwayRb/KGp1WbqUkPpoc58trdDaU/v5UY3JwIclDVTTZIoKByKa1
Ew0KY0m2trw7zZ0JpPLZKHEy2CT5dEVMRESHwdrAXGsSBbrCseu43SgDMrzdU8VTs6PSFBAzsjhb
gnblMmm2iBcvJTSpaORarWUbdUEtD6G9iqJUeZNm+7LO8K5+UtVyEYVzPTc6C+ciysnvntxu8WDW
YYtn+xasTluPrxAM5BvIAVDABapRYfba+fVy3L31cxBLm0J96HrqabzbkBuOZSrW4D2QAMGoIUow
j3ColQU0fT/y+rH8BoGka6/Y6vrRa3Cq7A5a82K63k7v06WaH+qiwHy3QgYKLStAxpmB/iEpdNc5
gA2cZVKPkMafqrGxqPqJgXydD6uiRJ2UTr3gk5j6+UJs7ksvXSq8dyPn15DcVbWzyofPIHsOEMZS
kwcf/S0ne4wbFFvrlwKL4V47Wg1jCcCDeo2YrS/UULwuLKR2YUvKwYea/VRriJrNY6mZK1klVUTE
A+oESsUk96jT6z5y8FybKd7W478nOC0nw0slfUqUaqOgQ6AjtAM+ISIUl9Wxd/ARAjtd+K+Z96kb
iO/gwxNVMhxMkfd6ahtttjB8VEpiGvPNLmXf6OYxZj+U3hpckz1oiIOViOHE9dhZ28jyR+c0Ky/a
e+mvuBBm8roxIPxx5Rg6hWcoySiMT+5uE9uP0svZ2LnEM1V8LL27GB5eKRYLwfm0UGARxPXlg3s+
XzgZc3qYAk+PLIkx07BZNeG7LH30Pl1pTIRSlKjDFqdUfW1Blqhd2UbpMUanJ7ppmudA/lViZh33
C1M65hbGPUNxEBLBNtUvTXsvUhlbrBcvgxAjby//6vPh5q+Jmr6YGrEzmnq8EaAqwGFKeIQ4Kxna
1NChqAJu6PJw5/Pt35OkThZmKDQnR1WE8SJ1S40Liw9lWerrIHf3GuZQYqXYYeMtJWT1Lw893m0X
toQ6CaxpR7v3+w6BR45oaWtncrxrDTys9U1n3shqMbMH/+G2/z23kw0hdYDENYMoVRtU7QYMgxD/
ia1bFQu8FnMtTlQ2JJTxu1Xiulsrd2feqrO/YPLql4NWiSsVmCZijVkbIDdEFQNLKVkalkL53DXb
Agq2DF9J8X7FqIlcnnL0/M9OOhYeiMXgEvpdljhJ/TCYMWPHFAnUlJhL6B45cldZY8cpgXq0BEeA
oykTu1OQdlTAJWvveodncPzqOT+T7Frrf5VeedWV10N3qJS3nN6q2ix7tV/WnXLVx7ota/0mju86
bR8hl9SE1xqXlBw8W9lz7n56XGxqXKLBdF1QWDEVMLN6azfajepgEYStEZbTu0zVF7lxp3cctBrq
6rXktog4Y7uDR5VzyAY8yFt0W1B3N5QRexv3VP/AqTekztWh45wEhrr1w60G+S1W62UtovsECcJt
1FUJ4LUDeSblIjLgNxpt6JA3RKTs4IPhUvdp5GBHkEvT89WY2XjhW+d80pcyOmnd9w8jWQbGV3xV
D8+5+OqJb05IUjIgsQJF2eG3y1llK+6dWhBj1JL8a1iYQbscwKJ5PR35wFvKCv51/q0Tj28Z/K64
sAJ4+yr2OnqYIpiL5zuUSd9/K3ixlPkLMJuFEiOD8lljR1ciTlD7hz7zlnV6bGVSQz5/8J81ChYK
TDVy115+IhugSnCjKZVNOatusRX5FK2nALaGWx+l/ofr/IjUfSQ9GjAvFbPkmnkXeD0lMK77Olqn
8m0v/9DUz1jdZpSfe+vj8p78Ux6IQjCc17+25CQO+NiSGcUw0MIu7qocV8D2q4qfcuUjdW/S4AEY
7sLsYEr3zTFHcUDSuXTbz1BCpMEEaVXlC0Fe5xFUy6rmMqFeLNJqQF4RhVm7i1B5QZMMpmZnuhDL
ee2BUopJ4qiBURB6TZj4y190PrD9/qBJmCnjLBqUmtJeVzMq+FRL+TJqGf3uO6nQFz2Fp8sDft+e
f4bS3yNOHnSqnzeN4TOFqYm+c4l3mSDaUfLlDYdW/dWpN738JZdXcfWl+k8ijnOp8zroZITBh1nt
WpcShLI33XZ0EUOUAwW+dmN0LvqTwU729JUB5dRr7kpo8/FNggXl5d9/Pnv8/fPHPz8JSpRe4GTE
BKUWb7Vg8CGtfuXFle7O4cuNuaWZ5KmVH+XoShN/QfAvhaKB04N8hnSjecbS8ai4IqvqDyY+QahT
tCG3fLIqFMt2BcSqPH8lCZzMUS0EyXu5JVv8MIwdGCk5fTeEh6bZauAV9CLg8D8ZNPnLAueM9M30
DpaTwdgFBAxovqFIqXRvDWpC0nAfNdWyQpYxAafsobFdaIta1NcxFoQu5j3NiA9GBCosNkOa7hur
W2qtumsa3O4PmnjfRTnmf/hOiJ/uoG1UWgOZUeB1QF5KKbPaucjGtagCy1+F9qChhUoelHgUK7Ei
i8UrxQpWnS/z5/sAOujllT2f9v1e2XE9Tla2cdOwz+AbbTU5tKl8eMxfS7WFxLuiBmaVEjJGcznN
+cfpX4NOQfRUdcRMk3rEo7wffdTTe++xHJ2znT3LVTiJW99VlpNvS2Ata8hTjY0Zfz86hFKoHIaP
KnoqNWmRGv1CdgRiOihw3JehjaO1qTjbsDdnJvl8yvj7eycBNFEtOUsFNrVRrJoOzAzK0tHw1KfP
EuTrywt6tm13+tWTDCZ1Gl+IIVZu1exoKcdG9my9fyzC60466KZ/NSS3RfOWCTDg1WEVoXVRxLuB
J2fmwyovf/b6vQ4wX3+V6fVFkPhAMduePge1mwkp37Dik8WJI8RP/IKNV0YvPN+a4TM2m5VU9TNz
P7fXJgElz9ykr3SmI6rUlVP3q7Zjd79cnvSZBZ7a4hlh60U8Ksc3AXag/iHNt3mNZ3n/FdV3l4f6
h/fAX5vp+7Y+mbimaP3AGRgLYPHKNd2VGT44rWPHBI4cDeIw2tPSX+TO3MAzMznlCOepHiuBx0zi
nGuncmn7wnOJBgO6nFG/7czAzkEnZfSDs+ahlX8F0U+5eajVuYbrt4v4hcv0Gz90MgOD28pJVHOc
os5aKDx7DOHnkL3X0o3cIECtv8uIY2fOXTrcKOYPS8cFSSMJxqKowPUMwUJh9OKtN7HxK1YK0rKf
HtUQmbTMLG9Vz7BDHr0Nib+lDIvavIbQwyatOQJhde14yJjiXSd8leGTaf5KdZCTgwI/8FXWv2Qw
R56yB31O9YeksH6dWf2zi0BtXbJQ3kc2eXK6fRfvYq0fT/fw3gu8UlAEVD7r5MNAelVN0A3eetZd
Hrx0ubxosHSxBBRcg6+ZnzEO88cSnPyM8WeeLAHXQhHqDRGcRuVKLSEg+M+WdS0DISWNtqXqmGof
vYB7it+BIPXRu+8QYddngt3559rJ75gkJpWoC7xm+B1Njdh89+l5e1KihYzCkJV8WfmTgdFwjJAr
XsMGSsUz03A2iJ0MP6my9nQ78OVk+CzJtmEJS8hSbS3SVw6VQcV611p/pdSUdAyMY8tFmxdoEFu2
w/6Sg7vOm3s+zizL9GJFRLys24jdEQP+RMxs4c5WxM8mDL8/+RvHeLLyqllTgRvvblFtFkr+5ni3
TfboEgREHEISsrTqX0Lm/4x+Ga/HC5vt+8Y7GTKO+xRDbIZUtG1Z3su1uSvSu6qVl+Jw2xabIntQ
qf650GmUZH15iWdWeHpNDV2QaNm4wczWXTlKvlDUxxjdYXGuezs30PjnJx+pybUm1eO85jgUQ2d0
hW4h+tQ68MC+/EnS3FCTKzEwQJNZFt0TRAW3rYWGviQhOkNsDIdDCJZXwUh6UNRFb3xZsQMkEvss
eKp4jC8lHbWG+PryL1LmVniShap51EeZy77t0+pRTl485RhBLciqZFVTdME0QSVjk6RjxvOnqO8y
EJx6tDJLf1FpxH+1wNoa41CcxyIT7U/U7sydj5p/4t8OIsZx2RqJjUMGa0prEXbREeyWxY0GZfTy
l0hn3y8nx2MSEQqpFJrYaQF6Wu6NHjdoiKPYYWV77D20UTiXpKouolXcoscoVygkQjSHd1dj0G3A
qpR1LJgDcZM0c4CWmVX/7nSdbLDUqlH+UNlgVhWt0OBYZOnOQnqsFn5enoOzgCjt9xxMS8lRHQmB
YTCSkTp2xv5KlVst2DYtilLKwWoOfr4x0y8PSaXaHNYusgUpNOYq2hRU77UC9Kb/ZkiQxKWZPG1u
639vxNNJUDSkiRw2moG4eCwtUk/dyL63KN2Nrjwo3g/Z8ZaKf4+7tS3H1sI3Knvwg02c0czWZhB2
Z7PGk3malCHEOq2KRiSTa6rqqikoTOHMVKvDphmT83p1eVlmv32SOtRdrADRYlkU6weqd641Ji2g
mg5GuG6qoxvRVQ1/FiIeK8PKSm8i+cErPgj4M7fm3GdPDntFKoA0M79DyLr92ArCyNHWIAoPm5zC
0MxXnyNNnW7GyYGUoyp3NZEVrxVxKfWAcEaIpmUsNYKsItw7iHpl1dEa5gAFMxfltE+QF0bkqCmr
a8GtccI7U89ss+oXoXFVgYnI0HvWimHmc88lAJDCFXn0ZEIYZTK3koB+hD4+/nS4YF1SbwIsIC/P
6LnvwnZaV7C7xntNlP9+UalBYZpuz+1ROTiK9a+OpC/j5sED7vftMUaVMqepeHlQUttz2+ZE/8mY
LCS67VA6mbktva+ntAvr98oari2HtFzEVSZs/Jsg1qPHRHdWQ9TfBlHavsdDtKmit16scflTgCnI
sdyiyyp7T3k3mq6m6iiWtlKCNl54crqLc7L3eCs33qZX0l0lvRQyfq5mMUDvL9qFUt2pyUsu/hAy
vDnaZ1lRkHhorkq/WDbVdWwGz51c/Oi920hurrLQtV1AUZ24dlJU+/uwQew8OnjWLpD1rSWXv6IC
dF+LHya1dq3+qovruDP2KYAxy+u5RRpU+DCSCCV/43vGZ5pyPYvGm0zlMjWpE/rJRqsw+qkQvYEP
eK1q8THPTSyzcWVMXwLrzq2jz9ySrkzXRboyDWik4Rs6ssD0ZqWX8soXhAOObhBMSpqmwVIrmmDh
GVaxqNDZi5zkTqvpE3jdkkLgVao610rZ75oq3UiicjDF57pf6yJl3QA0nvpu9nd6di1pa1W60utH
I93G4ojw+Rl5ixEtmUoYwJVgqwaBB9eukd6bgeq7vIr8j7haYY4NPw3uWXyHnQkM4dT56aW3avAU
FesRPNto+75aZV/8HhpRYffZSj/jYuflvzwsPuIl3Y6y3uCwPQhH0bGr98R89pW7SFhn/c7VV/CH
YgczcQ05Qgr/1564hPqtNlsaDpZ/1Q/rQLyKe+hx+nOSH6382at/5F2+KMv+4CTsmQNqPEOy1Xp1
iRQoTVm9s/X6upZ12ysMVJR3HhiRZuvpV664D7KdpW7dfqPpz3l5Ew1bN1wZ1UNGUbe6ElAjdW2Q
E7rxUeuoAi/i5q3Cr7NZ1R3OqziHoXxP1WIZjiS1lRgsm+IOaBpUitTfDd2xDY5VbksGXwQa59i4
61rfooIMcUbHtFjdYx3OK6hIrlL+G2/JsVW/MpmtDDboIYtvBOXgu1uQWPnIi1m7vHjz5/yhR6tU
sfXuTqQk3ttayo+GsrgtDfpDSwPbU7SLadOJqy5HbHBjZLvMfyzbvVteRcHRH6uX1V0u/DCwNaxu
6MUmmKC8BNEuLjGiQfl0rSnbxrQDZ992BwvKIRg4ud9I8TorUCPY4t/e8bLE0jS/pu2vuz9raxc3
y0Fa5uoO7WnZvaKiVdQ3WL1J0T3IfwRhvQEWrB0FP4DcpHdGOCwNbMjMZk8pYt+ibEib3hvNQx8D
/66pMDt4Sdn4vBF9O8TeOWPtgucUC2CsQKw3MVg7CAb22bKON3KNX9MqNH4gsd0WS3wTEGlYOuFq
8FZZtsUOLsl3svMg+weztvFWDb0VymVevVes2wqrAu2x7FeDc1MGR7Fluwb60m9sV6XjdJtpz5ie
y59JdvQriha4QtXXgnRXiXfI2S/09NrRf4ruxtHtsFp64nti3bb6SsRu1Vu6wq5EDzemkHrI+kXZ
7XJjiRZKHUF5Wqvq2vmFtJFVY4g8qjwsBoyqBJznV2V9k2Ur0eIckGHfuyUSGSgnLs0HxOZtx9mF
tLkTRIDTt6pb+uh8FDdJsS+ou1u4Or4o2S9N3FU43Vebsnvxdfy1zFdzWPjFRkZ2w9OOAe1L5QnA
mk8P11ub1R5lSCtcGpgKDTZ5lahCQVmkw7IDNoRYAe4DwdoXFpghYFyLXnV21P1VlV0Z9+0jEvhe
sFIQFmiuY+GlVG6i9kGilI72TKWRWdNXWiKlNuA7rW06ZYFjtKRuEA/X/L2QPnbDa90+9c7eUdYS
giVqwv2so2xqCw9RvUQQWyJ8tlv12nPWg7Wom1ssAjnCknbfu2BDFsmA69+jbNo44EXoToa7Tr9O
nFH7uCZ1irAowmUPhvSPDivZAXzcFuVHZkzjLw8opHVoXC2E4sFBDGL4cKptpK9LFU73NvoBlqxs
DnK4qHaCejegJo7usSHetJqtUVwQd03+geS/YD0U5TIrlgYcF5yP3FWFs060UyoYGmAEhUVyHzgr
h27l8NgAhjYX6ScwQrQgHPGhUdehsBtNjiwQEg942Ym48wFZemyEQ6fapfikdndluAPYY6r3GbE2
wesGbWWRKLGjfzLIdqZuHPHV4tJU7FZbV7j+6OY1eqcFatGaHQjIV26c+ob2NDUhd59qLz5q4w4M
sWMSPnY1BbcKEYilgx+xAOHYRtqsZ7GkVTZQCg4Wif5aV8uStqq/dm5C95iBtOGFN+RrQULJ9Tn5
pARo5psmvRGjvc6BbdaKb1v6oXeWiJHW3UEp1/In3VcisTRcCb+G9srsb9Jq38crX6GYR99xBQKq
HA7BOz3V4it9zAm1/I+YOHfpD2ude9NbGeoy/JDyjZzeJPE2T66aZ+SiBWk1DDcxjstoUofqglZw
Wm+pxSZf2CVX6YuTP3rxSht2pQU0KV8hp9v5S0U6DLENlH3AQhoBGk5psE9xv6s2Qblsgk3l4tVH
EWsJAkuQvxr9HmGowl9L7cHqrwQUNvKVpvzShZyeIBSbFwklbgpdffmsVXe9efDqnRFBVLB79zXv
UVI7mhTFflUpzaa1hxBOfpc2e/xhsxq3qOuK8hTIgp3FdW1u8aHopD2JD4W0KDp2zo0rAWRcVR+5
RUKyaXzcne5RsI2sjZvdy9qao9APB6VhK4+he+zYh7faO4pbPWhfd9O2HGe69ZBDcJGGgZLdoNbb
ox1ubcx7aINqfm3FV2a1LcIrgVnGsr2EPXNdN/cAupToWElXjnEVsTmk607ZhMNxeE8rwvBN0K4k
rMa7ZcrJbha+u8Luqmm3Sb/I8o30UyjvyuQ+Kj8CRBIOnn5ftaNF1VifW7XhffvTKjcalYJ+nQoH
1Vwj9SahapUsAnNPXHXig5ncVMyyZIv16n+4O4/l2M1kW7/KjTOHAt4MzqTgCuVZLNoJguTmhve+
nv5+UF91S+q+6uhpR2ig0Ba5CwUg/8yVy6jQDBvi4VOdyOt3FqJqvRvIbBmcUWc369elO0pYSAa1
uS9ZvpSHMj5ahImLB0JczOKx20W9jS7BMg/dsp8562EYrPErXD3F3h/mPXUC6pdMOhSaOdHTWjBE
YZfpboerbGfrj6pxtrIvHnXuVJfuZ4tuyxHj1XO8C8pdlD5EWWDm/mLaPPDc7klzugl+0gYOnAq0
ovg0BLL6BUbL3YgMJ85Pd565yi+/aqhpP+TWr5ZzMnolfDC4ja0tPU2x06sBlXuefuCTbKWXGObx
EABc1ArCZDQc+E1fpNKBG0RcpIkLWXAv1lh6CI8JHu+abX2HlZNkAdSOmpyWu9Mt50XkHLcJgKSY
ZeKme4/nB5M00dkOZYeZafjua5/QylzDpdNLYgcyCPL90fokmV213sfOG5VNY5LgcLZquw/tZt6n
mp/SImi+YAHX+2TjGOGJnGWpeA0jl0wY4RXimFFs8wcNmgL1ZLQT5SCNbxKprq/1e9I9iNGOP8BM
eWzXvkmZjgYpMW2Gqz3CgHd2y6pJYeXWm9tB82sYYPo+E917eryrZ5mNgXDmLs6dj8GbGX+onEmx
O4Fl0RBpPzruo91MniUEehLE0xZ2hay5eehg6cZ5mWlnLoHSHY6IAh7HysmjQ169xVqgCx/ZQAO8
qSVbWpk27WWUH1jjxT0WlXUQJlDDd1HndoVHko2S2l3tNYrfFQ6MZRB7OfLyhbAxJyaplojTlgi1
0zwHEkfWF21Lr9/myq2tswoVH420GcADHevSVqWd2PhKeriLm1Agy+KUa76FgDRy7pMb9X6jkJT0
BvKsUhNIkM/YzrPM3lhfQ+Lp90sj7FvmgFrdqE/CHmafJQZJ7XFr4A+llU2sK4sXM3X4YeWhas6h
HCSyLcaulfqLdDH6XYJZf7aFREPt1ol1UnAn/woLzJPt4mnEEq0CvtmNsd0+NqWPAbTU7XpcreiT
hY0SHZMwmKNtWG3FNYOHbCTiOWzJZJG/0bgqDqz6oOhrFcgITazdOQ36+qv4MXOaE8bNSTk3Pzrs
c9pNoTlrTGl/akNPSncttnyDR35SNPqmfLGSPa7cS/xmhq7ENjZ/rhM/jl1F8wsSilJMpD/mAgaQ
syxBHoJdHqTC7s2AENVERdnvczYn+rYb1mdYk76T8aMV1bOlYlx4a+E/jcVlWDZI4gf5QY2Pwgm3
QQDb3vIxfxeQW94dzuMyfhpJw51SWlC37w53Y5OFftsEKV92SO9GuXOhpMp47qpKYJjHvibIaZMI
V52kJMke5W1FerfadaDuB45ZsvWaxA4th9MmPrflORPs4ge/QjS2GhSy8mat8YR8204n2dqTvnik
E9WkuRrBQsRlzSHpp7pffU2QpY754ma9KxTBjNM1MRA86uJRxGGVpMt0p6kVYa9eZzws+SPJlIvu
yLSrC/trG+co2os7+n/iGFv05VtJdu+qH/8UB6wUz3dmVYlXiUhZhwn3/kGrqTR+mrKxcOhT4Hos
itPLBO36g36Mm5vG0xv5arZ2EOJTmyNewQ79scRdvLOBze5vKgEt88e8EDYl2q1MW0m+pFda0Kad
tDpzquJiTpKiAAEZqOQ+HtXRX/PZNU+Et6ocSrjW7bO5BEXJ59pZFBdR9g3Z1vSvsTpIZrbJtH2h
PJCEs2TX0tpMkitEQVJ4S+OkyZ4saouU3xq/dldtH1PzDOU5Yf2srCPAa9Xe2IOFk6uL21SxZZaz
S7EpaGzXg4i7s7XuZE9T9W0aZj0LIgHWy0ZTXVbJbbPH53FDT4bfe00RI40n27bA86MvgR9Ybjx4
ugy7b+25W0jNBn3bdqr38FEl+tHYayY35HACCzIfGuh2ozu34EKu+HOZP6z+QsJNW9iAKszUxAFA
MgasH95n2YfuGWdPVuKXuasnV/0Ffuug7WrqOw+BpnwW0mPcPU4KkIEnmmer8ltmN2UvNA9d7qfk
YA/dLlkbFPiD7vLjTvEiyuy7X67YD6bmZhK3aryrC6/FQ6gKhvJBUa+DsSFJWqHuTbs0e+ax48ta
Oxpp300eCcONthnbW626i0hGtltjVEYsT/YeD0dttkWLba8aRJHfqCdRCpR8N0JqmR/bKFiiZ3N+
EiSogmsdoxhywzhjwneDA67lULZDYVeHtv4F/q28KTnpcgxRjtbBMrV5+ZibBIE7uM/1x+JVQsOF
NDKxQRQX0xOSJwsiGezLE+MLx9HIS4BFSe4tQHIyvO1Nz39hsiF6pUOg9zgabmHusKqiK8n6z/EN
4lvSb0m4k1uqWsD/O5nkEbmDtiHaOXkpY0Y7PtRRnmiVOTd2k2g3jPC4XR7gb0YiqkonGkheAHvD
QP8oSu6iHjRC12Jcdty69YYLj+8wEl9Ea2Z34YAOzI1KL6O2vOf9ScyxFn7rrKeKqQRzIpn9zmKU
tnJ/SPRvAfAorM6TbMejS35z3wT6vEbBTOOhIVGwIt1yvpDEnBtPyrStql2nUt8hTjmpeM2Fh7yH
BnTgPRWzrTQ+WupbPAWz4snLBTEpS/+O3ppPw+yspe+T4NbmMVaexPRozmyLVEQP7I6uY/JuTl5o
vhTqmS37UrvVmpNBPjRZN4o7gcoUwqvESiHKPnCJKUfy3WxFIE6e79I4qHC42ZvGPpNbMvyQ75/0
ablii+Jnb57pvkzUZKtANXMhgs7J1Zq9O7sIymbswDoV1VMXf6TxY1983jEm72meoh9CetT66xqd
HobXeWCG5HcEjpqeW2vf62+6aXIeSXbV6hvznjk9x28/XOX7l06JGIqHwXjSJRKmqsuMI1u2PIXz
YR4+tfAemHQBY9j5pXQwsO5gtS9muxTH8kY2KbwxcApjBh4r+mtVX5NOtrOULHJYub31GDUpY6K0
Eaq9dv9SotdSMZGH7ua148JtM40obDm/y7QceSEPgeSRkMdvEFJXNzmtYXsLwnOh/DSU3LYMvmek
RF0luqHw1Ew/luTQpMA5tESEkiugZ+rwtlZBZmb4RJwH1TZRXMA9QKkZFDOPJ7tK97jqTOWuVZ8L
faSgftbEQkjZR7k4BaSR5Sdmn3dYftJJMd4jfE9T0NUp+SgiWq+H5H7JzM90JLRk369fAENGkT2t
PqatsRcRznQX4GieKHamoFTmQEg7wKXEedrKt5ZirkewTPrUETUsCUoC17tHRU4QqRg2yeLtVGP8
TLjr0WD+isZjJiHBUR5l+TnNvrv2h6G7o/C4ZGiKVPwL0+OcMtFQUId59SqNi9PIpLQEgwjT5V5s
ai3ZzfFnReSJAHszHW/ZsJ/7Yw8WZM67sHyR7vTM3F5zLWrSsSQlvcZEI2Yk1fnGpTr2hJm4ReBD
+VGt31TQ7JSwz7GikVqp4LxjbM3cHkZdnUZEr8F0LFjYShUpcT8VzOIilEMClaIy3TkEteSMDLlc
KbRTvoGIlLlo5DKLzq7mSztlW7wz4Y6AV5hXoTtbsIRn2CQSfVPauRbsxAkijqHspfZQK28CMIEB
CJO2rZ0hKFIqddujNDXHrzIn2LP+TiV8Plfwn8ObkyxefXFUmbPpR6bSAyMuMJk6iWcrC9gb48O9
j93Z0OxEPw6VETTKbQpfq2gn57tUOy/1pUgZhP2yfbbAFox9sRwSc9WvfvLtbCSte8r1tPYVYVWB
/7oP+e+MUWNrs4YlaQTr6iLWm79b/Tgf/cf/+S77pF9OH8X3//4PdsM6koi//afgx//+jwYJ4Z9+
/rfgDu0XyyI3XhcJ2tAJ2GXn/Vtwh/4LyW0K/0iWomi4X/w9SY3EJUUWCYaSIFEZZMmzafpdKKO+
hjStibiivEY4/QfBusqvvL8/MFfWj84FkR+iqSij/7SOU7QiKZTKlDCcG1llMCmy/YcPNFz5F1SC
DR5qhzkoHRPXIrLbLUeBI6WFwZ3swfA5stiP3tLpFa9cb7mnhzL5ND9Y/fhD6d39XmQysImCLaut
wYH5Jr7pt/wlfyHP+01/4z/pF/WincRL8Uq82Knfq28yujSEe7C4Obk4hidbTPZXwiudCAyGzVcG
Bj/WbMMd+VJMNomzirKtEKwy88TDFU3WWDu8mOa3SmAiox3ZrauGcdOBsd+WyUYXXXH8bFKHrERS
oFg2ZC6Z8+fKb57kr+g2OHnhUOfJ6a2RL5lHWqeE7VO61c9QpSFA8M8CgAZ60yJ/OeRwmXRHQrAC
Jir5jSNDzbvGL0lQBMZPGvgAdV4Q1e2uw+ddsU5mzudub4oaDJnBwZdtGxR3khp02UmZIH/EIqZU
8a6bza8ULNmq1pMGfUzu3Afai+knpdwglwi0paKfrbPMSePRMeuHKr6IvV8Nx/6nynIBr/Uci9t4
FSUtR4ZsCc6+CrDhtIzNUuVjiVOts/tpFm+S9RjGrGg0X5euRXTIZFcvaCyz2716mrJbhwNTmT2X
Sgeci5S1uAqSp/XwSKutnnqVaheiZ2p+ez+DcinZSyWTQW9+MjHIPgbKTWjDN0syL7Yu8wULnvEq
XdPYE5lSYb0YXGEDn8hjN8RFMb3H5MDLMGNWTBa1kcoKj/H+LSOg1mWBIBmb+jOsnkwStrCfax4p
1f0WAdq+32vJZg6G63xohfPY0yDo4AiOgK9yits+8LBbfQp+/VnGsZOS4cUANdnXXM5tXG8HL77D
gZ8O9Sqibjona4+V8KGwQotqkGrtEKWE2ta9V6vCpVtDotTJm1LhYHbzwRi3BV4594aeLNrlQ8Wh
+ri6dLZc5KKDpWnR8c6GD5fZbZjc5JrRJiPbTEa4b0HhiixIulPpcYL3IwiH5UQWUor+rcDOKJyR
00vOhDQlVP17iskq2mX2kXEk+CEJTOqpWa6L+Ik2oY6+gfl/8DJkxzvC/P/aGq+JJI4QX67Lmkk0
nrjS5P4idneNuPxDjf9XP/9bjScS08DvXpRJf/o1ePcfNV76ZU3MQ3++hqFT5GFD/CMtU1RJASYr
k0BN/pCT4f/VeNn4BeYsB4JKPBOZSqb1n9R4WVuprr+r8X/+6Gug8O+Je9NYxniTKLqPdJDKNE5e
BkzfReFD24EW4SmyoUMaHkez4tmLReajsekAmUKFoSHa5x2wTx6BQxX6033pKUVKcxxDLL3aFq2c
zIS0loDiMnYdXYo8u1PP5nxaXGNRg4TBvSuZqKJqYUlZuF1JV6r8bMABcmE3k0AroGuQ2sErmdfX
pOqsvapoK5Oe5G3LnxOkvRQ6JY6DMIWzBbJEgw7KIOTY1Sgvd9jVJgyH3NguBhHgJpl16rBJYtYF
sbIrCFuTsJAOSxLVYCZYc0Fz9jPSQKrLdyNDZ1c9klZNFypuy3p4ksyrWvLFsIKOq/u+kodtuyap
4YSumDAYCmskNaH0Rat9nhfBF/Iw21qlgWCqb57uYZMdhqTzR66uGePHOFVPWdjsylDdd0m1t2aT
vjWXkGuKX7VZJQwV0vEu6t8jVpoj853VmK5J1Rvyj3xWL5EWbRdhOA0J5+l0P+v1rRwmp+2kfRsB
aoY6EOzYBqsGeqjlV1FXA3y994kCd0+ajhbo6DwqEIs4qSLq0o8ijG1rgl6Uzxs95QDX7U5gpQRG
sggUyCwrL52mHtt7ERAq6But+LGEbJcRZFh6QemfpWsu6TdxwALeEv1mCary7qKTwVqLTGBFIPMI
nhyfMbK1c6aQ0Fpp3akyi3PHTk2PMzayXL28KXNESMKU+EpZWNtkaB+H6Q7fquuDZQQEVAcZXnwd
wpx4VRUBvkesXIyKsa/cFNXyrLHJDQdrO/PcavfUEy1z35iTIwCPjHTzWT1t5Tz2YcQC8FeuJZY7
dchuY7IqxYAVUwak+StcWNeM2cFqo091rv2JbdpqnWEuinc3/Fxv/Kz/Vlq4ifL8PqWATvprKYuI
jmvxYQAeq/NxXxTpsdZiLwOUr8rMvw8xGZD35z7/kSX4V83xvp4xGDAtFQHW7OYAPm3S2MZ81eXL
VDKwj34lKn6fjntIsPtlYTtIlDjvh+L1DVvv+ATxxUNcDMAtVC95iGC0GiAfLJ99bWwEYzonptgA
QRWTo49j8F9b9GnM1yaZJBJVMSCcGfAX/6Lo09hDFftjY/9PP/9b0dcIRSVCxyBmlV5dkfjV/2js
1yg+FT2qQjgJNLe/F/01StUUSX2VLSzviGL9Q2NPNLsCwZXXRVQsJoX/oLH/G4/ud0X/bzMJIfNE
YmEjTZ7dH4t+Uyy90WixvFWTEteyKYYW3dSms8xJBlosB4agA4UCz6ox4KmVPNQTW8u6YTHWoZ7s
rppcB1HMq96ZNwVBdd+zZiurt26ByKDo+0Hk6Z0yRyvaS5gNt1G+lGxSeuFJqoadoM+bOxyxTgC+
kxccVmU7xdS67sm8AVCLT2XI203w0lVDMzgZ7FPYpnQycpdoH3FKzKZTVvImK28R7KsyVS5jNW06
6fFex2AYHfCpgtcFBOuKBYfJhp6cuhkLOlTVxoysO4rccSh3iniy2l1b9ueJBLa5bbfSLDiRmjoD
KQ9iDKcKrLeLcpw0svhasoeE8nZKlU8hkY4pDp33JjqPkrFtlIfOfGli6VEvWS52I6vrRfxhFOOu
wbY2r9Oj1QJDjGTN62K4Oo1BiKo9s5iZN7QfudiAo/SfebqdWDuXZBUx6xOqPJSVZ441xC/1tGp3
GjMBahAcXOWOLZr2siHo734XrnU07YsMCSgovgAqAD087nPi462gqdrjAnUni8wAJdlnkgmurprQ
ukp7bJWbmuTnqJ8CySKnWpgQzJWBRZuss14F4ynV6pjoP2LtpcjZla4NaG1upaGHcHcsJsWGsrct
74pndpAPY2OfipMTtsAj1bXJei/JCdaRmn0PraE1ZCfPJG/URUce+9chywOD7OfFkE7TtBOxiGi0
yDYXZChj49ViYWczTgUiG4+4indT1bg4giHaEnkay1MDyArfyFaWryicXQMyXMvWwVJLd0m/5/I5
kosnuKyOao7evR0UJ5wlu63ZlsXiAaOjh6iSNnVEiioWhQsgqPquEqvR4I8htSqrUtnRO/MQsZa9
lyRnywelhWwGW0taIExMT+kAGhiXSEp4RA2d07s76BK7cuMq95o3yqtb8lcFvUMfP63FCpL7jF9L
ixXCvUlc5m96JMTyGFuqwPoSlgXC+BoWsa9Vr10avUZLdy2k5pTq2ROdmQ0x3YmtZCvFINVReIO5
eJBquEZG4UXMc6MUvYkjORjldxEaDAygYOaLqg2g0eCayT5qCTTiGkN5WPVeFfwoA57UfVR3RZ45
CayMKi0cfDntsp2cJp6OJY5Qtf5URKk3jMOIPajwMWBf3TVwQ3IZJ4FR4zHkRtX8NPQBS39T8aLw
6z474qyHoWiekgWjG+KHlOnPOVZf0Eim7i3PIFHj/UPKWKI+GEn18btCfflbWft9ZCfV/I897j9V
+pV2/DvavC71nMzNIG0JfNAZcoX7M7jHrhzarSp0bgqRKxclDyVaU4YeSb6biTh0DXpLiT1YEhaB
3N6y5M3qzi1XPXp95o98qRzYtnF/Dad3q2yg8Xr3/DMPgzFc0l1VHiSeq6iPb61iHqpwWB055nXl
xCJQ43AGMFSSvUzUsCqnvjjf3bBotrUhg+uz5eYBlGELkTWPhDyPdEcN633TCUdtFFljJTspNTGf
652pHcjLsXbLiI3TLLpt3fdeQ3qOXZbhtrrLL2p7ySAE5r2psgwT3gvd2koRLDqrK09T9lyF6UOn
c+9ZaYwArDWrNCtkK1th3iGmFzzZX7KByjKSEsyJSrpp2m6SYfkSFkB8WTf3g6JvF2nFN6PoY0FH
FWdWMGtLuW1L8aGI+kPLLmKSBnfs4TCGqrSdwEnzFsgziu97hA3PcphCKu+4ERVlLozOcti3kLOT
H8iYWNcZrY+hzm2J+Ts75LBLGD8XmehPaQn9qb3yNwRNooDxJ1tYyJ7Y34NE65wEQhp+lZcSspsq
AvS0d9Y7+cxKcB+bWVBLArsqNaeKjSdRzA45yXSaORIJxi8v70EJd6ND0S5GNVnbZDwQmsY78jSl
5I8LZe9IGgHcLBKxnbSTHObRSmQ05keJlzSHN1L3H3MKjmU08jYakps1QWkbsS6RQppKNbVYMcBD
mat8tLt5ziA9mV912qqbccGhCbtP1c71VreLlv9VknJaynWjOBkSG8P0M9RYSFSl/MEaId60asFJ
Eu+7GQKcCT5EL98lH3cUZ6agUx0bO4b8SkiYrTcKrIJ1qavi2TTlmktOOT7a5DXl82UB6igRVg01
a8Z2sZME2ABX0PZnlmIIAJ3lzuGghYsjCcJeaC3/Lt3ExS/n3r3LrK6YVupEPmvlZSYNWu92rdJs
5ajwQgsrNVOw7/qya/TeUesYtH+BUTZAd1Be50XdaaG0j7NnDdoI714kpi5xnkcZy+plhq6rPrQo
2bpG/lwieA4TkF0M3+nOnpLDsV+eRpNEdJZaY9fDfb1ve0XZGUMDTJlAGkxPsvYhK9MuixDQtwe9
La5GvHiSUO4y2GtRUXs9uE8dJZ5VSJ7J3mso8I7u9nJk7PphGqC+qNcM4hwZXTDyKqe+vyYLtBfu
Vg0UlRDxvghQrtXa8HnHSYwrg4X8uKIEHOwRdBTQWDE4dEsJW4hYswtTfxSVgtTUjCFUgbdc3NBf
4DBmIvDV2PyRNyf3IJC9N6iSm8ysVdPsYEbjoS6VYJ7PWTUEXfo+K6/Lff5Jm28TJeczp7i5YTGN
SRzolyZZGJ47ToWVv1Q4WRERjF77cqHhjPa2pBDU79k7E/eTPt7h3fR2rEKobxRl3xfYoEjF4OpW
7Q2CtDWX+26ek8OsQczRkrM5RDtJATas5vIsNLheyBkkBMYPbO2JPsihHEzWUQ+tp1aHGxH1J60Y
v+/kmMmj9FJKDalHkowSevWg43mtORqEZr6Ouokei1Yiz3Cl7sCsr2E7k771XzvDgN6AHZG/Iq4G
3oah/jVwpSKq+cMM869+/rcZBuBKM0hrtbB3kEyDH/xthAG3kkSNQF0ZS2Rj3TL8HbfSf1FlMriJ
01njHYkW/wdupf+irB8WnYvE5GVa0n8ywvxJTbN+bmLLWXXolqLKWGv+8UQXcyU361IQ/aI8aRqb
Ah2fq67bSIPsYKXn/nUHoXOxfwLJ/vA1g7n9oYEowm4EwBBFn+8DF225YwdRic4wzHC6wqcwLCj7
zapaYu9usaZTXf2u+Hk5uZZUvpRyDStcnxHjCegHq/LZxOdZ6qJHo+w0V05FtAbpMkDQaQd4Lr1q
wS+4d+yyBzUbb3WOaXBiQfXokn06W/JzMkEVwzAm20eQ4IyzKRZOz8BCd+jVoek3CSaGsBV7zN3q
5lmbIE6oZ1JsG2/odRhOIC4lWo85NeB5KvDQJjerPkek7q3y2gL7JxWSgUII4Xqp5VeXO4j6UUJu
o+QQKkgQ+rKO3/6bXzxFZAtnaCLDOHM+D+hfgAcKmPKfX7x/+vnfXjz5F0JRaa3xNV+B6N/eOnlF
B9Z1In6t5goq/OOtM34xDVJ3frUo55UQf/fW8Ucy60OLYV/FFxFM4T8ADlbE40/vgcw6U0afpyoK
W8s/NdJGbcxjivzRn8/LQ3iUMeHcjj+UskTVDOPFZ6K4+9Ye5U/xnj/OTCnmBgGQUGyEk3UNb6NK
0oKrR89C5Mk3VhWbD4tV1XfutjY0OFsK5CMk46L7adKBHvSrVaJMukScfvv13TKw6GT15FjPqAlw
nPQqB/Lh0/KSH5t/kzy43sG/vNa1JvxuaNCSVJEx2Qp99GDH8UvdIbc4qMR8Ae61j2XkiGxCgVAx
DcHzWpFAljcwrFkyqVCxiUN+EgP5ZrmCG7lQU9xsBx2UX2Bs63F/V5xiV/nj3nBZP3ZvnWfYsAzt
/mGI32e/ikhp3cw+jrvn5SW8NnsG2v5G25mHW/giTzg7TTRHm/Fo1J9psc8Xp97Je3jSL+ZJc373
sP6LAerXHcDv4KJ1RyBKsipzCihUXO3P5S8joKKbo9AnMWmXXZcP6SB59SGCHL84BF1aW2PzCnVv
W+/j83Cc3vMv5WX6juFISRv9g+AX65PdXdVs+u0X3oe6hxkpLGsC8IyPfMtiavCHYDxVXrrBw86u
30v/ry9B++cnl0uwWJgTBczp9Kspy+/uZm6VVlstpuX3r0htZrZ6kCcTe76tvQU0p425ix0alMPd
j89ytrdeEKptlGNRbYiL8soPKTrOi0v8d3FpH7ArM0+jB4hx6A/Co/EY+9OekFC3ciAeqnuI7NDt
juI+dK0Dh8VfX8yvnpl/vh9UgPWgVWSLU/2PjyYu42UqtoblK4/Co74boJF0R/F5+RljwwUbaRPT
e7Mpx0bHclOsBGY72lxNrs8lfjXIGUkbD9nQFLB3vhW36KIyVj4znUPX/yy/w6twSP/WVf1/bTDW
VuRP79Na8f7xof9UO7RSqmdaBstfdqAnG8lZkH4gEYRY9NnpdhNvmR7XPXflWBgxfyeVpw+B8m4c
lQekNqq3Ph3tUbusJGDRhpKWnMOX/tjtrRs6Jf0dyaPVO7J2ZM+Uf5dH8/rvjLDM9Yv95y/+t6oP
WPvHL77p8WhIEp6i+is/GI/1ITkx9enkk+SPxMKIT9I+dbBvcBsMF6GGcYjbZMUG1m6EZU69wid2
p19QR9U1K7Bz09qyO7iDTWP7pD1BtnsBYdoSgSafpodYuRLLlNs/ftSvymN8SJ7R/GSaB/9aareV
4XDDL1Czv81pA50T4i7qHeRZvkWfwnMqfVRveBeE8rXdoRcZYPo94RAnG5Do/s0jqSjWv/tu/nR/
y1QHoqJ6+JF1goAqvUqTvkpU+zvMSmfG/jLe9KygZuqAx0yT7KFk/gAcHOGDwojsAm3w5Wyb3V31
53CaH6dvMbvUKI4yF29227ITI1BbnmBzQxjMymmUXFjfg3KALWxV+7LYNaHPfqqIT5wVLgO/B09F
ZKzQPUQvsX3fmgHE6Jt+k6FF2fD1PGDKjWbfrYaXgYbOkWAimJfluALUCgtBb5mAQJ0CZp1c240c
KF7oC2fhUX1vlm2BwGpoD2pxeY1+Fj8Hu/W6XeiyTjqtpwaf6Sk5S6+h3wex/Zl7hZ8dw0DZIgDV
0ROIu9rRr+ZpsBHynIwt4Ltee2ntZG79KX9ZrR0G4e6+D7fLq3ljkCo/la2OpfRm+ape68/s4f7Q
eWKgc6XJUXsvX8aX9HG4Wp96EEN+9/Xgvpn35E4gtQ0HR+gfy4lE8KOyV79JLQlKD4+0/dtbuMfk
2tMeMKPS/OQSqbbyxPQF4RbG8YuI6Bfj7M0LTNlN7lgex/BbG+S3+DJ7DLK+foXbAxFI246HV/ht
bDCZZzfzBiVvVJ5j1UNKorxD4zWeYLZjRpFVNkzmAprwXn0MwUJ+msC2H82l3k1BelIekAEabofe
b1McrIdy43KYBvL5RfSyWxHEz9JucSzTsX5ml94NPcONPVLaoAMerHd+3yA/sxOGLQfZ/ARLJ4SF
t8loFlJX3ONtDuR8ewBege1xCve4sYpbxD7cJukQ+sajtc0+tduySd+Xl/sRqehV8IeDAioN0uvC
Njn3x+Ys78MTUqzSNwanO6t7EvEu+VEovWFTADrtraDwpqA/lafxp2igTLGzYPFal47/0nkr/Hqu
DhxDDuQqD8nXMtiWL7mU4dSVbOg+nuyVrrz/WEmEjNU2fv1VoHq6p/LcIiHafgs2XHU7dwrbOKHH
sMVg0nhoMheTX/ojCDV2fguPQLcXBPfP5LQ6ZLd86w474efaNVy4LCfpZ3H7ZlPyo6S0XNLX9hx7
4zbxLXbCdniLHSwGK7t7r5lw+AV0fx4Oyvyied/YwkYE+nWKDbMKk4sjeUjuvPeClMuf4ulnhvH1
1kQ5uulcZG4Oqb+Srbzgmwspc9Pyi9ZTwK4f09eeScTnMTrU3n0PcWv47o7RRn1jtTpvtG1/Yb6j
yJofgdGzjNlEOwhLMrj+hiHFeIgC7RReinkDrud2B21XHVouMH8Uj07xMX+B32RXHvk3/p6DepRP
3Uv/hEAltONjsdcehf2wg29Kz5lucl/0c0T42Y45iZ6Vx7l0cqfys131MOoBdYzc1eFKaWMl7sa3
EfqvDXUfGVdvbXLU6Y/qafgkid66ib8qCOzsOqydkOjKmCLjq/AAsCdOrtDgseOgwOcXZr4ZKOD1
LDcapCqu6E1vM4zT1+Y1m1iAuISQNx7gZYvWbkTmGVD5zf/L3ZltJ45tWfuJOEN9c6teQvQGY240
cAMCIRohIYmn/z/FqVPpIKLMqP+yMkdkRoRttrSbtVcz51wZ3M2AhkOn87q8vgJvK1JLDEgy88zI
AdvgxVglyMkO6PfzECFJJTIt8ssWD8KJNsIyoDJn0cKW01856TSdwt0ey9Elbr3Xxh4jPdk/Dfaj
dJTPMefwaLinjTcdzsG78lb0gVIgOQBwa6FOINPmB4wrILfdLdRCdapOZdoHfUqf6buE0bk5uxhZ
7Br+m7akFxXJ3AvYcNNXfdlvImG0b6aN5mTgL/ytz6KpTj5PyMTpYkfkgaW3i7KJ2r+gbmFVw8Mn
BqeIDTGSDX8fCv79rfdSve8Ap71SNwvq8L6+pH45vA0bvzIscG2EC/N0rk1hkWUwnhrPHNWby6Je
kLY8DUtMfPqCEIO0DylR7IYIrkgd07PWvdM+aqP70rTYQ587GLMRAsb2/vWDmr6rLfJAD/jNye7Z
zeRV6gh0BXQ+aYToOMU8+zZKiqEge3kk9m994wWNi05mSXPNfKwTKKQeDF+rcW5ewT66dBpRzRKw
wjlErJYLw2pt0puSZOdePmrf9wNleOIglZ7KJYNLtEzfrlbm1n7nXawr/zwS+/d3c6ggdbtodb8R
bNZgnA2yr/3o4NWDy6SamAJkY0J+9gK1IQEkIUa3tAjNbtMyH0b+5UN1d1E93EGhoi9eXCzLrZOW
zlKyi7DFfTksdTIQOCoUtaRp7u2cxAZqR21I93bCBMBiSeMFex9WC1DR63YFc5krnWYLpxXgSOkl
cV6MNZAIK5mbyvu9HGzlqahhnOFSvt7QpzA8nB2/WGq+4cPM8QXYvgSb1EGj7aosLWpSPlBTb8cE
vWQ5tEz6JwZpzxdcaLvTAbre9i5CrWG0C3rLcwi6v41gqvKYB3vrtcEhulTWGkPdWk0kD0xf8W5+
wS5c7tsAaL6OBTIphgOC9+tPJOStyvos3ygOZd4FLAZO3kw24JJRsdxmHp1Loe17SX83ImtDyjXq
7pftWjCHPeqn3DpAQK+j8m6fDTsRNyiQXEuwmnZieOSeW9XTOdDZbOvRIcetbZNVTUJw9r7mA/mA
WX2d3J1+Yk92jhFAo7GqoOfkTh2imBjuPDYvPuLRhfxiG2Hbs0DPWokFnMWHQ+poQ7I+bCIUUoYV
HV78T8lHkMK6BlW/+EpcCOBw0Y7kuy3IvqMOohVQF3YQzPHUqcgtwGXt9PpHn8JP/+QWcet/7qNN
4aBNsEg/G6dyS+fi6twH7Gan5NeNYq0l2Eii2P1+Zs02JKz8k9f4aR+Yz3bnXPG/YM25tKewQS3Z
B18b0knJotvmuAxPd0tZyPE9RLFdjYlsqFJ5eEx9KBN2d2lrkUEXn8pPx1oEfyBWIpQYkkkyWRqT
Q3hfZovbkv5UzYc4EmmFnHwJQ3GGMEan7+UWDtw2G8q8xRUcy7wc6jNW453ZdWJ4Ck4uqT+/+2+x
3MdpWDhUmUbGHMI6hVirzy+xtI2LbstVqIlrSXQr86UWOvEFuY1OaoHF5C6VAzBDWtm/qw5FRuXq
pJBTqvieBXkWS6TtROemO1RagC5jQGtW9WsP2qHu30XkDiLkUg8auCwL5IOjj9UXOVQG2QapAbm2
jZND3TxR7HK464w3Nzr84Kj71tTP+9l71Vf6p44uhP8TnX0VLZt3uqFZ0kqcHZc1AyBoYxmDOrpG
0JTQqisNtx61sflJciYwRnVf8JMVXfYIZSL06GLuGruIqhckYpzOidWXpxIBA7qBWbs1O9veOYTC
006uJChZV4FtZn40S3GGKG/lZlNts5sqkeTLIQIBiS1QET97zVxdUKdSvNKtvfukdUr7bAOskpxr
6eZjezjfevIIiZ34vty/nIbGoJDtKxaisA5x+SZ+qm9big74GW2E6LXxjkoGCFh1I0+E8CjaVzyo
IqKo65QrBnCj0t6Ty7IJjCDmhXo0vK2TkRmlforQMSFb6agjfbkqvYAjJ/i38OTTAcXGIedV2Thw
8fspXlxj7YaSf5j3OstlV8F2SGOlzW6Fd4obBrzE02v/PgJAuCIOOy/a+OjuHLhuU2FizupotZ2C
s/ii45i9y10SK+SVb+v65TC/j9tIRjIELSJrNyvmcDQnxeS4QvOAwZo5VBp6IcADhS4OZPulGSKM
lFKXQ3yGlBOypviLotv4CqBzeSE5u3GFF5kEcECRSDzebZy9F5TqzdUHUG0fpuCL4t6Dk0/tiB/c
u1DFcTjvbKfCmqnR3YaqYgFGDJLhxTuFOFrWNlSc1kG/J8z8MgIJTVYPiIrHVrNlG2j0fpj7vcHe
TVyuYx4mRWsG7I/9K5u1yfvbobwEjw1QHWkSa/9SLU5rEUdF7fJM98/bhxiKtXUfGwPNl716fWG+
iZ1dsyMcgqK5zIoo+zy9FIYNJgX6tG4DcvNONDSEq3Vyextmxieqsk996QQn0aolt77anMVkiZlW
P+/IGdbj48WDRtBCtXzfwUaf7Hi3zbl0OO7FEpxF2fQxLjUB/0Jac3M2+IJ+5kPsmSKn0blSVrbK
p/XiSPbcSUfn9yvY7ZDWAY0SUr8i53FHpUcMrndr/6mpHoBLuu7mlixZ5VhxmxnUKtSk368rkPki
rIrOydaYkk88SBwfEv1fTb84M1NxRY3BAxvvFktsmeYrNsIOTs9V3pRPeQVXAQp+i4PFBUiLL9lC
mIKHnUqu8NV7r6fSArI9rSHw8Rx6dBRhE9b+cQZTzRF8+Q2oD9NUDM6TdqbE5+lxuA9yJ3FxzyMh
otoN47U3Q3bosiiW98o69UnDyKP0bdc/jNqba6WiTXHEleP0TVg3L71XSgiko6JpmVr0YdrPBIVI
QppXftMXAzU+vNVT7es8I2xFoMyBY4mzkNrpG4mtI55S/+LDK93TL8BJ3k62PDTGDfq1xOgD0F6X
afPZzKCMxwf7OKjIv50dSpowpYZyZpOkrn3qL/S7scxx/r59rSJ1tNoG5agpkHH3FTJMWytG225c
H2x48+/VCimQ25hgFdc/2gUVxoPbdn0PYcV46fsB6aU6zBv74tPgiTu6tvMv2GLJ3rn6u2BrgCod
1mtgN9pGWOQRjVcniCs5HK1Is0scNJ0ascVAg5rw877Ms+hyQnLIyoa69/4OCVj1M+K5oB6cQwSt
AHFhqs5LdZyzhGgbwCeMODIT9KqExY5XAQUiTnvtAnjoSme6j/DFaOI7SGeX20CCSv51GClzY5Fs
ije9fxY8yue3z3pBL6rK7O/jhqCdXqXgf712gRjEFhDE4VMPSOoz3fUOM7RnS/DnnRXuP+rprg/I
iRs0aaxe+ZKG/SK+O7DNK/fiIgxSAwS+ObQqIMeqQeVX4xsqJBmxSaXZYIaSOIkhR8D7hSfxLifx
Li4WF3AFRAnZ9mM/NQfbwXWeT/YfyUKkhcy9topPud8Ewpuxe+duVcb5FweClhtEheh6vIt6tJP7
Z9MTg+xL3lrF6534h3LyKyHj7RVGxZ7iO2ab+DK8T8kKRYeZ3HtDAEf4FP24N6hiIS6i4yQbofNA
US014+MKQY+ighoDIj6Ugmokzo+T4xy0BelWC5ozMfv59aLaB4C2+Iilj5yMJztNzH0o0uBBejEI
EWO63iBO8pUN8lhIHcAZcDIRzhoVCz06rxPkPrjIcF5Sq3HVBemJF21521zRUSOl8woazy0GIj/W
IjrknLz6RYJOkjvnHgJKlOhs4QP8ISXFQ4CqF2R7S1OJtK+BMU19xS/iCzIkLEZrY2fPH1BcDdRO
3kG3RzAnp7sxXQ1GSQw2P66X+8U2JhdzJeGgBKYD1RRuDPEhZM8YfNStoIxonVu7IldBenN6MqJT
ZdltKHlcrX4hBfLKeClfT/P7OTKcj1N4W9+JjtCz9ksChskeB4uGj941bD8OGzUfl6mnD8kszI9e
yyaByeoYUbKgL+tlWoSKi1gZZ79w8/i8yOL7wYH1Wi07lQO7NxG8/c7u+UpwtOFO4tn3KSfcGusC
wodpJ+EnhCnOI+31pokHoc25zI7zBHD/gCd1t4CFMIQRecH4Nr2Eb3KUSRaSdzkKvSqsGws9p5QJ
gzNj+IkemKvqLXnpTUlHoK1FXrdFuYMs1CJHvc5Ol3mgAbla1ae4KWzi3h4CRWPt6r6iA2jfgtMX
KcppiSzfRv7QfGg8dAkme1C5SLKjShbnw97ssqntzYzudNYms/Zx3nBUyLkp3rnuAw9FhnYHPd2+
kXciIgW22/NyVjglDrdu3o2wLNImv5J1jrgkmMVti9uJEOF3ETFML837CdAQseeQ9F+pe5ePr6v1
Xrm6ZJ/wWzjLEKIRBb9MpZ39TsjrNLQhcXf4QFeI3s4dfCyX1GB1WUgRWLQAkYBZ7qEmJtFMcU7h
nBreXD0T258w2FibIjVCqFJhy8WP8FLqN294WrS2cCrRB5RkDK8uvSZM3dd3sYwLl0nAfMPdRpkY
OTQCS4BSN9o6jX8bml8tUUYL8+CDp4z3HSuD2/re+faSXzrHsIzPW78EI0f6GPGg3EcwFvC7rofA
fdrch6JOe8AVFKvmQxWtcqniijVYNIX7DZu+uTtqzA0yaN5x8vpkxub6tAh0F3UwT/TNwcVBGYDt
fiL1foukwlVIeo2Pm5sLRghK9Nbw5VVvoA/MFakdSIFX8r8fZEON1DJmXDT3XSh8mK3VLguYu7qt
z8+L04u8MWYFujRI6XCER6qLr4YT4am+7nPcZrprutgtZzdXB4dFujlstBlBfm+wI52oeM0Qn3u9
lay3dlmLzrXxel8YB3GCaTld3ePmtLxFvfkNBb9wGwKupbmHwZfp2OLfOShk2jeXpQEIenbcaCPi
gdkxQNi6f480aJA3GQkmTQvkM5KFC/o7Fe8I0AB+CtEl8PcT840apjcrBtWL5FXxsXVfc8NHlPsz
+aT70slil1SIZtaOuTpuDA3wBEpoDukjA0cMwAPjMTWJMZInBfu7WN5yv1r2IOotztlMH9Qf4j44
JVHd81CjQ34oi/i/cB6ArZLQ1IPI6PKB0nnCx/CZHRIid6uPBEUCpC1G6aKJIMlTXPL4ieOmQVLD
5S90Fuq6lJli/rqJVBI4LMpEnNQffJXnO1ivtDZz8J9pkAiMw+frrBB/kv36Qx80EXnHAc8C0Qcs
mA08C+98xGG0r8uz4gmilVI4t1+F2R35mPuQXlpdFlg37exg9xZ4IIc+ncbxXo3Yug8hJxHwgyYf
Np/JAlkSTOE9RIskTDrBEj7rdnmvdnPAqBVl5B3+tPnC5u9Ejhzaoosrfc5OA4eGUE6MS2gJo+rj
+nFdbtlXYLl+5d3MAbacj0DzgsW5VLaYu/tFFt4Ly722nlFQg6CuQjc1dEWWx8VxcVjQVrqpne2V
ZRgdyQDupsknd1dhScuPYlHmDk0cernLb+JtTiEMw0dWcyvHdM26IIi6bssISj6sSiQTTOseHe8j
YhBKWB52zdoGSD5Nsj762kPJVUwC/xszgOdCXkSYcCAmUCu9mz0GtmqLw4qsV8w8uppj2oZjOHgs
ftLxN23Uz5BnQNPASWYluTiIDU5jl25D5M2plRE3dbI+IH57OuWkaHF5HZe0O7si1bPoYoHsLXkv
J1QAzoch6BiwMVLZWDNXI4pG4au8zQ+ir3ENu70Bf25sJFVHXJ5qhuLsztKr7iRWSFZTblb76jWG
QXyPMtRTkqjAzODc0rR0k4UpD7uhXZJYWFw9PS5pdu+BUBa8ncX0Ax6d8Ls8vMS7F92Xlszs+WKj
bd8evP2QC867+vI7QHhfPH+m9bpHGHSY7YGlCwFs29rpYvL529niGTAop5EaiXZvc7m+F9f1oZwr
iYdNhSRB+w8QytOubqkD34O3B8+IChUJEycRYmo1Fm43wHGQ9ZYSIGH71c72pnNe7KqwMiKGJAHb
R7MN7C4Qj3qG/uDg3JUik8QqIj6IHKE0OLmkTxAKRqUS7Q5Iu1sHWSTST/VEGfCX7aSp3OQr7zen
gbA6O3e0JuxDp/CH+AOizR5YWjojye5VB09lnWVchhnpmF6fFCoyLPJLM6JCd/zQEKXUfYK4a3RY
8ila2BRuM9LmBVUi0wLc3r8GLSCHnke9gnzGpNenj6ur+Nwl2w0I134zQrb0Q1glX8ePGlXNQBgy
Oh8prPiRDCZLa18jhZzKIPnqXg0FppU2r4J6co0qvF2oImjSDHmO7S7sHg7N3BRctXVc8lMNcYir
jwqP3NoHT0h4DbOwz3QclnzPrxLFCgDNXBieSbjs+ZrejKk7HMLuiRCLGt1n2pyP5pE6IA00dZDd
DuXqJS8XFV7h6WEz7nhuDt19Pxj7hI/ItzCVUH9GaSxExw+elNIZSZcl82ymMZp6W4dn1ubHDz4T
dZKmN7n1Jib+BzBmUJnRsbhY8Px2zPUBHSoSZD2akonkLpGx4JNl99h4DomlWPAlPw0hfESXjTZR
/NNiO0wmV6QrNuoH0TWFGnWEEEhYpbY8wkJTWuIRlj3ygy4L3DA/PAvPnHyhlIRmpM/b1EJ0okjL
vyfvGDWDdk/bQ/sQkekie7SftMHR74WIxvlmaDp1gLyivyNVLfTTKB/peMy95uVnnIbUaUP8iRcQ
AUqhUCNo4iNwphbPQnmEyesnc5VjfLYl0jwbU3GRNj/jm5bukRKhONjeqeG40tFvL/Zl+I6kAoEo
gpgSBRKvvkwp8FSoVgEXAhohQHW3jck9Jns/V14MZ7syPcltXrP+foxxRDcrLhciSR6q18suiMIn
yuisRynUcJJxfbIJCXdfwCbHWogAUnQYii7wfZT/rOMk6UvxxZP69OgcU0upEWqzMXUCmCWrGSet
3RtBhtha5xf141I78sxw0+g2AMeVwYggw4pRab3zJosBEVO0mFQxufxikQ4vS2XnNBMuEHlVAewK
d9HR0+wmRHGI6hpq0K+UtnlJsjamT3LN74o9E2Oc+yjCBjj+ZLuG+9llfutntmZt7YZ41k5dlGlt
IyjsNqj7NGFMrfWQdImzG9yCK8CpIepIzoV0XzU7zeoRCnfsX3LZXRSjzLKXjs1PKYx86yj31rbg
kTR3blEyS4fKMsWwUR/OgZ+kfXgvylKMFG+WOdUr1DjmpjfWHTDxDtkHhBM9Pb7226Al3UIOex8e
w87y+0RgVASJo17PX5o2yOGI0QrWqmJtZLKGJff70UbMsHhNgnG50blE19fcq17EefGlKb457jnN
xaLOgKMUNAMygoh3X/uSMipNeoRa6pO9q/8JfwOu88/W1brGBN8AU4qa6a1xBs6RLTSCvLEc11+d
QAFCDDevwfpACh6Ux+XhHLRf1wm5AlL+VXSicmv1As3HYfYvJ9LRlAvXeR2g1yC/HyggdvG4QEYO
Y7xBH1nzsmXyKgUHX0SOlWn81N/afjqh5wlQqnZ2mWXIaljnOUm63XKPqLp1MGIH8YnD1+2rIqtc
2Ea/nJdf0CO2M6I+lYT9r4P8f1GuRu0wVh322jSA6+nArb/ZrD/lamSla8H1jdX6t5//DzBV+Jeo
y3zsb7BU1GgEUM+CADj1vzRs/iNioIFYhbZqgFYVTUEBMPQfDQO+gpIOXRJkE/2DjgT7v0ClyiBf
f7eyv72yJDxsVd2skqTXk25+fr3e3It+USyzBfDTioNyn59cNA5P100GVgey0FEpPnLt7X4EEi3p
/W022AtNkHCCZYT5T4im3oslTHb0nzSpmJiasJ2lWgOsSC9PumYdxJTibAEe0rsKPZAtLbXG6vWs
V8Xr/+VdxwXH3tAURVOAWT7ZdYKMufl91/3x8//sOkllf8HSVgXV+KWS8R9ItPAvlb2oCrKqCP9m
Rf83EUH9F/1DOpYBD4NUkgAe9D+bT/0X3ysrBpocgCdNSfrfbL6OaPAbIlASgWH+GwTOFpc6M/rd
TBqXM6we8+JXiA1XpCREwrH9sqMgyV2SrP0vhv3/iKMU/9zt3YgKtAfY20zMw4iJUOV6U+gXXxEp
HBy0jWycncv+5Fd7qqMqLSWgSPeICkXt4DXp9X/X9Qf78PvwD8wLreztNO2AZvlF7Bp8tyC+dZJu
rye0JzP42d/M0fjfE/mdu/kHaPRhtAfkcdLslTppeVlaoAAXm+o1XGa5/Ld9/5/n9Mkw4oMFOR7U
gwkdGrFthEv3+fx0O/nbHn0fttTQlQLKmhlURkrDKaSd1NQ51nAjzJxGHQ13Vu79/NK/hvtzU3Xq
ARhwetV0vbC+barzIc/uQoWmhIrmLeIRTn0HBthDkgoOq3pAuuNkn46yd6AP0M9DS394rL8m/J+h
H3ZXKx0N9bRnaG1bBr2k5wkIn550ycvF0q3uWNLd9S3RGpKfxBZ7gsROti/pxQgC9OENIrfbINpK
ar13sLMcxXHKZHUt0UD77nEcg+QGVOyo2FuYOuIRJf3j3q/u059f4++n8p+3eNik21OvvMCX4lQK
4d48h/XttQEm0nVFQSeMttTP2sF20/LHimGMRACuEJOUhxW7iD0jRQ7w4hfXGuq04vdUwsjLwb7e
yQ7uNPfn9/tzOIDs3LYwtFCIg//1+wZJK0PYiSIZnlp6S7cLQRGCO90uammawWP+eaw/z0ZnmsXu
pub6l9QHzPM9rwx1m9ENozr6zZkyirK39aJ4QreQ/jRrv98AD69ktkVe3ZE9o0kAKJETNRUJzeij
CZ0pId8NVWDby2P9AnCxGp/kxRXGa1vo3hFt0F7xWVAgra8vQi9BpP0aHU3JMRGM/3kqcI0eVpln
VFUF64vjhG/z+7TvD9teklRMRS13fTMAKDNzT5DUfzn8DMIuwm1CCAQn/PdBtrJ5bnbttvBhkLnJ
EXBK8VLmo514s82DQmMOBOjOyBlrN//nt/t1V/2+iX8fuXv9b2bnLhUH7lBGzvYkuTSEXXeCm8mk
8g0qunehv02oNME8oLQ+24oH97bfObdrFrRJ4zRoziSy+qbcXpU9wjz5Wr3sw7sMluWKahooFi07
Iaw+5JJ3jWz987P/eeANg0tR101N5XI3H86fot3yWyXRd+Eob1SqeGcdrW+5hnQq9fMPRXwyHD7C
nzuBqF5AlEXGw/jVR/HbVCGskid51mKh9eKFLeE0MpUDQffh/fpGPk5NxKgbDVVy4IY0KFCAWTVb
+ooIx8H2hPAzSsm1mIx7N539vNim1yBL21mvftKasiNc/rFlvz2o9HCzXVspqxuNBy0dYWuPACC9
Cmfv5Xx2TNcqXZJ3xJR3zRb6mXfuaEU/r0s3749b6vvwDyfmdMiS01ZmeHiOoIk6UVnwrYdYrJ71
B/zLzcUW+GdJpAc7dbg1Qm+fMNRycLEGo9EL2HfL/5rGr7HrzoJgllr2ZrLI/j/esDMHgohCJtzX
hzdE3Uu/3HYIsgt3EGOX41qrqSScyF8gGfPzZHYR0x+zie2B7YsyqK507MDvBzSVDaFspeZC+qzx
DIh2hr1A9NBe5NYA6RFb9f2v0WrnNpY1rR3/q6vQfyEHYvnNAlEx6020aRZgBZQxn5jvv1otpXPQ
0bhT8Twf9pm8LW5nhIPojDm5Dk52PlAUh+wNwhYoyxjHJ06o/Ld9BdHRoIs0Ny4d436fiZ5YGFd6
6rKtweyBtbSqxeidKpDlgQmCeGCMQTzdrDE6Ovwbv8WFtX6L10CUmQYwi0/9pr8ZoG8P9OhBGur1
lJtHHki3nAvYGYnK4fveC0cv0+nNjtfD+HXOdFjz1ppcgp/3xV+3/vfBHwx33ZykXmqyLyr76tJp
wFpdrRdquKDHmIuv6etb/AVs0J1NEFSzg8nn588PAH/ubzvzn/UQH+yvXO0OJ6Pg9ful01+erMFq
tZLsd2/gOEEfYH1t94NJbvUdfdbaiyXfsSpCMA/2r0LPCLfM+hr7cez7/vB1POWf8diH6OPGBwsM
eOzGsWUhJwQs+WzNjzZneei7Y74hAnjmT8+s8dt6NpspU+NJCPLs1R622jGVsrJBT9A36twS9Zdy
/8xGP9nMv2z4t8tkh4idbHQj3LzK7ZD57xAxHGVskuM0IySQfBAHTzzIvyRNDBjB/32CHi+Gdlcm
5u7MoKzKquMMCu5qNALRg7WgEm5ZmvVKkch921ubAOjBZPH0EZ6cmUdzViV579jr3nuhW6v+pK9b
gxLgrQlfwdtZo5ev6fh1OKbYyiZYvw01azYbtpx251lL6b+5uN/mQu5u+28LoCplT962dIUpUWA/
bTcJfNDr+YnN+quH+22UXxnXb6PUWQavX+J1l8vlaPAeemHoUzKM3WiGUZj8fCTV7t55vHm/j9ZN
/rfRbpfD7XZRsQnLqwuw0OGMhdYY0HzIKeNifBm98HtooTt7HMeuZkXR25tgzRZOP3U/l8vMmrTW
POg9uSjkJ8fpsQ9qY+LTaztm4RCaFg/V2hgK7PYKe3m1sZalFVdOd1NZM3t4tNZ7a55as63z7Fx3
Eto/zZDxeGVV0uGCEB02qz+A1jWgeGctbh4NMO2TNTpZYO+YG9pUYHJiUvfYKLL61pQ42OnM0PB1
fZiYzs/r9leH7du6GQ/+xF7ebdO2W7f+4oIlf5+ybjcL8SbLPVsReHUm4smaiE/2v/Gw/5Ehvey3
B9aEFTnZd15Us9z1xI6CQH3yfr8O9Q/78hfF9tu+TDQjuQvd+vfheyxXHYnj5cWP3Y+P4XAWzJ3P
4PPJkE9fr9uS34ZUM4S+bt3dvKht3fJGIdxOa7w2rJnwxEP71YX8p7d78NCy4zbT5T1DOQuTHSM7
uyCFhkWHD/sebwPFluyrT2UyoA2RR5F/QFUJaPV9oAS3wdl+1qta6l7tp+d5uJerrDUN88TzNF4R
jjyQI7JDtTxQHEqPALipr4EGoP+uA+8QnD3tBUDjPdnS3Q3500M83KDmtbwnQmf4ahvqVNjN/3iM
2QvWm8+fh3pmY40Hq1fdxd0lN7rTs2Sljw77C6v34X+4a/xempnaT0b8Fen99HIPGcpDWzYkrRmx
21srHC+T4zOlN5B9c9ep5c6DZ0z6X5HMD0OaD4ZLvVxbqhDMZ9+hDaflTUNrZHljNx7a9lu0mTwL
ccQnC4h0z28HKE+3PSC/vGODX7vl7sjAJtESxoo29mQxWTxZxGfDPZgjE9XF+znv3q9lTgerexfd
eD37K34lwJljeTeT6A1xCfvJpflLNuinmX2IIcXzfZciE9Ftn9VytHoHCx7FbrgKcUBdex44jj17
Znz/eg3pitYpI0gSOd/fJ1cSDrSA6LZsZvUX/cZZrbiVdff1dRgVdvBkarup++MFDcIz5JvoPWE8
2INMS6t2qzOYA6fCfke2A2k4S3ERcrXA/9mgiwFe22t61TlPlrX76J+GfrAClA2SPbkIDkrv9XKm
jeUy/1D3wycv+NfZ/PaCD7OZoOJq1scbDTgjeGGODFe98kW4jVNAuijphZSwrU0xx6e27KTfUVg+
NXdDrzT/5yf56536z4M8HlLEntqdcOd1dwg6Kfm7LFagxp74lMqT9fwlyvDtatNlEh75lVHohmYp
fhd1gj11aULrdGBVe7aGdWPhzl+7e3b69XrvDOEbkSCsFftjb9VWNAs+n4XDf/fyvr39w5V772V7
s04qqkSu5KP5GL6j8AEtJXG+uqDU0uiyMSewO8CUp5GDG+1dluUY5U5EHzp/ApYy/Hk9foWgP+w/
8+FqNpCqNDN8Yr9Zmh4kC7/jXNAdYqR4CqUBbmOgFcP0yTb4+430bSYeTlx5V5KbXDBsb3b3sn5G
cibzEzi40tgIfXx/sIyr2wp9o+C/YAv/Y1nrr5f/t6EfTlyq1dsk39UXP7nGN+QyLtvzE3/n2SZ/
OG3SpTBPWcv226pLA6r/XljV4vvPC9dJ1P1kOMyHGzbXiL9pQINRxkJ2tyzIE36JSFFsadMC15ob
t3PpECPANe+4d12WJ5j3otIn60cv2uDzyU3x5KFU4eEOlq/Y10bkoZIBMPtkAqsKEYZbBEFubIxv
/RKpEdUVp+dOR8He+ppT9PUJzQzhnV9yJE8tNJ3CS1ChPAEgLf55zv5+Y//30quP+TFZ2XaiTiwM
fK9f2SjFnn59aA6oKtkmBVgFT66xv+cmv434sBVy5ZhQQmJEbhZCqc9PrtDcWkJLH3le+MvPNxyS
kV02bk3O5oP/xcPZLHA+oyeL87ect/LtUR42zEHOb/utyKMIBDRX6GcAIK155j2Z45+vGvUx5dcq
vZ527ea4cBajLu3YRYj4fiB/eUsky6zJ9dk063/NtKmosHXyi7KGGNzv7sJZumpiWtN1IYPdK/UO
dFYog0taQSpEDkzcr4wtsMfrKTqmXbsOeg2rM6233Kcdem1VKb5cwCjiZ+g3lIgynOlW/9xeV6X5
fpHOr7vd5YZkju426VSXVEs1JmURHtOvbU4pWkMzQoebsQsTIz6iaqCDNtSFr4OKKBkqzlt5fb2s
jWYf7VLlVZBnZm+UiZdNr33LrrmrGJ/X4nUPL2p7s3rGBol192LSCbPTny7RWd2q1jU92qJODHqS
wvsZHeC8nZ5ohJmKmV+YxRd9brZ0RUyPMnTu7bCAKSc30PmyeioDGMy6HiHD0/5rXxaxYAKXFPfU
LBEUudAHvoDfeUIK9bbr0SN2O9qVWy8vaK0GLFtRC8SXXwu5B7JY/BCbz3uBTIGIpTmKyIl/3qFX
ZlvRy1taW7b0MgH5s7+uS3WsGy01bpxj7VPTtPGerlGicoZWBfeq48qJyYGaXT0roZQmymonKbS1
u4RZQmRIt+FDWTt3aDF5pgE0X2pm5ebtCcD7faCCwz1uSf9JEODNO8zhawLTyRRorVd6wlmYlSdh
rquQl4TrKOnQ9WLPF5MoKa40jGhHugRPp8YvMEq/KHav13ZiSrAVCqW15L0CY34LV7b1j0A8xfvs
oCEPdhdC1dhHkkBTvh3MVAhTTavHjdjYPdkciRKmtol6FNNTpHy3MDxphUEP0SZMb2LYQyNH1WDD
qerymo1p9tvqqmcm5svtXtK1olME1CzdKKa7Az3JNQh71xZSuDQ1djVN/ExXuu/Dc4n6jUiTDaDn
bUt3dLZlLr5cGnDFNIoqhPH28P+4O6/lxq1t0X4RdiGHVyIQzJSo/IJSaCHnjK+/A723j9s+vj7l
111ud6klMZNrzTXDGAz79f0ljZ5lU9kOjbhNFcr9KMNywY/Cq1E/i8YzUEXU6gWIjdwWh+raRu0u
yrNdh820qvtzIIa7rGFGF6dU2PLZLarHMRiPeVVdIzU5J8uxMGtQ5rSba2WwPEiG+MSbdVvUgtta
t7IG5pKp0z4MBi9SDMdMb2NsMujwUUrWWyomntUR0PcfnTgeZ8O80cu0K8LPkd4RaUQcDy5FyI7l
WgmEzhvFi20og9thhOpjOkmXxjPlFJb9V9AjMTe2dFpsJtByhnYR8BzGTYJck1dU+5TMfaeecp0R
Kq1lNOE5HQGVFH6aYI8sk+tY7VNV9mv9rTXRtQ6WE2F80QMa45AJiiaJuDH2VGHYGnp4q4KUBxld
UrPwS1rFAzqNR+G1wBXZCM9azoAK3vW8LpEwZ89W2e0L7LxSREt4X0nYV+gGxd1rBMy8zqhTujdp
iE4YtfZKb114p9lhhzLe9NOysgVGWFLAwEn1IzXqkwT4e0IboWeCq6nZoayUF7nRHlShAYiQneUe
0mKEViYndLPQKTIL3Tf0kEofkcpI+FJdcppj5gEzMm4JiRlrWe4OshW4rJ/HNtF2oshkg6HxmQa8
bDB0FwAX6vPkVcuZWVW6TVwYnllbGInvtYJpehhhEiK5qQbFw3hDz8gRM+VtSXtQAINo7LYpPNgg
JsuQIXqDWJNRWJ3KYyIxBDSavlZPaNtUL87rbyPX8VMDgSmhi4SV8NxYGNS0CSzUyAd4zo8to8Vq
8JA1oBxE+K/dc9WNdEQTaYkdSGnmjTiS44pg+C4WsJJW0WYJyv0MCbtiDDHQwWszyI61aVI0N+HG
J1nBFtHYXWRsTfoJFO0YZOM2ql46JWX2sjvLarrLLcWpYgxosaMqb3UvX5WA8CZnmrKqLkK1eFnF
bN6wLzThIR9qNHo/inJ+jGWwR9UErfy9RVBa5sLGymHpYI2A4LxNpvCdDPiPNkrdIQxfi0i5DLPy
Y2Komwk5GbBleM1oDlbyT+6VnUVQqDoG4jGf0eU7lXdRAt8gKuFmjO5sMu2KHnwGw5uN9dPAVGZa
iPjxqpOuIs6eEetN97n6ruszYqjtUvzoEmab9PNstZA46AjXI5RADJsUqTPUyWvS0ObNe0ELYohy
ltvFma/RdKVle4gbqjWhoL/ytME6pQNmfI462WWqkQeobA1lZeiij5iCTY35B9BQz6hlFiJttxDs
McurIFKP4uEQlbAScl+SpI1oCZQqq2ETDqPdlTEYspA2aclgufRFBd55CvXBdOlswLUegN2XWF4E
UN/dg9aobKHgroxMf9ItKKKp1R4kI3/WIDsm82mRDW8RoTHRKS4KLCjlfVZccrNwFAMR3alIUsaL
uEjEyiZrpTP0r3lzlhgcHY3+stoGAsZ3G4AjgsQbMGno+R6fDfBTXVtcRoCecWHtrQU/RKfDLy4Y
2l5AyyPcnflED4LuBxiUipVyo8Vw76k9K+NLH6RvWg0UZqnvOxmShlBcNJGWe9S8Od1LowF4bmb8
FXVxvSBqmfYlvJQplJjfu5kZMlOEx6a0saSH0vrM6OsS1bhb+coIFiIAgHyWxyGxc578WtXPohWy
XvSOHnSECuVnq36oXIsGbh0DfCIA0OjE3i3TBTIr+1kMgzAJ7STG+iQeaoZeA8tEesUt0ns3gUWR
h+Q8EIQEcn2IBs0Op9nu4OSXLXGfdkwqvmToOOiCA7oFCA7SfOgICkaMH2Ms+H3NxptGDgHz1mQc
M8vAp0wibSsCZYgyPNQ9BB9043qY7eREcIyx5w3ArM40QB7Tq+d5bjZ6TXihRirvNCQuAfAsJtAk
IBwlKFaBEUKhRqQN/cBCYhwyD6VuEwI7mmSmIPP0hOEf0CVZxBKiMREtnXTjS8RKYSog5kzLHqMP
Ie/8Ycq3cNvdVj7LtGKJS7xR+h99+zDzno/ao1zLX2g//TT+SJTy/wqy/+rw92u4+6czrBnOS5bE
lObK5a1HIKHKnzVsuUASXaVrXLH8mHTqyJNpTxkcqEBwRnwLOdgKTD+ffx/x/+V9gXtMe59lqHT9
/DH0lmdNsAKcw9sW93gwHPtk8rvf8PP/31O79Fc5HY2WEk2GcU5f/Z+SkHoZGkY3cbTM4uTaGARr
HS2oGXGkFjduWEmfhWm8yjqTTvFHwNvRzPV/17z/GwceVpcVVHlZ0QykWTQoctr7GxI37SKkSX5p
Pf+ry//Weq4ButeZgRHptfkjAl//Fyh9HYywZiqQt/+o5yWxKsG4R+Co05vO/flP5zmCL0OULdnk
1aVjnDLbP5l6+Nnk+UtC6893/M9V66AUFDNRUsXv4ij09Om9T9pzER6KWGFLPmoh+D/gJYHQ+jre
0dzI7UgAUUo0mmbJVibADCGjLKXhKdFbkTReyc5RFFjii7cq7P3YQr64BpMNy1jvtcBcEUl/VyKZ
PIbHW92rFgJdrEubTGBWdQDqGgPyUge3TVFkZzEAAVAxo+yjgcXlwC5WJf7Sc8wxgKmMw9aSFKdl
JU4TycXCZ5mZP6sQWvLhlA1MUGuxUyPOtjhb8jNA2/FBLDkV0FAsCKyFiWm+xTxAIWDzziriAwHg
wlIYPxAaO1MQOKKa3Ckq1IYQBoc4bc1A9iYh5FDETtsWttJdJYOppWLxTDW9qlbnTTTvKYgnl7be
V1J2GKTiUhoCHXpwaHXFK/rpW7aijdQqxHAveokzCN2HFFIptvRdA1BJagdHYuK6t8xLjh8lr/Jd
B55CjxgV1UqOfI2b1harWst0b/tY48UVe8ywiLGEFBk5w/F54KlBec6VUxE3D1OQH8x8zw53jDmK
ywn4krRX3KQEm56HW5HBvhq7bGxuwrnyNC0+zbRrW6L2NASSa3blLgs/F/UpU77EPNrPWD5rot8p
Z4iYWFLNGfqfpH2W3heF4Br5RLe7ej/1tSOWo2fOUOsWLMNZrR4CHFGydsuq8tbW30U6HWJpOcdE
mVnx0GUgnoLkNBT5XZVXG6VOnEjCqS4Ii1cUxksL+4h7wHxNv6MDfNPWQB0CpnFjsZmZ/tW+Y57Y
mGnJphkAPsBrksZ41yT5U2JW0Wc6liJEqsUauce9aaB4XnXoQvka1Q0YZsSPk6KuAdOuHwjXFHRo
bSTt23G+LaVb17ndss1CPsz3gvRM7AF2gjJ/2jP+KM/vkdgSecYMFDLHrHXSUU9Nj857aHnLDOrW
HCVbV0o/mNPSTRfJsNUYM6MI7SQPHGuKHtrOAOVeR5nXCJx3CxmVesog7zA+ximiSSJHhb189jQO
pn1UO9oQ3vVCjyCeUixmXnUQTnUsMqMYzHCJToKAzKkMhU0uZJ7Kq1YGEvaJH0uU781EvwsNKOoi
AM9pZq+eUb5ku2EmBuqH7imOxzMNsvsxnsRTmgqTGwo1qPJWvtPK/Jb3uuyLU7Er5W6HKpOpbtaz
yxIqLTPp9GInGuwBxu60cbY2o8gbvxYbbVMo6rvR3U/5MRYqN1KWzZyYL12dPcdcYTOrz1aOj7Ux
GeyfrFtPvKgtxVPPiY90AlMBmVp6sZnvqhANsxqTC0jyrSIPez6L21mCw1eFh24ctY1cKfDMFESt
zfglDNG7pMHVa9RDvXD6UQv0NAEZrUGYDrIMRSDtoKCV1x5W6WRFB/bI3cRiUwlgznBQW4mwr/T2
a8JjvUigjCoOFVyl1yXtdY6ZoRbW+Vte2kOMsMvIGG0X5Csfp8gx5epRbYtHIxa/cr3wGP8xwFWo
d60hvyWynPsDxusmKd7L0jiVDVFfJiBJr8kUz9AapFg5JgHsqoShUquOmaGR2eq1cYx5n1iuqI67
tsMfJL8Uy8QUepHA0ynQ9HVKa5d6L3kijfh5SXNz1DJybRKGVh8hNPBoCbdNfUiS7GRJ7UlqrR1m
XUABxnytpcmxBHmn/0eT8N8ZKWiGzM7MYARzh5asEFj9XaRAhvxPkcL/vvxvkYLxrzU+IFZQNGnV
SP+u7TD+td4m2gRVYXKAOfD/0XYQDqjoN3XLMkhCMc3Bzf0eKTCYSWuGakg/L/ePtB2Mw/2xhKJa
f7jn9Cr/MXJt5qFI5Vkx/M7TH1sGdyDTZ4kIrovU3SYabwtsBJk3fc8PxpxVGLYmAITn1GPbDEG7
XIoQjxUZnjcgQ51Hvin9Bjz5yUZlnsB6nGRAfyXsrfzSfdbmTZ99XbxrpKc2cJ80DsD7Yjw0LAU6
6afOE6y9MNwW6SjkF/IU/BGIGjK12obFdbl1XsKCM6gBw+chGVsOZ/sueUuSbqemLj0W7XVxulvi
0eQ7O/I1Pk0H7V69wqsmVjkNz+Up3JenGqZaf48MoYQp70JCgboLuuejNAk2cC+6bUg4BExFBGEq
IzVBNO0UlxDFx77l8VaNselrQB3qy5D4VYCYdx+q7vqtMT6G4200L3Fx0bV3SwCdyP9R82Hh7d18
Ju2RhbbSDoO2MYfbCjTmqgNXBjVBIly5X39NPKqkTXtI8q9R46mbTjgSvGzlW/8JEFrODsHj1B8q
wWnrYxgBFn2Zydf11I8C8LXhDsj+XDPRtJOrI4NrbcW0lv2Q0GOk3+Qfmvk2mW8rnAh6FyAv8hfO
8/Qcfx2BTzxkxaE6WFpjZ+UuHU9K/tLrkCxGt9fWPNeK6k/DXRW8CsaeYXsHBmJZnifKzCMJPpoK
5bvhc5wBnm60G+8YMveP/Y9mOA9NasvgFHL6NjJPfFlmeNh3RnmOygPpCC2yE3nfxhvz0sivvVMf
226f1tWmbxy2CrfJHbLDd+YNxvsWtP1lORuFYx6bGUY0OjYS+iLoGwLBVZyC43WrufOVmFaDq/65
EpXrAwbFe9ipDMoAemkbeFDZfQsQP9lo1+qc3ZvChwbQl9x/+KQIIifkTVxDTj+aEMFeK+U0LY95
do+bbXmsxxdlvG+6JxzKARHXbulWwm+kP6jDPpWeM4SE9WUyXUGm5R9+beGKxYNSPAvLQyI+lPrj
XOzn6WPJ3ges4/pdLr5ruiueCTBDqg0bslRGdCanzg+YiYeIkPtW/FEqb1L2XitvPxex/9r1Wrd0
DtzM9TBazKr19+s1J+k/nOxY9f50+V/Wa5RIjFehKoNyYLFg/jZUzILN2YCFV7IY7P25lv9noH1d
sGXOfCZnTY5w1qo4+X3BXrcUDXMzt7meF//J2Y7un79YsH+568aaivilr0M22jpqmATxMZc72dWk
v+MJOrPPxO83KnrtJYoIlRy85/nm6Qn8Ly3bC+jkwKZk59XvoR/6RH32SwJHmSUdtnFK63/mipvv
aiv/ZIh/Cjsp3hIlbuQRJiZgFpBD7+03xTjlpm0yO3oLL0iYVjKamv+wCE8/E+zOtkWdAJVwum/U
+3ylz4HlMC8aNKyaRLI9da9NuBe6+WQcYYRT/jrkJ1PyqFlWAZwPaDVr8pVgl+r9BHpeqa7aNjzS
FuFMhxQ0PsG9I5xr+Jiyq3yoyRbg57EEKONIK6Z04VqXYFNCjUnfjR78m0a3n37SZMC5a0dcAnr8
TaWVnsXiEm3hSYP60Zy2coJB3VIzMWAulhvyfPZDzbM0M5fE2dIWfwxXS95QmHwy0dSgel6fNGZZ
N+mhe8BL+g6iAokhfz29gO7fXCaMRngc2CJAurntTOS3ASL0PW6SPRrpb/r5DwYtxeabIuywweml
r8x3HJQpY/kgi4VP2brO23Q5Kdfpku3MVdmwbzRfOWrBKolJXsnzaPSm2MahtjleUM7+mFeU0G65
BfZdhVfX8hrUxqEzMmzriHZCQvKc3rd3qJqLEva5dsg0P8PVDFqeGSVv3JMzGpzeTy8mZ2t8S5DL
mJNxa6C0dH+DyPQg6G6at26buQtE2yZi79DArXQnS92YHxSOABttn+ibkmkYwzIroLbpd5m7WrwE
YzvTQt3tnu5uEOxPe0BPex0pA2V48zCcvr9A+lCIcavd5Jzuujee0O23vIHj6F3XZo7Yv1/xXJxE
3NRpTkl26N4ER7yTPik+6wb9HB2TEooDZV0qTpJjoKhYXH0vssdjOoGZu26tSGELR/MmGhJ4d2+T
begBlyaNq+D9cLu36i4B+Q75TfakU3uL7qgbg3hKILfAj3SrjYppgNTGhnpMtKuyA1iSbejMvqU5
icHesL+rnDC9gSkcoeEafDYCuJfdO2xrdcheiuwbHvj9avnSzoWfQPAsciDBJkSy5jZup1vsB3fz
3chB2yZLLDR+uNgj4Otsq4zb+htPrsGWLFzJfTbzrWruFi9hp8xJeZtbqJHgFq1dBws3S6HUQWpD
5ftRbbtTQODWnNJbf9CuyjU61u7yMruii2OCEn7mmYnDsTm41vNWm4/9qaVVTiTquVIVDmO7lvfB
XTc9rwzJ+ZJAbCI02oftPSsJLpWDlLjpgBnnKb4lri5/SNm1YWL0BHnFNW6YkbCAcBKSgPxZdkV0
tcJgNPGTWjM5G715XAUIqwKA8O0j3A+qn+/FR0pWfEM5B7vEkzVnuFiHsv1IxZOJT9TPXaYHIfLe
h+YlGsttokCopOwl2I15FpqjkdyI2mKp9ZTZJ+hKikNGNmNzTYn8SkoTd3Hjx+NNe6vMc8jn39WP
IfaVlMjC1t7A4X1m35WLssEY38rdAvteO5Xme0gVxyNqsnUf1OoMUs4CpS/TMAkGzkpuHZ/9ytZw
cJX8QKSU8lBR53iTs/dKeQviDyP3+8L7LMR3jshmdO6me8KW6Bmaq3TG/cAPOMEn5IWy94U4odgL
OURyfDXDNn4xw2syO1ig8/FFPy5nxWXxprJABXlD5ZQQSPTOcL8nrvtC6sfm/WFan0APLzQbdKVb
Fl72ng7WfTJ9CtUWMRUhPpC5/CgU58m8IbrmWBqITKmjZ1/D6YWSMBlEKvg0kHgxEZc+8MxtpMcO
ruNAqTPfQOQBNx/RbaXy2c111Wc4qvRr6zBBB3gt+p3pfgO03JH6Ujt77l5U/XFVAhNRl/FZjLeC
sOuXfMs+Z+dr2dQ1KP5BScK4Hqs7alNt7UrX/9rg5ydn4+fEvSHibwS687fBD+PohAi/BD9/dfnf
gh84PpKkMWCu0Wnx76v+LfjhR6pm0V3EhClX+AvJZz0vcx6Fm8Kc9e+BjwzKh5w7/llDNX7qYP9J
4KP9RXvTOkAKaODnw1Z+tpn9EvgwCzdb2VzC8vGHq+FNiqPaNdoSRv5G8k62FLs5kQ3/aGhAP/PX
8NVdl4eO/WA5xAf9HXQAEZIeevGBBh2GcCGCY99amwY1C3UF34kPzSuWLLKRXnfll5vXlB3xHVmY
FWxXyGSXH7XjeB5zP8c7JHR3VoBvDImIal/WO4YfEHDZTjlWykZ6uFBkg5d+Ge+lBxhULMP0K9jN
K3/lmQNqG8fZpSUX61kHBcykPrGdkxCPbDHbLrv5LT0o5LnBs6PObPg1LEUgZ2tYaNfcV13yfQrM
4tmWHrg9odopgRc89Xd0KO3qvfSAi5I6K7fGtcxn852b54TIWvtFFxFfFgqPiyZv1vhlkxpe6ksP
wdOCcyUpoK8Fkk+mkT+wtflbO2qDbT79/LfLzdwD3hyuPHXVq+L09yQJlGA3K1uRQjL3sqRpA+7b
8qgcP3gRRHW/PmXmUxJvZUxQ1FavvFjDl+LojnBhKJV/UTpd75PXNpy9P7gink8onwR7Ts7dO/CC
6mjsSUwwjcfTtDwUyhWR+/pyzGdrJdwrR15h7jDPQGNzX5Ofv6qTKvanHbdajVvut9yce/Z+TlrJ
aoA5AE/lHzwE2Q0tB/EMm5A3bO7Na2oHHidJAQarZqsPgRdPL2HnhFuYz8s9NNZ7LffreMsEmLBy
oOVd4Bd+6yFMAyWqHyvAJnbDnX2uZid5ls7FgUPqtvADb/4qha3xON0vZ5oUoncIvi6/yZGVi1jv
4pesw1g/VP54BQG7fjvYldzFB3ihm09multPfZB3nNf9yk8GXB7cDfmcAcQ3YxhyFzw15UAAKLfb
DFrdwqjviLqLKKL76gkCRZJ/xngsVOkuoHPumUMyIiaB/kCO0DTBpC+PXAqxzaVwlcfClU6m4FBa
mGqPEnIM9HHejTf8CP1lQOQigmynzPoFwo5Sf8AJhXdZ7wf5I/DPjq6gzqsLr2K070ZvCxUXf/zi
53xNb9tg29aP4KAypI5OpcP4Ybf9ZqCa63a2km21x+k8mydhvJ8Gp8zu+Uk7bsGNig8FR+s9WFK2
ohL0s+kbyGM97dF6ao1t+jI2LqOyvH1e6NuhzDLccxf4co4O3EJbUeR3+Xss3wSkGGgZxuPC+iBf
rPFe5O3G24jNOF8fEz4a8hpAgXmoFT4aZDB0adP4AdKbO1BXW/Gsd09iTLROcn7l89DIPne+qFbX
+JkAnLIW36Z5r5NumvSs6q/guTXeC6LbG14oPoq1R32KuzxFdzBAl1uo9PDJe7Rh/7V73n/SlHAU
EIVr2v9ZyqW4+oc9768u/9ueR4IWtyhHdOSdAOf+lKHV/73J6hK8pV/2PQ787FAoY6nFU8zl0r8e
+FVqvAhlJU2mj1T/RzpzU/7rDO3/PHQ8zX848A+QJeoChISfEI6q5dniyP+p3jUvca1sYs4k4mtF
41kSPWIi4301ICcKXaumjZX+SuRdwrNk7vTUp7CiiFdJvMZBYlvWYxaA//cm/T6ydiFOoKik3YgI
s7B8jrp6fKpoKmU5mso3RUIVFyDOCB2NXaClfe5IXbelKDXC9v/KqQi/aJ2r5oNjocDtUwizVuoZ
erzJKd0BxgrZRDxVHVenn0ivPuY8jhrjk1bTfxJV9G5uB3wrT2q0rYd9K+F/re1lRtk42MWuYblt
Kc9wyO+3SFbWtAf1ZxwRVbEroIsXXmongc1TMqF849TE+XufSz9mRGuw7z8REQhoqkhdPGEHDdz0
SGNv3XBAtKfvxaCfDQp1JzwXuWOQl72NL1Q+Cfm5nmfWdVZdlv7jj0ndEgGDbtE7CjUuwyoC64I/
+cmFw5b0MY5+7CZeIdgp0xycBj00HTQXiZsxfUoxqYd2m37CMloOJoX2kNLj3XAIcE4lLubR7iCp
6GKstfK86VVEc5tZVigYbvXraMKzFb74Y52b+rn5gLiUl/b0XJLNrF1MvmsbEOnuiVz2cACsunp9
UstXnqzF7h9myMqb/KtWbUVw6ZltKHmh/7tb5Lt4XyNiwXMh0ZPpZBf+u2U4Ftz6UfJxKixHjWZK
Vr4P6aP/Uab8CvmXzvLohexVGgNgsZI2T5yi3MX0oXgTHZxvOfkAFRVLRCqHsulHcF1Pp4OvCpsf
DFw14uaHdc7thOJV6IsCRBBsHOFj+IPHjvqE7oJdfIog8Z4MhMSq86P6qD7oAtTuRWKHgGGhCpXr
w0Tigg6/9fBM6ztfLBLGOBnJhkeFAJCu4qUWfZ+EXfk+hAtrnRTO5uD3So7x+HZvwvP8toYj6Us6
v9SLazxehE17Tngv1ReBnJBX8y5GvIRcRFqoZdgq27/6MI4wH+2lO+ugxanikXJ+zBY+ALS8wWTd
Rp09LE5LKoLXW+QTyr2mrXsTuutYjKNVLhkAtEy4N9kSr2tr+yncWW/grWhk8JPY+7fxuBifaFij
0YGTefw2A/Rr5weVBHm6zaBgCYcKI2h5jG4aZer2GQ37xpQP5bKXqIEin+BVLk5gqTSe4YItzmq2
bXY1nhcVfLrmaTR8NXgeaJBPxPdePpctfYmRJ2dQ+XU3xjH7pbkt+zTpZyI+Cr+Y13Baz2xTNodA
Ph/FQT8Ss7SvhT8RE80XmWcKUZyjE6aTmsJ70jGffuQMj7+raw4j3j86N2inOPOx1eFY0W9AxJS4
+SWUbYVPZzDKq6DMDfjwCLZEbaNMXi2NLs07sjUNqNz0UsBsDm/dIw182V12p37Q5WYHJBUxLWnO
CDXcC1q7rxyFigVmDB/FGn37VFhhTSmRDzlXtLxhdBeGoNAnTfbC18kXsPMPvQNHB7tpsmPjpJY0
JPNvuvO2SLboJKDYnYK72qMq4Eza/OjzU5DdRSnxsl08RutXMUPTTjl+F6bbQZU+RdNdzAtGy3a3
mfn0Bq8xHrnWjgGhNzQRiITL2rZhBCj2ZjSI5rHSr6syzHoAAO3n+mkdLqAylXLMcYvHJH2KeFzy
IVV9hKIz7fayxxWjsV1/95kOvvV1vUV7meeDDyo5qzdd3HSPDRWMEKG2jQrz0kyb0UudxIUmfMvf
mVpKDWf5zFi7NxaSEe2ihW5ALQ/D0PQCcFATvACF8WHe09He8vmbzwIx4JB5rQ7br/JVY9+kTkCR
Pd1OZrwzRppWLZt/CfJBmUxscnRey0dQvguvtLKyeccTmG2Z1VUBKajtUo/q0JtEuainbFQPZzC+
j8y1YCW447kKe9t4ky+tkzyN1ua5c8PgRD8cK64dGPsyeE0obpkb+qE7qlY8Wx01LDl/ScZTyktJ
das8YEkpn4rdi/49PuMzhFI8vGBi3I772h3NN9V8k0AH31ZpyYLfp/JMOnuqozDueNtk0svCh3Xe
d7wxJ4pvmvQihLumPpaEwP1BvtEfpE12/h08Cv5oV9VptCX25vl16d8U+r3FY6S6anITGjcYnCX1
RN3JQjfF7YE0MD4mqqtIx1V0yO9Z2sckkRnnf0N716fLWFxL8xa2x4DiYkkBMj9IqZc0/pC/rt/K
Isp0ELzWeqqTXzRECsu595S9iBeSPZd3wMzHgyES060/9Pv+IB5yh+aPzqVftb/SFHEqTqSmT/1z
cqoPMN+Vq3o/HqKTdO1nh+y+195wcrRXzn2pG1OBraRX1dihEMnF7yQOGGUh9xRsqC34RrjXdv/F
8St5E2a1TcXU4XZSWPrbnI38M/vxS86Gjr7/dflf4lfCW80Sfwabfy5YKaYEDFYxVXogdYLi3wtW
jP7JzI+T1TE0aZ15/b1gRZFLhCJpqIqkU+j6J3mbn20Mvw5p/vmu638a/wsnwdTjUDL8t4Appnh6
ZxYQfyXlhY31Ig6gwvuXiem/Va4M+ruNMWE8NnTgpyJyOPOzLLf59C7BA6cRCzVdl74WtFDXyiG9
I1l+Ls+pT4bCL2o3UQm18hO/Rj45t1zDp1hOlvgpi85T9NGah1p76M8K9pD2PmPKQX0iAKWqNUno
jicnHd/r/l5fLk2KNns5T8qTQFGfrr2KuEOvnizJkVKAHQslX7TCmS2TnbzIe8pA5KwNV4Pd199l
JWRzT33FO5JsyZYy57AJUUa0+mYNWMcng3g3V29ZSsbV6TXHxFPwTFIHoRB9b5jvZkbS32rggJVH
WhyBsG7LaJwnGgw8nUyFshkeiiuGgPa92K2KbQXWG8sAGRH4i2iwkNldmW4ZmGHZE4Bw4fwurTfL
Wima98wERg2981uB4lbqSMBqMmSK28IxvDV0yrzIK541nmDDDfzIYZ5wpBQPbQuRmhdcjNy1qifZ
8HPQ9o3msdwImCm4A5FTlxfOEtk7AxiU+JN3ZOYDhLn32dxmyQ53D+6TaU9r2G7NsLdO6+g39dK+
CI/aGx6kR1ojpwon6iYkCT9fGGPjeRls0i8jTxo1LWo/h8KPO4dkBcHHOG4xFBFfEIMVDokZ4pOR
lBACno3poQq5VsjJPlNhw880l4R7sWa1qTMS5cRUN1paMoz1mvHpMLez3gybRrihY4Rr4YpJ+3AH
+NuwC8vhG/zhRrhtkiSrB32gCaJ9Jd7hFv59QSKi+dCogZNrTD1QKiRPw0mqRNOm2fS2oZ0yHkXj
fZrlvYjhDTn7QteWgLKF9hsZaB0y8cSeKb+F42YeBRenEkIZd2Bqqj4s5JDC19w29d1CfiESaQ81
13YIV5rW32T8ckaMQkmHZsIXklGvZPaFJyoVuruansVHit+2jH8YzWJ1k9zxSAOc/txQT26wNqKr
I1SMcSwVJ0Q+lD8JJItlb8i0vTEK0z6rtEbcGkRv6q4UDuka1GyV3mnmh4nwNHrTExv9jVCgq31i
6k/kExF7qy2XfpDpc9wLR33BGcGgYCDaqNaLrVq5AlHvVnAqRkkDh9iJMEaE+ppuemzqnDTpe6dh
lOosNeAHhkN1uuPwinZnRKHDuFEeBK90Q/LBoP/eY2QXuf1OGyy5W+E8LBu0fZt98VJ3bjIzf/hC
Emh6C57LG5FawfTWsJM5FwTFGdZmtk9fWuJZmkVdRlHbr7jwZOqcs/Se2ETh0PyINEb+GBvroaxc
8kgBjaUb9V7mdf4oP74Gkn9k/U5h7EXUvybOM/dkjYQv4aF+lmiZJWoO/bi10X+cv2parqrNl8J0
AmoKFsdr/xF6ox861quhOhkjPa/4SIWVCpRzynLYuaO7nDOruiG4a0mZyi7xcOp0P8QP+SNjfLDb
hMsRJZpfPU4pkXBKwJxe9MCRJZugkKaAaF/E98kD4ndBsXUsoii6LTv45u2Lp/1pUu3kNc2QLoH/
xOQHHnHkv+LEixMRwdTYSpzxOYM5vTj1R10/m+dJ+OLPwGFVu7YMlHB85cF2TBpR6+6uyVZUt4wW
aTxZrhX8QCs93kkhNdLtfIjXV/tznbAZ3SF9knn9uV2C4YS4jvqaYPNcugPB5GpfjS+rq4WSk8Y4
WeJqEOJoRVU4Km6/aBF9wJoT0RdLAX7TszRRv3xPnxRUSQ1ttrQFjKaNhbWLMTLa8+jQDGSeaMxl
3upFJEnPZC/dDN/FT8tskH5HR65INOxMOuZMxaDwsK3Cy01647HBE7+C9RG9qjx0xbYi0SBm3qB5
Bo3srF7h+wKBseKxqHu13CovPZNmHBnZCFSCsf/H3Zk1N6pma/qvdPR1c4JJDBd9wyw0S7Zl+4Zw
emAGAQIEv74fsnqf2rVPxTlRtxXhdGbalowEfN9a73oHbXwhkYv59Tza2YN9iWFq6v38G9dLxFTg
Ny7i1C+K+PhTnvx3BB9Ikn/B+/7r4/+ol6T/UBRp4VaS0mBAsqQo+mPGxbeMFTIeficVkSL9vV6S
jf9YKToEH6ZfOKwubir/v1ziO2g9THI1gAEXbY75r5RLhvgX7wConbxyEdRQk0Ekpb/ye8pcv7dJ
NuqgB34tntTuSAz7DLaNZfhdbpmm9k9F8wSc6cpGZnP55sg3RIVBwo0Nsg1ZJWIEyyMB5epkFxOq
Dyv5JuIiWQMzK/E5JeEQIRRpciDOFvRO+Iwtd4HotQ26Pyt5zn/phIBdlWMHoxNzGpscRP1VsBMP
Ao6Tu6X7K3pRnJldXLek+Hk4Mn9DrrHMWoDnFQZxYrRtIbU9zkxgGNmgHPkaxNJhDqWxk2e7ujti
C2EJ8pkBDAM2gHRxiwkZpHHoGahPY6+Gr3Bj97VWj2P22DPgGs/L1AzO34f0JJd7s3OocRgR82sZ
fB1UUg+5KQXnflyl7ryWmSuURLeNZ2Za3GTPxet4Gk/yjvgpkRgq7Tn++Z2dNV/gWpzATvmgszqx
cuTwhXhbYPMFZGwRKzZfCBwjOGtu3RF2Bz9JANbtjZne8tuZGVjG9zL8y17bN+Nb9+q9xnCsEUPT
G88js8NpT4XXn6Y9RcUDmUPw+OLBACARkdKHaS+1oVi4qExxH+A1ccCz4jCmuyOY3s/MKRlOjefs
lfeBORgeJ5vPOxGq4BbOYiRP8IjdkI2YLe20BeNjKzMhWsLg1NfoU/mhHYs+V+EqBOXl49bYykgg
2/Q6h9RnRo9C2G1PBZOSYmGMvPXGjrnM0MCAqUgLY+e75Aae0JPfYLDC0Ww0jKJzXx6C+BtHk/0c
5IzJVDBJy/xAmTI5VDxMy+zlCFMyJBvqPcXfXguLJMF0fXeNQ71d+bL2cMWcZRqZwEXqPurX5lN+
YpBWjFtkQtQhK2ZhPB0f1Da9gvEiDg78TdmmP0/oHcQL47GSoE7BHxuQBkf4VhhXQgalDMrMI082
hMgfGS4GA6FAqLn3+UZ+bg8dZE8Eou/1MwGkwtl4i5+R9wbZMgkTSM5cwh/L22HbbKUTiJzhiU70
Cr7wJPjV+Xe0VKgFA1wo4sW8u49cIui2KSgZigz9hj5UPq9Msnif93ticldHMQ4JrXrOn4drckku
3/F7Rq3NxUoDQ84VheISb/iL+e/udvOng7IzCdhaU1gS32hz7OMR5utW2WnpMinkhZkft8LhfwKN
jNMykgKtI5pTt+Wnvl8K5J4txhnZutb8i59h1NS6SJcC84NiFQSPstCTYWdZI8Pj4vB4z1+J7Goa
h89l7DDmUpkqnMrPHqBCILuA62cjGEfh9w+tnhm3KR6amBCyrOIyX4s24wHyF8UPN4fl5p+kfjIH
lyi3INeW8JzVwoHxwbefxwsjuOlur3DdutuKWwT9+kaCcO+A6UAMYyLKePNEJYUXwtvPOByB5XIY
MPDJKttcX75+RkvHmZD6YSs6XeroX3q2x6vQ8KiLctFZ1XZyynZigINUGw6nfg0lstIYdG5TgiJf
PhQbz69xo53rBPqMlSKSJ/wZuT3v2xAkh/ume9N1u14LvuKqG8DCSwS8vHDNuPNVB8Rwan1kzWZI
Xwrc2JJlOnjL54ACLeaoLlJyMXL7sf+YHGkpliqmp5Cz3o0m7IUnEupauGgzYe3Ape4gPKkgzmnA
UJ7wVbjJ1Nzc8CzFt9nXNoZ0Nn494NxoNycHYz4prrjNzvOPVFi2SILZtFbmD8IUM4AXrhBn9TWe
lDa8nQki5owwTDXkM7Nh+ib75Xd4Hm4F2B84EqLs6F18b7358jjwBSL6ds9UZYs7uE9L7kBcOLD0
vesAdIkLXIqbvpWlzEU5jbDBV2tBP7bZtzF9r0Y/nn5VOmT0p0gJ0+9ml4fit74xMXrB0sRqdgYj
lMzNDgmgFE8E/7G3etKBgy4QvC6cTs0U3BHGnx8vFQU8B3/OgiLoFnaies1ll82OArjS7HrlB8Zq
Rz9A8xEQNvJKYyR9EAhxQYZDd0DxZrIOVa56iliBqUffRy7VyaV0617Hyo/I+aMaf5iWOnqN26pX
Opg75NQV5+eidx5bo4SyFreRgYCyG6mtie2ql4hBPuveejqoFi5hf7OA/rdlZWN2BCNbIVeJBJL/
vmhb/ZeiDVb2Xx7/R9G2UK91mEzklqmIapeq6I+iTUcrI6HCxbeQeezveu7vIJdKbSYTTGbqf8tz
+qNqY36rKApWSZpMTIrJP/+Vqo3jYAj7D4rbfzx0/S/GUlOXxjqWS0ZQ3qc35Z7k3qqpGXo1sfaK
rhRVSfH4lrLa0xP1WZGOwgrLkS6zGjU9FKvITWJ2lyqzZ6D1Rz+8iEJ+MiUtRIJ7MkxW4HK1Qfr3
3M7cSHgJpHcjHIQfOZp+ySz+kURmbvu4rjokj2J7GGaiBvQ5Dwx5CkclW6cFbnrV8TEA6w6rYDVv
evMixdlTTUUmGvs2PUzazdLgAqdFf8gex7LviU1v6qBf4JiVFNORzxdFxzJgNlPKBVH1ssd3BuWX
AWcXkbtNtk8e45IxD5K7MowbeEhJnzsjBCopBqsEQ7bVyqskuJwVUAjLZ0eCrgh4PiWMbOtBs7pY
tAXa7olhcG7C5qi5tzU2iOxWOoNuLGEKDJXq165KgJ9mRxIIiBWIFiy72yW/j1e5gJUxpE9zMjPm
JKLWhH3IYVXs9RmL+xT3TMWoSaWaGTPsyA4BXxXZikbsplg4d6WG7HEjaLPbCJWZIi9mdbwnX1Kd
4c3b4X4EERoRolRIh9WYracZpmi/XVXKWloRyqLKW8W4fxi97ClYY7S1iA5yOGd1cuwkYScO2iU2
bpsp3qMxl4NUBABI4EhjsNMoxXm+5zTuORzS7KEFkkzyuwTzZhRCw5xQWgmwk28Ro/jukBBrCTjQ
F9O/b6uIFk+BqciND89Qkoz/QQtCEAbY+5+g9X/2+D9WHek/aAeBwFFuGIt67x9aRRM2pKjz/b8l
H/4ntE5DKOpIPkxVRMOnY9z6515RXALhiIGSsYkg5PBfWnUU9S/Lzl+P/fey9GdOZFsNanInXEbV
HPy8GEq9FPp6kLZ1hqvKc6KvX0yGwcZVoSzW0SfYzQTu4C1yhE8GB7a6G5Qzyc3PfYjXy/0BY2MN
7KHDJEBcOzhZ7NY8ItqWaBCmY0qqoch16HaFI7X4bNh8pjrpSdJ1YNC7Eii9J+ArKFzkUFjaBGfx
uK48ZaMEkNAQeQDOn8faNqetnATYt+kNRgHrbHp50mBmtL7AwIgaJXVgsaHGyL6o09xRtWpKou+E
pc/qfD0ocA3wSH2t8Tdx6ndx1+zbI0ZABxNX9CpB5aETb3IkfvSanigaX6DNh+P5fumfB9ntZBJ2
ib49YDATwKrcDNf7r2xkiNdBckBeUsIXZIVSoW1s4AgUrZ+Gae9IQb1LQ2Mtv0XrZb4WtneoCkMg
XaN8EQ4ux+ITQ+t337Fmr5jHMrgObhy02wr2rX7FYmDkfSIetgZR3puRbRzlNyDnDI+9Jzo8YXxY
U4Saj2irrwgErFbAomCEZTYxsIBhokVmMdCd4BR+4Uc2wK53czKEBYVPjjKt63hKtq3XuTBeLHxu
KShN+TzPyBBn2Kf+rXEWt6gSxfETzfWvXxJ/FMf4hoe6KozfJNN5DduUnnxeZ00NyeCYblT08rN0
pa8XQa8gHWLwg3BuMKuFogqhEyigFFs6VriNTfDr3oaKfOa8cNnVnCcE8Hc9mCSOX5+fx+6D9mUW
XW19r0IlPa12D3rGgIZGy3ooJKifi4/CdGKVjqPdl/1aHm64/9wtOYHgiLPTNsftbbzvMmD2hTxB
Px95c7ab93AT6HPokqIte+OjW65Pq+bt6134QfyKOKIwt2d1I7yoMi/a75gKTPQ7h1K6jDcR3vm6
/hReCHsPZ3+GZtl5j1DyH2G6Hr0ZK09hR5j7D4MO/TSHir98SfIVX/Ljde8tskr4nyHTi/V4ZHAg
PwkfmNXt5cLXbfwN7WS5TLz8pGxuBwnGUOLgpGOjWbDpP4Bv6JdTP/oyyaXHhyhyh0cX4pDlcXoe
0+GCdSnBEBPkgmJX2DgEWa9kdbxA4OdLN1ukTi+4ML6+8OEmF9i6knbz9vERXn6+vqArWvI2OyXv
8BAIRbY7nPyX6AAG53DtzfUSfy2s64tsEahmR3RlJcqWygfrtomKsoHEGTgVNpelTVz8x4AKaPm5
JUBmtHprGVhD1bDeX79OweWZvndwySe4jNZpE1wu/E1rz0/SzznPrbXfP4dAs07sRQjSkKRtCnuz
+br8bE6k0ZxeNqcv4ibqIPUgKh/wzyCFGf6kP9sGXpp7nmFyDO9m/2CRZS3/kRlLa4G6ablREh98
yYOvE+D3uvCfPsiGXpdbJVTCzlE9FGUeD4TLUR7EQA6mID1UoeqVx/qYhf1G+VJxNif3HH1cAQOD
RpZfyvnej5/oiAI1wC4D8d3kG365bx3OBAA8nvky7sXL3ysCqxVf2Qsv6JysN+gytuggH4YN95Fs
Cp4Qt6YAgqnF1MlmVdqVTyAdNFv0OuHSrLUAYy6ZUfSY9hyqh35bO8Uep8JA8xT74+ELx9SjQ3vv
LjCXAHwUGuHmrX/SuTl30FOugrCA08J2yTTH2tHeN454aDeQSwLTNt0bouQtBp20htwo1styQcVe
swTLTJxUyd7q7hRBK7AgTaR+6hvrRYAVcWyxp+7B9khoXq3lQFgnJ6oqosG1s8B19iMH8zeO4ZHF
2gN1gbfC9FGe2A9XTZdc7bRzok2yWfmjp5xkNHmlDWQygYLszdbiZ+4zFg5WgjCs+yV4q2PjNVs9
LM54L77I2DLLXn6UvY8Wm+jZbS05MH+mLU9shlKouyYAk0Eip+apIP4zdhqoB20NnVjnzkuQdjXb
tHItd+br9KqfosO4Hfb8+vxpdRJs+FsHfQ9laZe8mLslk0EOtF/wqhzBVz3TR6/jjp7OO1jct0MN
f65aC+3S12YG+1CusfiD09k5+MNh+PW4CntcGR6/zpWwGUAmVCv/ZrNCSqNDLLuSRX421iNLNmNN
440Q4dJkdmTpDxfkl8WyIMwVM+NcIFTvu8xY7DN8HvAbYT5o3a7RU7tBJrbjcK5YxbSBuh7fdDdn
oHBVn4rNt7bVtkBDW7ywWuvzcZafAM3AZ9eM2kHLQNkYe+I94t3R/QTaVioD4aWAq/44sUKu3HHB
2x5nlk+WX+aky/q9V3Y8Tog9UKpBXgNZ/UadgKtA6iIvHy5RsuUR8OlFhwGpsoMN7xUQuoGQ4Jeb
yZrSXpQ/888ea9MM4VLlZpv8tQ1BIhtneJ93D+M4HZYFnM3xQ12eZfqCEgqqoYNp3WC6wOHaGABA
ma/tzbXJarYsJizzDox+m/GXn4UwtiBqyZsiRMEXVqB2t/DhA3YGskMjcUyC2Y3s5eLNbM0VPGhI
lsl9bQZQbBdnUcCcxusvnXcVZXtZE6HjfWuiA6ZtwX2vuZRllhHaJBa4A9DWcJoufMX8Hg/zzvye
LrxeXiHfuWkOTrNAYtJuPACyLtc4V6+FSLz87Li1qCxeIbvLtolJIiDnt9b50QboCij4kwdM58fx
Rd+y44NB88G+L5O52AQ1UCDFGbjN/cnIv9viLL5P6iZOeBq4X9E7fRC/Ou1PgHdgQPnDkw7ae/kD
IIfVm+wn62zbh+J7mngdrALmaPl1U16hwqKdQdFAdydYJ0ClzUN31cjW31bqHjpxbDClw2sSHvy9
d4Bkev4NHNrGbLMW1o80xJC/REfgYGyzv/LBUfMRPw435P1u2zhAVOL7XO8SE3DuNUN3/3Dlnfw+
DU6MQFcHJ7SK737wOuMUq4HJ2d3BlSs0O2uei2+woCzfV8unFTdON4LnCz9ZfzAHN2EcbI42ZKaI
BcFe6MPVOnuKc3yrgtXKYCaOy8E7F7JOssT4xLyzeP7RdEoFRzrqT+J7f3/u23O1igNO0/yOMT0n
J0T8EyNbWD0vJ/cTABTHKw63ZZTiAKDdbHmXcimgtHiHg2hVn0gbavdxGLCfgDQQxlBUb5933V/F
z7zsG18qp0BuvEH3AeNaVjJtLUdbvjfOb+J7mS1foMiTFBdGVp4RKIi2gT+oKnkXuQwox3PmCrpn
SiM13Ibrg/8vl0Uo9sIyz2nkPeCf2vkEdWZ/c/v+98Wr0LnhdAWvEIr//4RX8QN/6hx/iwpW//j4
PzpH8Co0cfi/McNkOri4wP0dr0JgBw/MUPF5E/88ZFxcBJaYYKaPuv57BPmfnSPfkhEpiLiega0t
2aL/SucI++uf4VUo9lY8I+GYS0/8ZxeBCKGF/shx2O1QszLmic9yupbgT0jhZJaeSCeS5hcl3Uqd
RGVgQqgBT5LswtyZkWcGRrTtJ/gj3AQsgD1kXrRauBLahQyGzWowTJIj0BWYt1NZH+GZiKe7cXiI
L8OnVvwIGO3isCldHrcTDWrt9uHrhJNIiWN6RN3j4yIjPLiKGUEIjaOV3zPTT2fFUhFDC2XPMGaQ
fROm6o8RyxYLCAKBvDkggWjkwertMl1n+gR+6+Qv6u2ThhcSZcnvlN9b5p0poxy16fb0xegn0p/Z
DGUNInrdOhuoUNUIn/w5kWWLIeCAUErp6UWfKr4whv3qVdDWOWwe1HWtwMJk4ytkmSiA+/IrT+za
FaBpVoOyuUfvva2wsjVrNNL32DVoDkHKOAL02z3y+yjM8DyIeTW4AqMTV4HS5dXmdjNs9aS3r3je
sWugdV/EH5Eba6j4MQRvzZEVmB70I3pWqad286HszsBdrtH8UtE01so2h4QTy8Yxrm5euZyeSv+a
yugVW/iXpDQCrf409OFd4my1NLO1sBWzEEcyS6Vfk4ie4HAq9TxksMoj0+6K70pBgt4iVbYNiMIt
YZ4shMilFzVlw+zW9G9GIKBwapkhTrcfSHsNjn4L1yMse4emWmmvdfRSU7W2tpAG2FXvC9mzw8zA
FXar3J+1PlCfSv2F4Z1yNuqnLtvqbL5C9ZL0z/fsWu2TfqstY3DkW1bG4All9hTovYs2eJhfF3Pl
vNty/ayi3WD+itv9ezVfxXrfp+hiQu08PHycrg3Rx204b1jN171J5WJXgyNSuC/2stb0PkTrSqK9
dCvFF5gk8M67WKdFh0R5ahoofsx/6rdS6yzaH8NAD8H4s8fPwh6rbeOA2s0U9au3mmm8sxipI++T
CxsrRWjvzd2ZiBRR3Jh5erx74CDE+1/BXwlwUe81r4j3pbExzx1eituofVXz93uzn8r3FN41Zoef
era7I05Hb861+dPhf0bIi1193boAAQOGGyb2ANTF1VnGooOXre5V2UMKyLDPog5vbN1wDE4dXV69
mfNwRkd0NOMdbnjSvMtKTOLWk+CbaohcHUsjLr8kD6Xu3HKZ0MmaOwO0BYQUFvDtQ70fhPteMk5y
dS4zhoNkYXpK6oGHQPSXJms435kdUaOku6w54kbPkBpU24BJ9Nx2W06pEkSJN2XhoLvM1JLtDe9W
bVOsyxVf2t4fflLbsLQqN9l3Xj6GMmEwq2NVb9kFPcROSw+PWIdulCwfDyAZVd1uWRQsYx05ngyL
PvMxpL/fruIY8nKazkkmR3jY1Wgnbgw/ulptaiHsFUTpDpnVNdTyY/5aE4gsbWgLKJfF4zi4sMBh
y3Ff4nD7FZs/iPebp/SpHu2uXauyJSLGGuzM9B/ZNppQN26F1c+Db+DCNETwrf0YgKi54P6sqnu9
cypawuA+BXgVxM1Jrg9VEdyUcBwwr0gcefKy6JLWBz3nRRtICa0fw0aEga8ArTbFF133ZM+f/JuZ
PhbxDmNIQ3I0+J+mkw3Pcf1WmBcFPv8MuyF7FwoAdyglE6sT55GKL31P1F0LujxQlaS3XXaHnXF9
YOMFeQSn88WZSrj9qsfNYFxTiE0AV0V9NLLMqfVn0ghwcS+jA79l8UXIVh4zaf32kpibsmSdhcUR
7ZT5rYPQaKQ+C3ZyFiR/rK2SRpk3ke+iyFme7fPRe+PqmJdnPgvqWnn8lEkgpvt2doVhPVrwJUkX
D+BcZtZ6VPfCPmuu4n1ndIeBxqpxWWhaycV7muL7Mb5Vom0EIqRAPPwOEbqc60iNpjB2iM4l073Y
GldOXWIGxbrhSQIPC41+dCTmp4UZZup380D4EDapbkMRQoqyRmQkeXeYLzdKWZONRbYf4tuYgrtM
mWOos19g5FWzcQRahCLAissTTp/ZrviefGndv8yecSKVHptUMiq6TT56t2fWg88J7oQMxAlzU39v
PplAC6WTpPZ1cFGIcPpEvJTPEk4Jt2Rn9rhVIV+Ct6zD4ymwfejbkxnziNsmMUpbgfSXruAcg0xF
V23YcNFbWn9izqNPThRo6YDuQ++2XLaTck7piM3VqSwB/x4QKrOTzMg69TOGUSgfzldRda9S6TZ3
HzC2hsequnjw02Ezw4Geie8+psNcVS2u8ssYFbwOgiRmEEQ+MPxv0dR4PfSDCAhYvb/cUOkD+C4E
IkunaW5+y9Eaq4LZqHk4g7uCDRtP3SxeLiJORNYMIHkyd/qpGfiJJCjqqwDgllzkO2L0Wgknt3q7
XZL7hVveayTsFBH1WVdWvNcsv96KS2uw/OXkC5NtdjchO60TEGM1vMV0Ze7I3aZl72b1LafPPdEB
8f1NAdVNdc4o3qm1g6WqVSIljOFCmwObhC1LW7Pwyf5oYANlkdXf/bQDCrblJphup7g+aKr7MI+3
dG30QfaiKXbU2wmQGcBQ62njRgF0E8McPdL0eWOJbT059/AB6r+G0wBX6qK/JG5dn7Tkf4gCUv6Z
snRlyCamVit5JeuL1dTnxzlldPR//7f0fzJJvJFoVxkB6cLZTg8UpIPSKds3r9pl8oQPd3J4oyoG
5DQpQeU84TG/NbzVBGQl/6JFGiTP3N5plLf1r3vmzl9/KrCPfxuf/q+qB0xLqzu/8p9PVf90gEsV
+6cDXN0Z+MjGUqqcyL5QPBFAyq8DJOiH1RccTFxMdTr8ZL3b5adCsGv8knbcpifVaTdYqKyTA1EJ
8zlJrDgEeXjq/Md6hhg00/f0GwOUMD2kXhEK6xUSI6vf3v2FFgvrVD92sfXfvxwZ50YO+L+Mif/e
MSh/KbtlOZnkSlkMZE1kD34D50lXv6p1DAxbbfQYCjuUtfWNGAHGMZTFlCWflKDVq3LRyo2sObPx
PfVeMQRzHNCezg0Kc1fGbTbD38Ut1S/6UREgdLiyEJTYvkMXiV9zBG/G7Wf1OkWXnr0fWxjp1YTX
9mpg1wXJ5nFRXu8wi915wHkYb+QbrKXatJfwgvw9AvzLJdlh3cJBSXkw0OHuuXsptQgNLTdsKyRh
1H2UMIG65MCRwKsz5qARtmMdJupxZucYLxVxgnm4yOULzzSCud3F5UVPzlr9Yrzr5ndq7LWI4AkH
GawLTXFiW2vd+/0tby8ySCxQU4rGeNMCebRrDU8Y04J/rSwb8rHHV6GjutvD5hbWqrCl8ZX9QiUf
JYTHWJt7rSDNwREmfjRQlTWNuArBuQgftbNYvGohZChWt7JzBMNdgeLPXjI+M4x+KGGknRGoLIxg
OdTqY5FR4BoUUnBe6p7YCjaRAgHB7UUlEaFQ3PERtOMeDyLFqcNxp2/gl4Rt/8LGYzJ/bofYatlh
5PhSsyTkRHBAmFl9sHPqdzffAzwIt22PsQFW3AFBA+AEcB070EUpgkBkN6NEmWURxTC81VkIf/NR
vIt2+nDU91Mfo3Vze/9R7e4XT8L8uiMCrZqoTaQplAxL6lGF6ZC1sUcovhvsFp4xR+4XRlm0cocY
RxJ93f3MaCinUCewCgU0XmlfLJAJFkUUVY+zQMgayplqA+Owwq+MpXHiLMhb+ld3pRwezUUzd2N1
mCTdz3LgGif+0j/ybeo3yv6c72qS2dbTrtrwTC0+W0893UsXSJPbrCASQb6/xGHpDzZSkgln7q3R
YqvowJoowRdLsgpcAYOQ3iYyqhasfhl/+jcChfgW88jM9uG3+WnL/EHCQG5+etCkxc7wVtwdgKeb
bBE5Q1yIrUiLquDeuQ+ePbYWGV7hUQg9QMf4imsG81EY7JfNfKgBc7xkO7o0cdfCK3Fjm7fiC+1z
mL6YTAMSJgE3HEMh0HKTVp0bcZHAXPJHV1x5E84RnyP3qWBTbAlroMj6wvggBmss7JWj+RonxNKQ
Ci5hsRVeyrRi1/odlfplRVCvekJoGQfmQd1pu6YhtIQ0HbfZF8eiZLZrmRAlRgSwa8Ifqu/xSl2B
oSTRcn71CeUiJzwR20mMxVbW47P/4VakNa9VT2oCHCYfexCrsi1d/jvQow6wQO2GRqZ0bu1ukWDp
Tr0BhWvEk6J8rXB9wi85Ia3CavbjDjR7WGuhERo7sK9f01X7hcRWiC/RLfwRSYbpmBj7Wn+eUX+A
+oYpOUnSWlHhbt5sXbZRP6YjnLLFNk1KzoaIO9nE8d3OqJjvisOrHbZpfIjA6zKvH9bSLZRJR8Ye
Di4gAwQpxGFNeVLgMlo17DDeV4x8xnWZH+5LxaDOINUoU5YKuQKcqD901Dc9N1e1uhY+mn44gBKW
yhHXgd6sCJiiPLTE4ZuNhnK8j6lJ8DTIxTVhYBEYACDuym6rs6b6BgX56BjvfXcGs1Ceksyvrwn6
8Y7rkECvPtoo/Vu3kZs4yNtx8wPsP18qJLsoEVati4okX81hnz2JN8xlHNbAhuA4pPJ0DffuhNMC
TaH8gfX8ZbUZ9+1T/xHdt5wWtbDaYxlb8jMeSFijZr/ukqvXjoomAVAfes4ONvQHb5s4LysJrkJB
gZlt+8s4akek9PdNHkI5NGVXAmgd8VDczIlXiB/RlgLtFqDnrp9mX2UiiQFjcpg3ArZ/vXd8Ijua
KQJTRoS6hZXucHjlCwwjIOPYObY9eLc9sdgxBR3fisQrn/ETACd3a+u2zXGG+E1CbDbKyD8HT/UP
TchEhCtVd0BD3eald0VyQrN1vek2lc9nUhE7kHkx1E3uMat40vzyh5SWl/SKr4MzOTBLfZKe3NiR
N7w2h6IdCL++Yr0uvCE25wnNC2dWTuwV6fH4OU5+4k/XhDDUQD1lT6bAyIgnvq8Z4ng09Q0MbzVU
Pg0fBgWLX3CuWdjTc7K8Rq4j6+WLtsCwklMRdpevOwHmInRCvBitr4rBmh6OLcRPxc4s7Vf+iVqn
eEfM5SsahjWJW+ygJKaGR6OV42YHlRRLSya4ja2FK48mxRs8+dRuIUdjaQmL4+VHtD7eAMgGarT0
i7G7/KrYN79gnokyi9FoztL8ozL9wtfpE4F3wj3EsLcHEXb1rXxWz4Ji9Zv4kDu5o7hAHfjttqmN
U2Mo8k63XuZH++Zab+BEIlbBlSNQjmDwCNjzw9CQCWalnLvIrZlnytj/cQDwTm1a1E8RNrpVhQ2T
V+bU6JrIShI3991jh1Fu+lYeq33HDBbsgtV7GSQm7gjgnvvdgAg6BNKpdiWTwsdvAVB8AOiC6XD7
RKTNQrj89ZOjnfOSZicR6DadkuEQmV6PrpxhMNsCu70dF2FNcES8zKIXh8MmTEPz3FLjckfuOrCI
r8oxrxoaKKKA1XB1mD3Fw+RhuAi/skv5bbxhAn9aRtuMhl4fKBfFi+TLoqfs2026A5McvDF3Zdlb
YttJ3mHitMPgwPNxAnnpYMfXO0jxIQwTFNhhgXjCYHjmVb8FAebdgustWAgJ0VexqIeShVfj40lI
cKzo3JGw3gmRBbgdlhbBY8N4D6eA3NUNb10/Q9p4FX35/f4qLDTk6JnO63EUiBWwsG1VmRHvpiBG
CuEzC99Gr6sw/pJeQE8QJjIDwafIgTifHrG02mAOe06a5wVgeYbByugaWvBPuKctZSQsOF+7wduc
nkmB9089VSnipA0oC/DVm8QTsuJaDMqcL+lAzhXlnBr16wYPay6q6KpOZCpAQV/h7a+8NLQ3KW/K
7UscknP/AxFuOxD/lN63BkNiJhJsvJuVjuP368hSxm6MCyCPFyVfj7AK9R6v+Nak8ukGB6g+cBfP
i3B/RTkKmsDIm9tAfjGQiRDih7+jYrfzkaLTvIEGLn7hCXEkh3LvwUN0lMat3zNnDkwkwYN3+3VH
p/h8/zVsFn8udh7hWV7Hu/ZX9ITDjvHU/kouQ3APjr+VXnsJsr18vKOip31V1yoGhaWCecxRQBf3
cIl5wP+j9OOYu3/YG8UtLN8bSnL7flHvzPwQRqL+I+XkUpVPwA59tH3ANA7BsEIar15CztG+EB3i
pjEljLomszL1Ya7QbtLhgIQ9cNzAKOMAMG8p7/fCebjGZmQ/cDW329xKFxboDnLyl/pGrKfqCy9D
vpP2MRN8jXcMa6oUZfJGQxzDdHj8jBmOow3+aF7z2L11P/qu2zJsH53Ri49QK7b3k5I7K8brFbXG
qfpodaKkk31TM1Syhp983YNxLg23I4WrgWaf493N4rIBbYjg5U1c43DA28MrR03U2zfWnXBeGyQl
lq7IhKBy5upqqDY6TtkZYKxPqdMv8kvDW0ZeBL5YN9GFwYK6Fztb5rsH6TQ+9s2nBEbMuy05s38r
N5iq2dBwtgZF3OkeIMgTTHxJlJ0wv0koTthvuXARJLiwmMR7gjjlXvr9p74rxyu4ynjbCZqjxY75
/rCJ4WxdaWWpuafiTs4ipHp3lBpQSfI1+Syv0UF+FTE1BQCAtLFXwnKNIDcUTYA4RFmvnb4WDxHE
Ongkm6FFb+hrcHWb3u2P/ZHwrLSya+JOo+XjxoD6U9Becjl4cEthIGSPLdB5WLtKjZTUdFrGwfiS
19gxmYtS4/9xd17LkVvZtv2X+w4FvLlx4zxkAum9oXtBkEkSLuE9vv4OsFWnjBTq0GtFqytUYiWJ
ygT2XnutOcesjm4DKWiKExpIS3dKjWj0J0s72lOg4lxEGs/hm3ix0AlrypbPoeyfFGb/1cqnw6cz
/096x+1mRKGmo4y/cUJAKWQKwqE/y/WT5776yI5bfEVJh7EVbb5E/J0dm3NXQun/0tPFqbVbqd1c
cmbC7NMiylInz45nN6FTlexrDmGN9pRaE/1WyBRqk5BEEb99dbGXlNaqkPc9vTLddR2Fjn8asfhr
pyI/tDTyEOVOPHPZVDPoLZGMJdhcBSn6EQVUNFbccDlMpU/eutNrvU8Z1sCKZ3KAqSempzbkh+aj
hWmMJdaltYXgmG+DU4P/RrNSYEyLUA6v3Sp2V7JnS0cpm1IYqmdtO9KjIDvL7xlJOVNtm1ZzAP05
FQI1HlNz5lIAWiUb8IXYrkMVyYVPEsyU8DbWgnZGMso4yMou9Hl4qKPCHlbWllEAWBl3yy9LxCYv
j4UDJueFjh/V/97zwfEXPFL0luxSmSooZDS6khTrpOpttS/NWTsr2AuktQQC1hqpCemh0J4QE6s0
p3LlXa7mfWHNqpzcpWIRZPGioMWQTXUiA/mwRVmfgKoJHd+Eb7PgsecHoS8rOK/EcxfdZ8FRedoQ
W2rOS3OphhshoxWoMiiAI7XUomoBBEDPPFBXa5RwbT3tWjsTty3tRMQ7IHYf5Bt7fHjH/jI1OILf
Z+nGI+luRL6QajAc+idZ/rS4A0O0OPweU0VEVMl9YmIl4rwIylu2GeOFnJ9kuyBvMJnj3sGM0SlH
rzw2KJ87FNCkoQ5hvlcqCz2MHcszHwBS/RWzYNLlg9KlPQUwyNJ9XOUsuLcI2GWSfiYhg4Jsn4hb
SX/KtY926MiYodbRqNmMUQfIR4hf/MXVViKZn3e71Wa6afvqNGKXfPKGW9ZA4Zyl1asmc/Mmq6I9
V8w8NIE03TPJxJaxURLgzBdffqADL2+N+3Pa3pjy3zmjhdmxgZGNGc9YcgrEscTEE8BiETGAwaF8
fabxnyyEYzbsvXoelnceBRERIPSbhjY+Tfl7ywEA6ATLaTV3c7smQqaaWuU6jTBYE+SFgASXTmQs
TVDkcrwv1UOAqr3jSL9nvBaoD8pnrkr0jxDSM0TMt/rere6O6l9LuvhTuWQg+tl6J5GZEgXcAG4U
xHKcZNyP3Hc4pLxtxIFoI/iPLs1gAwMNyGLS36c9zUKayrqNgYCWz3McZrZEdJcptpOoq3lwuXk5
+RXNex3c+hYr+HOJ7D/nJDjkU1IjndzkPLISIA0xZK15z5roUexnfWkHcIBb56486eJJwNfpPbM2
Yu6r0qvxnklniQahdH/OPBs12z3ZaPUxTQ7mUQUArbz7FtIMDoU0b47dsBD6rR8edaxkvEkMPdgu
J361T71no9iH3qloH1txfu/Rscw0fyfVTsvfSqfMWVeIPVyVdU49+fU2MuxtjUWRZOV52T6TDBZV
tmzONSqD5GLmFxVvL2IQnLD5rZZgEU3Mo36FoVCStMklA/CTjXPoLVqgr7SUgR7o8pXV1wWxX809
k/VmIIqznldkdHBQQt/3XK4KJJmAcP196gzppbAJchO6OSSkAGb7KTRYCkKQy4uo3wzNJS7WKWvq
OEvWWbNSWKmucTYLImmxrTPOn/dHsUX1xY1DM5IJABRtWhSX7oa1bVZ/Gme8Ev3dhl5CyDExuw5m
2lnwGdNZwOvZj1tWhIoIbNC7+JI+Bm/VszejOPEeH1hSOeAVld0dypWyFxYwzlFCI0Gt7LC+uCyq
kC/ZL8wuu2QRlmNlr9YPRU2BQ/U8TdBheu9Mu4JDUbzEPm37E4PfaQ2f10ow0ELyOwHj8vQXHC8U
WhuES//nu8P8b3rTEtr/f2zljlmNP/SmC8Hy4/wegjCder1TNYgkNrn7YCr4PqcoGxF1DdsUiWV2
/S8/efQS/aWJbOkQJlUIlBgMfv7JWRkZUmB6tO1zRi/TVtwHCPMeZd2pYgcOSKEyj+lXzaO2JaOY
6iDt2FaSk08fVV99XczvKPfBLGHKMvGkliwz7fjygfwDUwAjPqKdH+Q+f/f6b3IfETqAyQAFo4jy
F262rpl8L+tLY2RIfJp/2tNk4w+MbDo6IcQ2lvQjQ5QvMT3ggr8+YQ2E9r+R+3whln64Y/5y5b/c
MZZqBGHT5MM84UAVp8lCcZX8rY/zlQzFyNUMtIPBOmF6oGTp0hA/rapZabj8JiZZ2KA3uqcwVPe+
0C46zR/dGAMnMiv1zroncPOLpzthdoWbMQOTJbbxFhl/ZDGb8Q/Uoz5igFp57lIMlT5J3EXXrjqD
KI5QGo56aVI3hxW26wrJfCvZjaxqOyNWjbfKFA9JmchvpVexuUoKwYwtLBCjbD/znkQHH5WK7B6C
Jn8t/PZ4L+kDZ6FMYmQS7IeaMQrKyXuv4g2oIsQmpeZEWUVaACFwtmHCwW8ivwcE3gb0XP3cPxld
6/5n7vM7PiNfkraRgwtpXUOCpnK3/sMzAqfs52fk717/7RnhlubRgDVG4NlfLJykoEk6HitAHl/E
sW/PyOjThF9Gqi6Xw81m8PP+BG+MX5Lxg5oGvigVpNq/4uxq1vgQ/PCQ/Hrp2i+zuT7LKjV2VWOR
1Bird2E9r8WjxfkVBA3kWhxT5iK8j2CK0rSZ7KPInhYKPYctvWEiCVzGTQy632J1NnTrEt42qn0J
Ui5FjsPzgiQpKxaQ+mg7VmcLHBKt0do2mCeUeFAo9ibwGFN12oKoIc4i5XixFf0Vudk6YZPLPj/U
r1G2loqL7y47dy5mh0JY+dzW9ZyQzbBfx1x2f/alQy/sYnUlKZuyPokFgmFrl3AOKuhYS8ViyC61
+Cwem+wi9svOAp198OoHg/xD8SGnvyk3t8Z/IIehNyaKV9G4mQTKsgTr3eRPufVINLoJyEkKrr18
0azXHlNVs47bTSeh1lr25YluFBJBqZ2nDGTvp46q0H8uxLWlOOTL5DQuOWsyozUeCCmlPjYrBpRI
xslCHZ4qYZEDC7rbgndyi40Vb+LoiRZijChvIV6mRzTJ9vaFRrZPGwolFpeZ0oKQN7Zn2C8pXgOV
nsxClJ+jgXMnuZj4Zprp4JP3MYkeFYg8Cr1ZiBdheYyzdXxfFsmsGMH+if8m0nEPxcfWO5K2qEfI
pGzNndfeRQyeQpI4LqFQUuPyNvXPnfYq1ZyJ7WH4IESHTDJ1UV5jDphZqtn5UQVr7nIHGQC0UEro
tNJ5E3vyy1ddsxGlnbwRq6XqLqVqZjI/Uo9qvfItEgvmA/oTJGGEGPXXcKBBuiDCPOVCSvAU4Ooj
c+0pszibVebMFOaVgr8lyW1UUE6xrmNYUxtCWYdyjn5CJGx+Z227V6Vbmu68d2fU90oyL725Lu4Q
7wijjH5a9WNbSLpWI+0LpdRU0FaA7+6f5XKsvYFDEZB6o51T0WIvMR1O8M2PLJlPWNNFvXKp86CF
scz383Ln5ownZzmiLMF/9lXE6cFUWYxuNDtY+GQ5FW/qs4rLbh4s6UZgxg+u6OSMbbCxXum3hW8x
trPiKS4uMudzs3yKu3OIlcBzRBC6KuOdhcQZzCW49iqA9ctW0ItHaUvP3Y+v0LQT6TIk69x3VGWj
uytH7A++eCzjfVOeTOaddKWjT9SmOBGO/M6YO0C/UJWW8Dslxz25wYwGi3jfaBY/cGqtfIZwgDxo
CNSruFruOCn07upDqw6uXaYzkGwKOwxRSGtov1AO/GKr11cjmsEe6CNwndz1TA7idsl7jcynrBfg
kqESiEinJroI6tjBPG62+AVtloVsgVE5DLisEQccQ+EneIkDyoDMCJmADWYTESRtKgJeJyl34H0m
YS5LnV7emi3HkWUm0ugcCDFY+LFTo4mpDkp6UP1XX1+HwTJJV9jmCunYyPsonYmNY2yjwPZ8gjJY
iKrkQ+UghBW6JO22feqCSxmfaCxmtP3pRhZzIGyqsGr8rUqMRP2qJTsUUeUurxdysuejMgDF7HN3
q6Egc3n+doZ1gLssbURajvTSrbUUr8t+R83vfVBFBMumBc5w64blEDOtMgAwGp8wxU3vinFJer+L
EHKNncgImxlEFAFoYbCNKXIiMuielueWqfec3iFD8FP6pBMeyJn5uflUdRwxrrfGXpExPVfJqXKn
BRN1DB3lu4y9bGbkUxmxTZZuEtR9klY6kqNqr9jcGdAnDOol75wzts+ZaJl1Oboi8voBS+xax6TE
MNcmrzJvdw3hZax0uHlkAfYMKv5gY1oHV96H5kNQf/iYbqVLXh5UFjHmzY35gFhX7m3Yd224B1HD
9hBNzx69pVK8wVqLtXkVHe6m89vW718bNHnuokwxLSL8YYP+59qE4uWH+v3vXv+9NsFDLlJeKDIk
iS/Q/3e5vgIpFRX/6PeGwoqI6ge8BCQwg2v5Mxzge2VCOYO8X5c0rhOK2b+p3iXx7yqTH/7iKjXQ
j0dN1Wxdjaxzc8Go936xQDd2ZGMQ7WFxgCYeEh+QO1ylUADjZRcWwzf+n7NWTXtm5VHDpMsiLIoR
ufBWo/2WCZrRAfyTnkJyltCw1a4ihOPDJK7UPQ+by3RvTp/d2oWjnAjoAt5wH3DDFLKQotuHUpjp
6NsKx6LZcLcBVITDImaE6671gJzhKcrImuleO40P3kXZQgMHqfNMj8S4hoRyvKn7zp8qZT8pTNEO
F0lBrfBGd9+MXl3tIUsdy7Rb0fa7pcFJNjp4ITvdos9XRnSIzpXpdMx6tK7fFnS6LUA5azMhPdB9
6eW9+DvnZJgKoZWSTBaTqIPe/ednhDhg8Zdn5K+v//aMyGANcLvQd4DM99MjIv8h8zQC6QONRySn
/sMR1/wDeeHosIG78KcP5s+HBEyCRHKGIcoyERsU9v+qfLe47p+r968LJ0WZx04E7TJqHX9ox8Ca
QbASZ9Z8SJ+DZFiLxUBzuReLSyrL3qIq5Y6mfy9gr7vr8X0WCjSK9coPGEQM1DiBj5Ve7mzfbxDf
ygZ0LWbZEcI3r6JWTIX7UkLoLSLo1XykI3LaEj5p+C/SiNGN7/TA2Elq706oYkEt2kvZorpfxEFu
n5L6KMW0rIqxIGrReC8l9CpesL0XNMbVppnWySqydrJwUuI91GabFOYTR1I2mVwwp2mdybtcRoVZ
ML23xGBRGPGq1cuZkZir0irIn7IQ7ek5kn81OoSxNfFRbYlxidgC89q9xXOmKqDLreG+6dQmWne0
I3srnAWSI8XepxWQrphQXmgSMW/MoMSgIMlPWmY+5mQZbiAu0TSvwWIyb4YKl7PjD21FmS/jcAEL
VrrB4vfem3SNI6yhQjBSlP9mJeOw+pe96ZfXf3vuODdzKlasvzs1c0KHYSRpqmz9mh/OTkVMrEiO
OE/rT6dmVYSyRBPsK4yWftT//L9b93+9j/Twn9Nw+cvvf1TomnCXfn7sxiDd73/vX7cmV7GaQNQF
Y8GMUlgrhSMbU/FohitXfRIRTgEA2eAKWRUbhu7Qv8m4ZHj0Osaz3pfiyt32q44JGhmhzK0g2jPf
Rzg+0ySb5jBOMSIHnRY/Coc761HZx59dNTe3YhbYdzCDzElQ003FDr0hVfLLsO+PaEOhtwI1OAMo
inbiHLT+Oe0W4kcChzZe+QjQI2opdP8Z2OJMxCXKWTYiclUVjkm3x+rACDDod3dUAxiHGcRlL2Yb
77p2/rvf4LIKjFXSAG1xI/xj8SVRxPxafOlkJf3w+h9ucG5utiyIYdyVGqLpH4ovNjNub0PmRv+y
UX4vvmDs6PRIJXKYaLp+J7KOjSEeB+o5nTxmCrR/VX4pf6fZ1rEAq5DHLPq3v/SFXM9z60B1jcUA
a5RQteOIHQ3G+c29XmobnNm2vjTcjWpDMkFBzHQ/wquAr23hGQ/WKyaKKEhskA/BW/Ns0aVnzs+h
kvBydLNoe85Ydxn7/Mb3likTj61Rr1BeUC78l6ajoXDz/XRv/fX13+4t6Q8D3JJJaPd/+vLcJd/u
Lb7E11iuqULE/8CdvjXmzT/I9eKrIp1F3LgKF/S9aiHXi1RL2vOjG9f8N6unpEh/WT9/vvSRK/xj
2ZLm90TMVJp5VnUuXzhOkq6xRMAF2bdhis32ehIu0WMO5/6I9k3yCOdAeA/Kd6IfvWHRIlNE1oS/
m3nazdwqZ2UfmVMm6hKNAmGWa+vgEx1UuJHOyqXF77YpbsoZNXO3V/aYBK29+SLOB8UhL2YVx457
rbHl5vQZcDs5gHkR5q5xsKBoF52ArhyaTQi8HF6Ns1BdxHkAySi5ARnQq4chAdVKNQPkBm8Rk0Bi
7C1UeLj+GcJizsA5Q86h+4L9B8DmNEf/hosRsWRDMI9dkdulP3/ABXZaHE9jlsMEwBuhBKrluObB
msXEOJPkuWpsda6/4JSifdRYF6m0FfQczM+VpacssK+q9aHIXr0COmZDwN6r1hx9bxU2y7J5D1Hi
0X6CsZo6jfhg5AA//QOee/+pR1CeRnOwnkRvd5ARauLF1ZU7TzukLnb4Xq+KmcvH84n7zqdfug7t
fA7/7mIsjHV4yxtbe6xJZmqdEqI8DhlYOVv9gKU0NTbooxNjhTFyoX4gA+QYMxnMifbY6rDzqK4I
ClyZArmLWzl0lB0mikk8ldaov2/4iabtQ584GuGlxDSQj302H6RNvgsPQX2KMArAD7qF76iA6QSh
oV31H8GxW1tOB3K0h5BUAi5CWeaoM2WKUVdczpG7TpMzAZ9O/SDc0pOiTjPQOhpDRDvBTQqJK6Ne
jgfHfx7Dr5A0rrGzOv7MHFX4Jrle5bWepyv1ihGuWpa7bimSGO3SrljJ0DCnKCrbWT79QIS6uB8w
2W0DNFX80N5yYvDOX4Djes6UkpALa42q+USzauId+XwI6XDbpbJOt0o5BaGFlIfcrYvAnxUmwRjA
vSD0nC45ABsIJsjDMiT205IPr5jeomUqT/pZ+1TP+oNum4dRLjmD9xU5sJPzY8Po51xOy6sgTnyQ
CCvr7T77wnzVL1+8ao7YUBWERxJEijNYRJ1PFYQGloQI37A6/kDv+NYt853/TJlNo/9VmUHRl2iU
wuqZbcm9mLx1Nk9odRtl8/na4+kLPqtn2t8aAMUZynr3GOxqp7CVfbi8X9gm7s8EOJPLdaoO2T68
mVjtjpTmfFbQU+z78i2fRkioFZs4SQLX/HO+zV/Srcu/hbM2R0RLHoXTyVf6UOSxPd4fTZsYio87
suCUjLR+zzjdT+0a0ysdTuyQAhlq3pyQtWk/Q37ixFsSqOfcunjnlFX3IByFLe7kAw3hSQWmCJ80
ENVZazMXmOabzvEO6n6YNxOUBoiJIzs5e8d4ThfyBQewe0gBBg2P9NQFJPTEyG3ve5jHdgaHZlZu
3SUOj2BWNfRODdLg8q3ypqNnbRz+uHWKP7yVsihIWcPQwvvOLfUoeue+XTALLLB6v6RHnhB/wV/d
c2JuzvjovdzRsMOdtH1bmHrzlGw7V7UFRz34drvN9gOfzK1b0ae08638ER2hJ4+xdyYW4HOEWf7a
rQnqi7co5000hqT0jWPFKVgb6xqVjnnGdeHNZfPKIYqByBPT/ps4q17VpxKTJkP4foZ9MEVbQ4IZ
Jk7xKBrLwlEnHMwUUkSky72YFE5gfUWnwRTjsp+iDUYausR7eVkQbrcg/6N6uz8Wj/c36dSsrXKn
HqItjoYdA0v1OdqCT49HzwXJiawaMu7mjKE/f3PDwBVME5gsGL1llZulW8GpYNyJxMs/dnzLE7l1
AqrNaZVin0zWhdPR6cQcPbLJZs1afoZ3fEMO9IJNUUMfzPg18m0DCHW4aZ+QaSFh8+xi2AbLYEPK
uUH7snZXBefl+tbEwG1m1jZzvI00RzJYRCvATfMEXFCpXzrtGhqvgQo2wd8152RPtst4gq7vryZm
nxFBVOCu8uzkEzXbyGPZ4i5+MrF+vSM04oZgHV1b1SzNbcnd9Oob73FxX/V4Udole2aJ/6h+9tQp
zvhltTMeDKwFwBn20rbZkQyiAzlvruFKONznwru01JNbJb0rjROjCORdb6dmRB/W1if3+Cw/MRIZ
VujphRcJ+86DOsFvxFRHnhKae66ckpyf5A1p3VW98FlPqk3v6NNTA4LbePGWmsMuBvqZdAhgU/AD
dtwjxsq7X5FHKSvyJt1wUy5hrK0TIIpRPgUGjaQZXTfdae/cLvTRjoPVDxwiq4S+zW4y4Wv5AplH
FrKsSAeyVOTUrp47pIuoQwHh8C4kxxRd1Tz7AHtFPq68qKAZsk6smAcCJVq2m/tu4A3CIaBuAiIw
lu7TkM55v5g4LoZ8Rk8chy5jT5vJIyOI4O2+IO8LLFywieRJ5bBGTGC+MylgLeDzQkWq7okX5MkZ
o3Xg1ql7lfV56oImSyYWmvMR8E2XG3tAP4kfjQ0wq6mwh8E3cZ3MhuqOgYYlKMGrh+WD1v2UEIEz
m3tyDIdjvO+28MbZpkBs8AmNjqFHDKIT9y2f4X9O3wsmVye3JKBtR9rvysBxr07EN4Ln/GPy4Q3I
xbVDqBKpZjoGrn5lDGAhwMUxp2ZHxbKGRnKvjwZQ3O7Nap9wxjrMVAp2QiYpB0GY4Q5BuznegkD0
l934iyQ/dPlFu6kcI18lbuR+4r7A0sg/26ndHsVyp7xTUPBoAIgu18aSfIZEOWvPvvARAdhd+y/J
PB5sTbX5bRICsyKaek6aioNGOK52lDX521dETru2njET+GjNmM9ES1hE5oByY629NuWkOqlGhakI
zFzG4hDiLqVwkk80cQUuKvYPbfms4sjukajj44OOiOo0GDu3CIX5lambxeayy9aPJ20XzDWAQYYl
rAoo22vqJDTHYaUvgR3562zyrKBJD67jze0vPKwt7Fsg5uVtcypWuWhncLbuL/K6RZ6OKX9e78GH
snFQszp4VMMJwaWkCBDyOVPoulkOgTt2vmxOpMut3L02bxzkhgYS9gg00sJwEDs2M2X04E+gaABn
2DCuWikP8uS+cu/b6EwoZfGqs6M71rt6Iq92Sqzh5A6pzZqDroLz7u2LOeF7LVAH24TzxRi3Xnwm
L6RknuhET5I5RCmwFjBuqPWesD+Sq3fggRPn7ocyEXeoTy7mafGOa+eY76UPyCHmrLercBJR66RA
qmppVktv0FEafniFaDy777J0Xxt2RDIMo8TJYJGk7a6zVQaNTPnI99W2GuMsz/2aCD+Hj2/V7WJ9
WWxdB1sQXDNGm+pZ4CNxj4mDaHG9mtqL7Vo7Z096f+OSgVulAK9+20OkJtKBRigynssMk0y7f+7A
QVGiQ/zDIfLvXv/tECn+IY2NbZ1AGuULMf79EMmXaGlIdDWs/9Cc/nc6JOt/QP0BsUSvRB3PkPQN
vh0ixy/R0kNirQInpwH+b06RMqfRH3twv1w5Z9qfz5CDKTT3oCkr0NjPKFSfxqWTAGjU+scYGeaq
WuKw0JclYG10rR93ID8o8cUVy3W1yhVEx1D8UaVAfJrxa0EHT/6duxE0mhjcgW+2yBr/71HjY8Po
hxvpK+/wl9d/u5H0P0YYPdIjA83STxB7/Q9aWdwPRB3JFs3c7yMUulnMEVUViL3BBZk6N/af9xFf
AnpNm0L81iD7N/cRasifb6Rfr1wZZyw/zFD8AlBvYRX6wr9TqnS6zmEwBE0RU/clhfTQB1CemJYv
wzIZLr2mROsoYjdsIlCUJnVeANGlVLWZWJMpO2BhrA9CeBKqlaXixcaVJ/kUGzigRSUf+2SWycqV
aQHOeOhVvlUscCvM206hUIqypWuQRK6m5c1XXY59Ocpk39gKCsazBOiMgQY6ca+RUm86FC1enTmq
Ga2Le35IJTB3Zoy/pdoJRJpHg7Ds6mFTkftT5aANNHQSMrDirCRtYxrdQUKgyBp/MHGuy3R086sm
2756rKT8M0DA2Kc98muclDJ7UsXkMowMODCy4zLujHUiZfAMtJGyLn0ifHEoYddoSWOS7ovG2hho
wBXASiZJOgMqB6nKaG2bBIjXU2vE0KCvMrIcf3l4qZviXcdrIg4YxU0A0uSF1KPciPQnk53Ki5GV
UOyYV1GmN12c/PDT15Rl7RFYHWYPmQ+jEGmDocmPGWAEwzon0Gb87uR3HKGLcJbj7+ScTFjvJEJ4
pXEsczN9JZfxwnPja4B2Y6hnAfDGhAwejqvyQOBbYE3lhiOL3C5UXDHjJKym3wI/xDO0c9QhyG+E
mSB7JHwgeSoB9YvCpwcSv/Gsgzfkt66j2y5a+UqUm8cMXUmVRgcr17YhFpxIfuuxmxO9ic1LWNaU
t4rhLUfSRFdXdpaFG58Wj6ni+VWSq9LDQRBAgvk7rQJq3BlTH6Z1qhnzAPO0HgdPRg7J/278vmvZ
uDXIOosGOWJMbf/rOFgyWXd+WMv+7vXf1jKa7KxXJoskcR8sTmxv3zqrfMmUVYMvfok5ZZqe3zqr
2h+MkLkYA72FAXPx+2Im8yVWRvTZf3Zk/1Uih2b+MhD+9dK/FrsfFjOtNbo0TU2ccjn6qkNQgg5c
B/GiN7Dlo2HQiDgOZ3f1rWkPnMonSi9iyrap6mtMQfFrnWSHmM6jI6QiDIQnSXnrO7ji29g4mF5h
x0fJpZ14Xyv6PrMKbFU0HimfXU75nFrztQr/qAyMY1dTaw6f5K+T/xWNNh2Dti7FNPzxQMOmt2Yj
5l84ezuCY9RzkplIsb+LYwZW7o1TBbZsFTM4vq3BNqa4+cYEn2k0eRDV9cP78RPYAcZf/MO8wFrl
6bEWjsMOW9T0liwg94zwZqp7Kn5MgSDS46fu6M4yZ04SKuglB+THVHMg66Zo8fInLgbULzxffvVx
bsWosXd8dYz8Ut+Zo9MOISoP8sGH8TQgaw2etfjJwGWg6S85NLHJ8BkcTMB02mfQTBssfNIhGs5Z
Z/fuVT6Iz/qlP+BSvPmf98/6Zr20TzA+VCcDlE7vxkPPZsfKtL5pL9FmOCovPp7uBy0+WPGuL/aA
2ML4fYBJfGMdDJt60pGXtvPBWLC98A7RqDHNaBWInxGO+rV8lQjWkiZj9gBNPv4nLUI7xLaNy23s
Z9Io6hbkf+34HV0pb3J5Cyb7aJ0uw2j8p4f84Dv6Uxfb0qdFs50eOZmYMIgAGFSb6qHj+43fpyHs
dxYjb4O1R3tsLWTvkSPs6Lbwt1bsztjT2UgW0JOhpSQLuMrjR2uPoHqfK9dycMsNrZdmLdIoF5dR
vlT4l+bQngxxTPdKbxomVgjN3Ukd19Il30d4EB6o4arJ8FKsKOC0Kx4yU7Bz8aPMF8IwL1Y1sMl9
Nx+xx1P45uvumr0kL/djeIxJISYhHoRP/5hc2zfCs+YY6mhVPmvZVbC9vUi7qeSbj7ECzF+TObxl
axlus9f4ykH/TS/wDcKF9F95T9KljIssyJ4LbtejRFSLsTBLsLSzrrh53BMFYQVweyYABgjV6+fC
Qnxhb0Pwsxj2ox2oXKEdTm6jpVx+adAdPddT/T7vJP4Mf7BZCowlrsmTvyGVZVUd2ejBCiNDOkf4
olYP9OeHYz/3HkU0gi8B2C30pzAGYLjjPcLZzoGP7x2EZ4ZwhMhvIGeKF/4BCXN/4prkrTaak2a8
mOz5FThdEfAz9AGsexsKEvqiCYkMJXcKAXDsidsEPiPoXiYqiD95LVv7ec3voSbrNn7PeqK+4KYC
qjxlrAL0K7FDUqbu82I2AoFz/EIQNYcjzF/+NgxJZGPHhfdzAw1pvoTtu8Vb5Kgi5syJ+wHHhf9Q
zsuCADMUVZDHQfzG780mcda4848jPWPd1ePb5b354Xg2DbfWJQA6TssmtAPXVvEe87kamN/DQ4+T
mn8HgfUInw7K0bvEm0XHiUElvdJnUCZMJfKl5l011i0mJ/2RGQ9opuHMb+LiNJyFdXu017a+ExCn
TIsVh+2cuDIY20aw8JpzO96t1dRgUQR/RoupEtSZb6ibewpBtd0jQe86+VCrv/duzaibbVVFz0xY
PJvxP8zYySn9+eQxbnm/vv77bs2YnEmnzImGAb7OnPH7bs2EXecfdCt/funbbs05dZzIWybmii/d
1/8ePcbT7WhLQtOlWoZoiP+KRyxZvwzZf750VVTGo8kPu3UvGEqaSsDzUBGN51e4XlBFXnwwqucR
9ULLEmRuMnkY9l+rhbGscQHywLKxhSueO7G68uAyP3Q3A+OQDuA21sPxWTKVBQJGB9yg/krgjehA
R1AtdXIfT74zolUXASuJd4HFWpLaiS06qh5IIh1Ku9152dxN57Ux15NLlqJF4fa/6oVFktRybJzR
rsHzz5JdIYd04PxwymEX5jEzpjJnbpXACtDwCpe/gJzTTJaTy4yn4YWM00W8khbYxjHobx55nHYa
jolhgSoAX7YjIeo0x2RE/hk9wWd17a/Ah1yF52LLMUTq4CCs0JLhyuDwsxlzH9lCXncORIgDEDwH
QAHlg+bIF8s8SHO+j7gjzdQhTQRVtg28/5Q8CkzVrFO3ENht4A9tADla8qymwThdsGi868W0O+CN
ok27cF8N9eIGlOU7H8BTs27UdUmjcRgnEQR9sUw+qyhTm3VWbOhJYs/1X0BjYB8WP1k/VHD76rm4
pufftk31dcZGlYJGkfQng17VPz7jCLV+blP93eu/PePGHwgZIHqjshmjpVRe+e0ZH71XqiTRc8CJ
SK3O4/9dR0Ow3ii9kERMiKLEk/m9vTA+l7iuyLLCZSX+Kx2Nbv7yjP9y6aRm/fyMd/ehI63epCCA
QKZu1S2yBXhlHNqyJ2Vf3Yon80U9Bg8kUTrmlvwi5GH3TfOkH0GzFMsgWki3UIYiMFFu0as+72ba
LYc5BZUttg26qv2MXxNv7mYh47Clrzwo8NeO+lycPoGOTGVIf6CIpt5Rkqa1SrDKJAlnxb6dq9Y0
qK6xvCwTyL8XoHvta/6QIkSGNbAw3jTO/w/l61uyf3sxUGFOiHtRjqZh19rMnPPIr4hW2mqKNwux
7fj3bfWW1DvDJcZuWzx6yvkeDlc1vcKhDZmhdhuySdiOOY2Ha6wsc6g3cwBvXM8blC1qkL0y12/E
ooA37foFwUXq+z28wNMYOhcFNvKjsJ0wQq1w/lrovkHPguakJ67Q2lsIO4ssvlx7lEmUeYNABLUM
Q4O/6K9dMuHHnYnbQ01i168So8KJgqJ8oR5mKWaz6Oouh4Wv7xsoRvJUzSfZPjqGMEGe4XbJtd2F
z/nd6cQZGnK/WRFtXAKuJr0PIio4j4lJxA5ViIIC4KKgJahm+CH26ep+RhJRTlJxz1FGg881n0WI
KA7MtXr56DGhgsRRLKCs8dnV0tyXxzeaTyB+SKUjOB9WXUo8YW2eKKDkO24NbUd03hQleKafiuxZ
vhOsYTh540TJK5MLDdIu1jwXsiwzP6hudHq2wm5Qlg3IzWsNAiGUCCKzLf0oCss4dCprHGI1QOSj
UeDOscm96O/GGFtS4HaBJrCRdqUwr9OZDMtYySpHKQqwyizzhUttiJMtrv8/d2e23Sbabe0b+vkG
fXMqEEK9LMntCcNxA4i+b67+f0h27XJStfONOq2RVMWWZAshBOtda85nLht/K0H4YHaM9dTuEiho
SmAX6utAmnxLXYTatmIWLCV3bf+cDlc0JB3Xnds7Y+wcVIhx8Bm+K/sb3VzlEWnvENnD4BQphkCk
/ZDTOq/t7WpblJfRfAgVL4jeenmbgF7JkAXwW6MlEZMiE4PwQspX1qyHaJliV0GdRpIP9KGEI0BD
9FBUi9sAOCiuPfAfurEagZ+thWYHhbpT7rr8Ux0eZ3PPgEDHhg37Lp+YcXfAuSM7ZIa5wroTXqrn
llM9kZEjjgCIFOLDTBEeVdBVGpFvFLlGOjii6LIELRhGGtgeDxVDYFlftsm5V/HdcA05+EBd3O6O
575DMsdCF+yNO6dQkyb0EjLaikkgIrZgkSoLrlUf2TJo71ihwEG/J5FjmF5LLHA5gUk9PivQXoHb
zN248wj3DeYC1r/GnYB1i0O7HxfYhky3fR9WpnsvL2RGk/1Rt4hs2+RctFl2sVYX4RClhABo6oZh
kqfd43wKcbH1XB0ZteaP/RG63dFu7EKEFgay6GI9ECyz8FVb2qs7dVe66i7QPcx8TJ+WyZLAtwwL
w0N5vAHugJD5KIkCvYN1E56AWVGk71lbeLZi2Z0IUOaUGW4F9uPFgtBWHWOoR9f+yo3ofpYTffz5
mRV9YX7LsEQgQirPLcPWj2xDmm4xH8cTa+vcb+/bVroM7WtZL3sf0Np+YVTfLHnb9EtwOHQq8nlW
AIYhrd1s5+/hbHHEEjNpT6VXDW6A+ms6RoHl+h+h70FpkBJ45nhDalqn8iESX29AJin2Vf32FhWX
RpIWIB7xrATifU/CHO+2jWmPILsXy1NfNOhEAPVaPkfLhhgUhGjEo6TZycJsPpLhW982pIW9AnQ6
6uUWNYCm8Tk1VkMvoNPtFwMLCjB0053gE9nNuxQIT8SfLkg7AcjUj/KmLr+xXCyCVeGyamH1xJJO
uaZuMOCwZNFDfty0ZYXDIcqiTqhZxbNxhKJ1IFHgiM51ZyviRFvwN7XAErLw407+zw2g7H/8IDFA
xPgltrQmKrHnAGEVRnQza8yCfYMNOKXb0mAzdXkKvDrRJ/6d74s1rwTeXzOu4Vm4j7MbPF9Ieyz8
+xVPzt0h0hMv3fIM/Gr+75PcxbT0fxDF/0arOlADojc1hjWk8TJDU2lA/m61hDnll97mX3/+j0pK
Jhx4zu78Eu75RyXFXaZp4lpRLBKJv1ZSMBsooEA94A5BUvoLzgGjCyJ9WabziQv+n8lGUadSKn3x
qv/62vX5/i/LpSjUWl0oSBKonPxz5EouP+z9ys1flSfagLDtV/I+fRxO6h6wbWCAQUgcZW6QBHyg
evjEMu0Hx4KThYu2mhGnNCs4rDB5b5FT0N75CNzgIkD6Q2ZFC4u+A2XDR4/Iwk8J/FiG1qqrnAgH
8FLdGG8y0gcd6Qs9wDFZ8H+0iFwTo0V2DU/5Qf0srhP03afbu/4Z14v0PDn9a1Y7IPCLhtALvJ5U
Ruu+2PI1XvdiS+5kAGGazWjcGOY/swa7lOZ7ovG+o8OfNQVLjueB3gPOmGSoNj6rmnpq0SpgPsPW
WcQOv9Df1LUK3g9Z4utQ3+WgsFN5rwKgfciZO7npeVQ2Ah9sBi7LIlwxFHHLA9fhc+RNO39D+wLl
BjyAtUxqxa69S71p3Z+13fyto+00ks2ufJ0j8N4CUN1Fop08xx5Xt5O8rLignNlSk1exJVVHcof3
+cGsTbfjS/I2pTssN/aQ7sJ+E2BcyuTDEL7k9SmDBj5tce2l6bZpl3w7MeoonlIvIdqvFlEk0vsz
PhWH9ha/vjupUImhPdFm1nbxdlpLc6AocGzFQbI+KM58CxGeKj9HtmfDibuhwsprILPpusYua3E5
K9G9sEL2U0qUzB30pZoepjW/JZfX5mu0LLgOxrYSwzDoX0DRgtOCmi0fZfY9py9zfnp2BS85HR3c
TRDsxSXbQXyc7KnhdjrQHhq+FSdCqbW7MV5N3gg/0WpSB3bSckTWg3x02ugMxYQt8jbkU2KxKDkN
4wZhSUuwBR0vcWH4W6HFy+xg1uLbSVrSci3VhfnsX4nokI/GPjA862U8Wq/qe7VN97ejCNOJVujH
QFxefwLHZt0ThHi6EcJJ631Vrtvd6Ep3yp5YCEpHPyPHc3TpHLj5VV+ASdpLwCFR59LstcdlsZvl
ybUN0zB0QZTfh6Qi7Dsv2O1oX++Mu2CNpGfVt7MBW/Pis3J8gW69yXHYo3SMN8rOiGDhon/a+bGj
PwS8a/1eeuweJ151/i2slvomA/uYc6m6uTBDhcfwiYAJX4aN6frWRTBXyJfJhEuKtVqcOU646Nkq
Q3+A/gwt0VjTsthyUGfr8kFF/Ms7Dvh4wQciPwT1on2dnGHXrAvGg48nhgO6TinABweJAA7NRWIg
7yLBaWmgVtWW0TN6sem1OeAsP0fPJso7HkPGL+LgZJEELoQCilW+jlB51QvpYaK41F2q11vjttcR
TeRp4DPY08ko0Vae+H5M7vtkV9Iu5pv6WpSkpCjCIiw/+TGr3bXq/NdHDlPtLWk/tDs+UAJJModW
PNTioUSW4x9uw325trRgYz6F5riN8oEYjHEbzsZ+Mm7ac5nauMGB03aix7d5dfUh16Xgm5cFWr/I
5msu1fk1T+3RWhFK89SicEP7hR1uESPYTe3s0O7iUyQcJ3IFKcYQur1PhFUs6jUz7Z7B9aI4FAcf
hTV68Ynmh52+J/yLaDtZTBT5kRM9s3uqg/TaXpUH+ikqPyUv9BRN4SJS0G/NJeTV7BY36gL8hBh1
MRxSjTyjxqYoBvslRDaeu4qkxoJqOH2j8oWiqEZL1GCNuBHzl7nlTx1znV5QfxH01h9x7BcrcFA3
yAMkx45Of0Se+kRd2VdLIVxTaUYk/gT2ANOfgKt2fbshdnYtiCdU1wTpNHfYcvN2GTNopjJt3NFf
9f6qkDzoFGxztwoTgknLEAAneASPzJvCobKqWrpUzsQ6G2B6dZQQOxlzSUVtRT04nun9Q4PfWjCy
o1X7HD7yVjgsFvmP8FqsymgOWzDu+RqUQ1Cv44atXmvkGx2WwE838QzbpPuvLuvwTKE75YexXkIc
QGqZs0+v8lPyGl/VJ1B5YGjFtRinpCSccrYiXdz6TSfcUbmZ98NxJMp0zo4c51yJxczCZVVAgD0G
Y9TZTXjNWy8kCBSdnVUdKhlXKH26d6s/poPLntabK7ejlkMjR8oCrTZRXwYW5+uPKsNPxghQYfRT
n1Kuu/JeueZIO8Gc82w7n0Rc2GVkqR5I8zmyk5ulKq00eIqjEx/93BtkwiqyaWP0XrOJwxnZzlze
i0g1kLzBZFa4TJEy6Fs9fzaEU0u2pUQTcid2Kzl14zlNtiNg3s1Oc/6hAWBzod885WK9C1eJ6Edu
e6pSW3MHt1Ps6Uk4Em1KTNHgVIqj8AVHur5EbEwG8BwXmXvqeYRduug9jbIXmx4wlApsd7tBKYkL
r/1Wfxuek6dG98QDL0uAsC1gX6EnsywwQgR3PgrCc/LIR2AXr+Dj7OmxxKzU7GpdP4RXkHKPk3Ko
mUSiwe4XPe+XnYMnb5xJ5WrvpEg0GxqmNkx9FAVMqoTnkXLAxm2rn3Ovnvu5kJYNV1gMjrxh5OP0
xPw644KPDn2TY3QhlnltXIHgfPIKOIFOrs5lf1hzwGK4oDSJDygT6k+Euhtrp5/9M/LLIt761lUW
tkZv6wfp1BCa7NuoS/c9iaPZnU6UacnCsgI6uAg3yZ5Zjc815Wbf7jJCI+dplOGwHFEut12yM0CI
Eq22otGFV7H9QIAOi707ysvAq3aAx5kHxY8hsz2vuM8GxFrQWWwcQ8x0+M0MdJIVxVpzj4hEdEZ6
r7ld3N94Ik6kFGmTwzNaJ34gZeS94AP4vZ7+Ny4dfpAggP5Qo7OKUOZ26G+WDjLktp+WDn/3838s
Hei04ohlFSBZymw+pMn5x9LB+A9mXAsBmKnoFrJBfunXJuy84pB+6AH1n5qwKvCJWTWBZFDEyPZP
NF7zhn9dOHzfctrAkqFD1cIe/EsP1qqbsi970/Sigd4WVcVocNHFKqA1j6nSLOpy23TNMoeiKBRo
tITEjSXWsMGnml1rAdqhEqK+rjdD8x4RFCA0ijtCMYJB4wsXHedaTV/ry+4+/VjWfDUZ/7LY+cs2
z/rHL4udWAyTuIzY5pyPaxgSpjflDvtr+fun+dtdoyHYVGEcqAZrtJ+eRr0FQq8OGr2lCM0+rM02
kShBHFHv3d8/07zBX1ZvP17Ql2f65QWZWVLFfqWjm4q1pQ+9EoxXLzzUXOJj4U3T8F2wCb9/zu/d
9d886a/ivqwerTiCCuA9PAHrhliVOMklX5WrmFK2QyKKL2YbbDAIuNEGmMf+4+35MCenc7HDiRcv
JXWhPjKqBvpP89b+/eZpM5/hd5v3i8u2L/SuKAWVzRttBF8OhTWRNdAK7dNpnlEFGKEwAc1NlXde
wLdjQrJEeBQ4EsCj4nTi/MajP25uvhJsqLQUbTSQ7XE7bpuP5qOHwcXV4xGCznA7mQSD2Yza/8uR
+t9exC9TTDlE4Fi0vIg2eTMYSuRa4/1+P82cgN/uJ05dXz8MFC5y6nMQe12E2Ac9X4lgKKe5uyr0
l0y5k+HBaVGLDe7t98/8t6/NVMFrcPpAqvpLy0EUiVNtBdH04mlTQGGN83D9+2dgAvY3L07587z8
Xen85ZMu1GqDmDonGQoZi1T7CDxzwp0x+Q0dtsJahXpDhzWnVz4wwZjArFWQ5fQAVSYXUkO0nCQw
XMMUKNjgz3B2soOaKtMq04LeR0GJrBWPAl5/nJ6XCPxeZcU7K+zX8W1gmIJxVd4lw8kvgxfFZ4mQ
D5u40T+jVFjl470JsD6ucYxqdsJcWoAreSukayW9CTPTOCF6r8d2UIpeBV1ErS2iKKOyZUBcTT0z
GyuQ3SrW70a9Y3CVsNll/CBR0gQ3QkEnyAft501+Vlh6areLNd4p2PnGSF6p0Z2Ey8os8RdaT4MB
OrOyYC7QjlBKmL/f4owog2mrYU9SvvnSrtJp+eLRjOsnuSwhHMzt71EneKr/qALI+EnoxbW4RYHB
0ls7ilnpKjAB8bSaJTMlCufbDQxeDoEb26PIej+qoG0x/zZI1VErzlEIoQair5LoXWn0nR/RTQph
gYzXGOx1WlNoKCYyEop3Cc1Jmbvka2YZAyeMpCXVWctQWc3RwSnYVujK0jRub8ky1Ex7ikAmG2Aa
wumVZaOI5LW1uPBopzBkzA63U1Y/Ig4S3wr2qfQhTpLbj8JuzL3CWvVYh4c42baRyVBpq7IZIdj3
NKkOMuq1Qs4ZFNJu12hTWd2J42o3NETNjC3Toia2jbhzdJFzkNQ6ikzgLCs/WIEV5LSOM5EEpY2O
Ok17NRpsSYBTLrKbxJWZ78IU+4zJvGFG+g3kbCBQ68arVB3b5ilPpUU9bNthpxvbkMysvAuItnqX
ushOiaIKRjAwtUQaJVBs1oKF+d6TBqUw8dRZAzAwbElHjYhNCxsw1zr5ZEOoE2NDioD5fPN3coFh
NF3drM9bQZMNnkupp+dbLy/NqkcMsBcachrbfY14QLtJ6Nh2Uz8/150PJHBqZWZOyJfKOzFDjzeV
G8EnfowRljWynFBds2tXWs7yVEnXLcdUL2ApE4KlKcKXBiadnxk1L0tEauUhFe8mudrFoDpkoHax
TOaepJwCqHzGQMBSIrlm9iEo2m5qKYXLczHSnCgZOlq4SH1zk5S3+1Y3WFYqhlf4oVeVunfTPV+4
DgFLnaj5BBv7qZXRN12DvTcl/qrGffX//uRl1bG6MU0CyhpbSQkaoMcxJTnmR3FbBaKtNv1GTayj
1JX7BPIV139Cn8DqCL146BtblQfn+ynu31gkz6N/hEg6NawiQTH7L0oF0AZIGX7VDv/y838UyYSZ
zwnoIGvk78A1CqA/iuTv2mFgyDwngGE+mv9bJCMQxjKjgp4yOIrIrfxfoQL30IqfcSDcKirImf5J
jQzC7efL0C+vHHHEz9fYqcmFJpdSFHbjut5ICDALwlMDB8Z6h8AO1AISo3ypVRtUeAyxmPMkQMjQ
9vXGES4bYlfJph+1rLT3fsvqNGTZjm0UWxhh0AL5VCyXnzh5N3R98o8hIAiSp5jb5lLllK9gHsfU
ybBm1mt1U2024eL+8hm5n3xsDijzPBKl+TWU6E7k8schFtad/9yIvxIXxLfD8MRTgbUOzE3dpBum
Soz25lBG0tuHo6QQxNzNc7BZ6Ch4nfQOnwEVXjEcrOHEcj12Z0yEuW/e0k/yzRkfkMp4qzAL3uv+
kjng68A9ITECRGt+TpfhpF3JVTmN1QM5kbVwUYO7iW9J5UANHC1EOzp3ESX1Ijqo+ovOS1XTpzx6
Vj67h7D8UFOkocKCSwuxcg6DLhS7w4G/CbNlBuVEeTKHZEOUJ3ST3Fu5lYPJHnA88sotnaiVdJFf
hnzPvAwqL1MyOjuWl3sWwXbwuxgqFsm5yu/KdIsitGZMUrgY6xfnjxOCpdMbppBiZRHy7eDExFqQ
VYC8NoSulFgsOV0G92TZ2q0HNdVfElEybw1qzabb8oUQ7kR+Y5AwBikilyRLuknTp0QwAA6ZO4XR
CsPLlis48nAqlVHCaQwqaQpvhxqJWrlofFePwf+yj4eLTjfvXu2PPTmx3YjHMQsOnEeFxUu9mHbq
g0q058E4ElNmbiZnzquQ9iPjlL3hkgZItyY3XDoosu5GHe8w40Z6sd2ql9YBqtUQeEZSMSN2CJ0z
ZtG6dtvg3Mm23ZbYGDdx9A/eNemoH5gFiWdR3JAZdqDrjuDEXMv3wDCQqfsrXcN2sWVQma3klRK7
CEIV0RWafZCtpHjH0TsIGxk7/Cfu8OwtDvYa3VWSsDoMM66crE1O4+tuV0urjAwsZZuuPoxhXGD4
N19ub/LgJf0qahgpGU918R4dLOZWKXQJjoWcjg6+3OicmevQ3xvWXmJUo7wwQAfHae6Jge/ecrp4
sE8QEBMWOy0iT5CX07bYItLrx8mJhTkoSGse3k5Z7jBYov8kzFkr45MoffQnKkhxjVa7Ea+R8haW
31gzG/Wr+J4tHnePpxmRQIY9usF8OIxHkKbQEQdx05+UfX9C3Y1amYMBbbooILevn9Mn4YNg7Dfs
d/XziErRQ1goK0sO6+yKFjwbPd+rSXQ9zTML8LtsZ7BDTgih1bKW2eiYxjF/S7aA3L2TvruFGMTx
5XN+YjTCgJk2G8Lw+TfwQR8Wvui04kNSybTZl0gBjfvxXTb3YBthqKIyqp95PA/K33i8hig5Wtf6
fdQ9Yg5Mn5Cpk3N0pmd+JeeTWGcS7X0384Y7bZl5KO19DywcJGSbHXZEzQ+Ade17CRL22kXOLl/7
0hPX07hnP4YXtJG8DFVgio4IkUBk4kMZmxCiFIkLHt6fgh231RDqAepF3oh0cpb4I4jnaYMdIx1c
wCDv7pHGEITGn1TuicmlO+Hn9tvj4UCdP6kLdmiBqIUPFw2vWEIU3ZGcNxwIm2cnKnveofwNbDWq
g7tmg6aenPRgp+xRLmLmeNHNvaZuM+uEivy9dsVL5pVv41FVUIfqu2aDq/9evoiXaYXlwWarpH3w
Ge6SD/mOJGGs9s/JsLBIPKd37MrNxdAx5h4CcxPkT9prIXFWQic1wEbL72pXsZa1uZ+S5SYcvbZa
dspTe0yNFe6KWlnaluTFx+wMDGf2Z1YDOR2OxmKHeJKY6xGHDvqXqNtm8Iab+5u20D5QF6GpcwIi
NO5z3uyLTnPenva08AuCBc/a67hGl7Qe8VkH9nzrhvtx0/NLt1pgL9XFigMIX96GaA0i38rLsPcL
B+E3GzW88MhbYd9ny9wl4qIpIRsvgtgNUfEhKwX+zFIb1Qt46WkVuYwYwi1duNnSEKIH4h/TnGzE
oQKucLrj/A5GD8OKcLFFteG0OawSj5hHx9waNHAFmwUKbF26qMM+emuP7VFGENRtqWPzfQykBamp
obgoy1MGK4nN9jwgnUWQOiIzSWZlfg2BiIvQBTExeDg3+ORCraPpuWPjuLb/fhGr/bJA/148zKJo
lAmyRXPxFxPlbSilbhKDmhjl9eS/0r+XmEjP46NFwZx2TupNX8VX+ZXLoTgvTIArO0yrwUU+GHfm
cRe+CiTcYbCr1xNNZ+b3zywveKPI2jEIqd8RyrPXr74TfSABE5WFtCJm9xIfA2aKtS2pjjSs/sVl
K51VmKMyJnDk7vqs+vhNb5fwDd6gn8rWv/78H2Wr9B+E8xq+XcuAUjd3QP6oWqX/mOjqTbq3cMy+
s0z/aO2iCkHvYXA8ILPF2iZ9cbyR/4EzHNMbauD55/6RKgTFy69l6y9bPjc4v3RP1DYQmzokJzsb
xFGEwmVC+DFufn7RMpqeixzeJ5KiKIQOpbE5uHJyWXByYOfdLVFwZVAzWOhUyQKhiZ2wxpbfeqGr
VpkgVw/BTZGfqiaPNmUfyHD+S/APLYeqwKzWlhOxWUpxVROJad2L8b02YZNJhfCzjtRq2yhUIWYQ
VUut1Hr7NoqxfSM9qx+Y/ZeJH0DNHvAgdQGKyBc/IHm822TCi4/tyGeVLQYSQNRxmenP2jTYQZo/
dWTZCtUu1WgVSnjWYxRZYuHIwUGpWl5msA1MpGgEM4DLoAQViN0dtG1ZcvrtpHAj3JhUG9LcohEN
u5CTp/oG+D5uIySvzbSAdi7h5NMq+ZAhLDEYLgkUfCjc5I5YWHx2Vriy6uKQaMFyiJ5kCyhTc1W4
sKptuI2yak6Ytc458JgkfAuqajPWCZZqxoeVctuZaAISZQL1jSVMec1D1MAWejKZDkU8rnJrYIeB
XufCbaWXTgz3ZA6dJvUlJ7K6VR6aKkX02jgVypw6AGGFHLCGFyJbiScmKcBYKuH2LoTg02faqlBT
t0gIwp0oPcuR94/exZwubVZ0d4dTVVZkuukLCUsSW8kR4fFOOiMy3NKndVHgzmtWGurNrruvyLMU
bvHSh55iTo8Dc6U6tlMtW1oqajVG5rybth4d5R70l4jiz3zpCbcTRIaCqeZUQbKtwpj4mdzTCX2o
jbM/SbSYUPsOxVJSrpmZuzon71BmfMwIsiJyQGemWnT1JglRjWKQLgnxy5tr4WuOAHy3o+QRSP6e
H24QGDkMLVYnKnKdAM1bsWxrlJDmHP9meKrPCKwCMkUZeMskDMu3Vdv5lyrB/T4+1xJloyI9VAn9
cHQQgfKtM/S1z4VaZgCqdCLtJkYeJqH0Y7nqrW9RdH+Lk4MWTOu6UNUfrdF/Y9/g+1RJt3AbQN9k
uT43cX9zApa1+Qr55QT8dz//xwnY+M+M1kWWxwmeEdvPDgfcS/A/fviUvhNv/xyugcEF3mky1Zkp
opw3/3Q4cJUGOIkfYz5r/7PGwWzN+Lk3zzztyyv/qyrPmOT6RrdKGWmNlssSX+QqfcmO+Z3mhb0j
3Af+JjZfQmv3r70+z4xPrrlcn1UJS8lsKvnt4WH8xQDz15//4/CQ0GaSwaUalF/4VoyfLtCqquj0
sVS0kxa6zj/bSuZ/IHlydIBRVkQDc/r/Hh4gyuEuWxxpGsRPNvkfmdz0v864ft70Ocvo6wVa7tW6
V/XGXCWIU+iD35PxbCsX6TIdQdivIEW95NkDzQ26F31xCXVv4HzehSd8bZ3/FqeK24ubgpSV0LJT
0mCwtxk1gDVw39a5n55zpvv9XY+gz1dcuiB3ZAKCONqPd3r42NFyx2RKHyIRP6N4z7WMoD6cp+O5
3tDAEl/IW9+gES2rwkFgHUTrsHwy28xLuktcfrOsbMMohR/jaUEqL0trO1vp/B29I4lFzKlcIkG1
HPketaC4H+pVJ58NfDoL1mkqGZzIXHpXEGibXAI2VkVSsyGxhkdb8jkJ3koFvO5IaJ6NXlB/5XbU
iqSY5MZFGHuu4U4lulXppYlDHzsyiN9Au3qoF/Xi5ZvCwFC6ylIH+A9Vi9PW2pI2yERfBQlivooD
olhtXDNaxwR5OTksW7jyOZ2ybKoNhoi43+GzXiGyVPYoKrlFRFgvodyy0V4iZlSiZfUM93M86DZC
v243GgcUh0jGzUVKrk2DryX1DPc2HATL03Ex3wBee2Xtdiye5HjBFuPACFio8f6if5mjXueSP3sw
jzfCLk27+5TfiIRCOvSUrvlH2uS73fhU0jlzEEARl5DgJzxYZKkiagMt9cZdqrXAov4kv83xq99X
DP6F9NlAnoNnpbtqme5ImmENr+2D1Wz8V6+1W3naAUHnlYBSjpar+Fwhq6HdsBqRXzE40rjVtV7r
5+HuRzNB3wkPuJm5vIJZvaqOfGXRHrYEUfP1mj5A+nTirmwrPMDbnM50DVadwbJGOd+aA1no2Nxb
Vz4ZlvNhLWm02BY4yhkbuQtWH9lWOpOpIh1oGLD/I3s8+h7L/xf1It0lnxOLuWzL0udJvxgvpjSv
n+HK1U8ax8on407iqMk0Zdh1BBigLfDkIB5jJYzieQ39kxVTL7jycdgQ9gyuUrkbNjil9GP1SeKQ
huUlPqlvSMWSV/0tvmIckD6ZhC2ikzUuuod+V4LLi9/Lq7XJzu26OuTvlIryd1+H6dYnbRM/TS/x
27wwR5v0Qk/AYkGt7qwP07uXGLttjLuqWOm7yKa7827YaoRlDZMmCZtzlKpNEweAyc0e3/Vd+Mhd
IJmCHZBDHuqo12CHi/OV28zmyl5uCdZCRWZBeECfCUdymnccbsznkwaQsM1cJJzqNeF8gAMLnm8C
JGZWc06Hlryw81tiOSAqxnK808oZ5afBhBAe+pOO6quZI143IsMqpMM2Yd+m7b8hVgQQ5YqzPFzY
IceaolXWM5Nd3JDfarT38tbFCDFyaD5IrsaeoOe3ElKUrJtAPkGLEW7osnR3WV6pBNHeorM9aWuV
z89KOZkH83Dbt9v5T7L3D3f+2XhuH020Vua5fiQKgb+WYx7Kb8K7aCze6y3WkX6NH9Dxt7kTMJJF
xR4+ol8kRvUgO/eQDDcTwNt+VxxgKcMuvHnEAh2G1fBC88Ij+jhGLHYZ6Z4jcvC6F8xBszupUJA4
E9bKYJXpm+DxSgyIF/U13KIMDeQPWTsOM5kj5lNg8hhkgf17/+5vOQowwRqr+e1AsEJOhFWeZcR/
r6gDx0stvU8vhfkYvxElt5CWaUxwChpEWQKASUaVTSi2Dwy3g7AgXymb6cpqt3VWHFJlF9JUkrDF
6Yt2/Tq8brjx9JqcbRN8Mio4u73m7//asoKrujFf+vFk4HG3+Pf3ZYWlMz76UnX+3c//UVYwktLm
BboM7wZijfTTtIrCUgPd9Z3wBtLtz7KCdb/Ewy1AOFQezLL+LCsMSDcEhVKGcOc/9c6rf2k48cop
bUwkZWyfqP6y7K8kvJ6+EIjwqsdNjVpQt/t7Daol1jTzRdacH7kH5Ue3WPnu7SG+MoV6lnfSffZS
vAgED777j+kRlylCQsYm36o9ot/6KD7y8aib+XPnv37Z26e/Krq+a6m+qH1+7G0cOaaGEg3AALv0
ayUk+ZEsapU1rcS7xvE/6TOvg3TL9bgPyLCHumy5OWlfOtfB6NryGQezSdD9M6NhUXDUb0a3xNBH
dNb5v2zY3+1MYgj+Z8NAq/28Ybo16lqpw0zR78vP9pO85lchtoFFi/Eq368Yj5A2qC7FcGm6w9wa
NXfZR/7tv2zFXAj+37uHgKmft0IzM1VIOn9aBZ+UAqgkVt2uO+oYQE9F7VQnqpLqmLjaOdlyZacE
KEPUnY75lhdHBiszcDOn90qs6eL3W0a/6u827c/P2RzW8PWdEyTRSkNJn1YlLRILcxDeuHIxoQC+
T5ND12wV5VsaroXU7e8znHIUs92W/jzNnTblW8dieFja6gfZUFq2yYoLxdAkkp+4Mx5Br/PLxn3H
OACQ6xVekOLKw/ra8uYXO+SKHXEL+bmmcY2C1dZwm+h2vKFXReLVeJgQqineeOiuymMMatgmOZoK
lbpXdmP00usgcTqGprT+m9lPwdwtHeyEivRSXOpVhKi3Ic3Zsyjo4vku8xWvS0abm0ygbiFTabIJ
aIaRQJdny400/Bh1ubsZ+ym9IyqyfakQ7PQebmtlqz4YJNIzxH0WdbfD4VjCJz/EG8Dv3SHJn77x
CuQHAHBIf7MQOfPOl9ZcKZisPEjtQcYMY2xLcTGTZtbIJ4LKzpmZyS8aM0DsRC/oh/qP8qw8lZvq
2CDywO1RuGQ9Ch0fIRdrSdwvh5IJtmL38VLHpz5HFNlcdfjLbulzXjxxP5geodJR9TrcaBWeJC86
ElceVDBGWJhiG9z/uXxB3wKHHa5SDUAHMgzj37F3+E7ca9TpGM8xjsc2b5O/lxonYScdcH0PWFap
PVbGd8a9+CyjXnpd1G9Ns5DfJ6aoXteA3T7HsxxqJY5c4oDGPA/ytxtFq6o/BgxJesyea14Q7t9O
Jbm9A4wf4boBHZ05sf1GtCTegtQjjPSdGVXK/NxyRMWpMVwytaPS6rAO+x6gpHlQdTFm8i2rqMxW
rwJCfppuKaMjh0DGhmE17ltMRpaT4TSeYzzkOdngVb5iW66TM+1AnirN7gEl+eC1Sly79Ql0Id6Z
eRsaV1FW1ivPqV9naHouXbDsEwgSZ/dRdj+eqMTmIpDn4MlqhDgoxLEDMLM8ywwwtBb8b7HCoqqc
jQ8GHkmFi8plQmK4bbNP8OO+o+3hBAm3C8LvluoHAwLxA1uRo7UwMFBj8cAUgmGkNlbp2zzngSqb
Bm/jenqZg1zvTA9JGEZ1G6ivpKzwLphYr7f+tmFvYdV18VEzTIIwPM8e9vwm7p+QNyF3wEHCCmki
/tXCQgv7Cc8fCKcP7ubB4pXBDk5BghLZwG7mxeOQZglAXvno8ZjISSmks4fkCSMeHmPmVov5M//C
6qoE4mRhlblhjMHXaxerqLsozYOUOYwzZ0eIwOJwBhePynJYMbasccxVIIcy+oYr7Z7tk/bz3tDu
eSpeMWMvLNzp23Db3yy4b6STKkvrAZZXvdDlaGVUhwl9Hbdrlk31Xrq3nnHjLhYwxml2VXOKdZMA
7RbgqIvpUeHdNjdffxwmBozYwxkLz5CpbTypERmeNmYOCu86DFyVsbnaY2qb9w/umAKBIh+M6FBh
dT9xTN2EtfSOaqGuYWeTW0H46461u/iC87cD6FaCgIJJFYmrFuv770/m30dRf7nMfDmX0/n4ei6/
JVlmxpXJZeahTjDZHbCFJfUd561vkPw5TR2L4zXaC6++O2EVxCVog0GjuRtEIMFjxeHwUL9FrC3l
pUY9+6P8/Cls6qvuW6Ek++tlUAeSoogzakikhPq6fe0g1KJuaBOdEToANVR1YiX8B85BuBx9ZVO4
uO6g9yBVXGub5JB4032IjPOjYoaImQxYafd6wHu/NXC+5K7V/mjL/p9b+Le1F6Hv/7uFc0fwy8jF
KOSpnnyuhu0meIVRve7W2pZYg/uEVvPkNAhxPD6QXPwMrzkmR+u8Ug7iu5I4q2e0HTqiC84EVxgE
j+n/5+68ttvGsq77ROiBHG5JAMxBlEhRusFQMnLOePp/wtXusl09+vvrtkZVV9uSSIHpnLP3Xmuu
dkfEMYUgfQm79JYElMfpqtzJfyiI/6mtZAvFsU5DT5tVx//Hof57W++nQ/3cSv799j8O9aB4KRLU
eUKrfO/9/jnM0/+FhVsz6RgjQ8PDwYv6ZysZkRl86Z9GgH+2kmffN21pjcOjAcHr72jQFGN+5/z0
2fzLpf92QrbaLihTjClgPppPWQbGYqTA5+b+G32xPAeX4wtnXwX/IHwjyN6eU6ajoCSFBgirCDA1
MLRHX7TWiaduSnAWFI4R6FaPiV3DzqeAdI1Kwth62IOA6QC+6hJW5+IqK9laAAdroehNOPk0mEcV
PIoVJTfwWJwjgHsvKUjZrHwqAczSPn3OAc5KVbBumurWAKJtcm0TRt8S5VIjRc2LW2IgG1awUsmv
aciWz2xHBGzrKTD5QLNYtQiepP3Mh+SpS6k+AOIGjewanI+EyGJsSKOwt0iUIwKkJcghbO3eInAc
tUBJVGFFnxH4btsqi4zrTWfPO9GoGuqmqPuW4ef1G8Z0gLP4H9iUe5nFnJlzLuQmay1H2fdRfdBH
LJ2wOwgzD+WF0MYrZQKbFTeXKpJepEawjQDBhWE4gz4tB/8SjP4qIBHaTLGsiph2R7pO6BeXpv8U
KBFZQS1mZtpgZedahewqAskoLfoihXkTw0hO9tg9SzY3IZfX5ZwvFtLrgkNTlcNaL68MNRAqvxWl
ubTyTdJHGMh4E5AEJAPOkXqLCBzJnmTdCSYyOqTc4WQ5jZmrSutAAC5WJmc1vRVx9dbOqmVz4ony
lFc/Tu0yv6QdWc8Ui7Ifojn81vRAL8tkeRg80n0wWIaktXopqviTQOh1w2lQagLHCBViITgAzjsC
goO0EDkGojhX1LU/GlctUba+kmxCo9vG5VcaENonNs8WY5HaI8EoVzaeCW+s1XBv4D0SplPhQ70o
P7Lwy5veJvbwEQWXamZrA0xhIJj4/32M/ZObJ3RVRey0oWUhNpOzdnKMIUUUNASMXgxJDw7mMOYf
DTt6ukQVvm5N/b1LpnWi0eFTkLOXEl3bSepswWiXvq7tTV149zvlnZnkY5Dru7gviGRjdW4sQmfz
7RgCJjb1lRp96AlyjlSeyUQqJwDVNqUGiflkizKcnUJpEduU/lYj7E1pu3WhUW/4PD1G+6kxRKfJ
mSbXsEFfXUyuGcc7SekDO+yxanJgL0O4ChrHYQ3enRLV21aMduDd3c4s1j2vsOLxfqzjbW6GBPIA
bipJmN6pvUZZJT2OQ/WgIlsMRDiZGkpUmuCxmMVrMdZuvZq/DooS0grOXuICWUyNH9aowbgQbReM
PFmTufFyYN59Fm9aI6deg2ZryPFNlThdC+1XGLBnhdAL3UkX9i3rRx6RegCg2VFhcOPMuEgZUUMi
FYDRH/RQBPRicbBNwxwBoyRvpiDcR+C4aRemek6NJzSV7VmNtwbeYk8IipoagmilYH2t7LZQ154m
nicovkrEgbpjw6wM9XWojc4uAvOr0tsESW7yEQDFRidQHvpJwfujG9Q23ULgBKf0vHoBYWGxuvRS
ibXuOvrxJjGtJ4x3dhegbCxeK0N5zSQTnO2ACVceOcBy/4g6RebBYXOWR3U9qESnIwhVNVasAAxo
FNlFWJtLJOZuKQnPFUMO3cTjqZolKjbpJcMpCGPX4D9tvYk8C0BBOAMujD/OIv/EfX3WSIlYI9F4
k7+HwJyD5/8YESuiRJfhp339v93+x75Os06yDOQrmiphtvy1WafAZSFpcN6lcTH9Ii2fRThzC02a
syPmk+a/93W05Uh7aAihJ/p3FuBv+aj/Ky+V6fKv+/qvl66Lv8+I2YVDufHDZlW9MAuaCJCk5rGs
1w78EbMmusRH2mAMn2g2wAextp2JstXV9gUo6sG/Mhyz3AnpwQ06RytvCmOVfKSMQganpegqCS6F
E2Tsc7i6RcZsz3tDfUH7rEF3fGZ9jlydmhBBHlUxKFtqSAZVdrquXmh0tZ0dwTywkw+6IKiQjfaR
vzHUWjcod/bRXSWljfNHX7osGdWLOtB1SRCokM69jO76cnxN13Qj6E+90ESJ7u742j6k1X488nUG
HLE701PCXX1Ul4rrw8z0VpJr3Ju9uDRAVJgPE8XHMT4CemZGx6oKUKU407mYjdh2tekdnUTXwb1/
rxmBCaNfBwM6XiJhIa4bvjDLvf3rwb2/lgsGg8hbYHHm3aOILnTuBKh2gfiSCvANDWnD9Ipn12m2
0d27wYxajSvs3FfDW7xzveU23kXAqrjmHNpDn+TLMXGs/ki8Hk4lZI+02oYmI0eLKrg/8cCRu67a
ZJPEL7Q3SH86M0Zz2wf1Onc3V8G9Ow2AqnhJvYz2KgJIQuU+5mHjgefWje4gYeSlgqCUmaEXbkk+
VK98W0GWTwiYuOf16FcWzyuvAS9+Oh7oQkFbie41MYwMZ5ECw/yixxK7OQ4AY2a9sFQRDFh9BtS4
MC6OElpyfTnzYt6BpPHUjm+Iy2VH5itkLeEvAGq3UcQZbsMD/WNIy+usB5umXJtvCq+46nCX9QVF
9X4SF+UVnratvMP4K6kV3WfjFXhhuKA/GXwbPxGezRi4vl9JcASVV3owCIIRETPp0vc+2qrMwoHg
bWiSQPpWVvLTXNm/cJ4xvgyGaNXWpDXh7bKDR8KdufAHt5c/Yg5qVNRXyXLi/CEXkHfKe1RKjoyN
iFuq4h69KsM3bPBfM5SMSHlaDYlDhze8D4mDmDa8z6rVq3KdUFHO/wwrpFEclo/obdvsCXltKjyg
U1Xli5DsfP2qPvSPdYVRDUnmmvuHrFoYy7S0uYHSnzJE1bTUUNTOItoJxnexpBVijow8aa/dIr46
A+0UcDELcJG5cRoSBPMLxowU1Cin51sOq/6RmL4TiiMgFBM/zfX39cq/N8v4gzdH/ME1MWbT1u2J
hxF/QMPjfIDxg4ZSMYPA4w9kruiE+SM/NbwqV/TJi+nA1TEl43lEMJzb49rccflysK+2woqfDe9c
S+Y0S5IMT+RqcRsvcnlUfI+7bjqbls64pqGLkcR9M7b8eMFjBqXJJ2buGYl8M5ufn+vbaCcOuubU
txXFjT+QyXFd+AzAkACQqFc8a9wcXZW5K92RhN3TfPXcT7vwdjB/vq7mjsfp7TB+7cL7fDkzTK+7
YMxwl90DKuUtcuO5/wPu5HsHC86Jc40Wb+2ZOUZu12fhkl75lcjVePSgGrVyIbrdTc1x3PDpPDPS
NCSMiem4T2uSNrPaTct+F+sAH/1tF33k0al/DqRuqQJ4iMiQMqiSnr9vav/U/VuTGDXN1TUyr//L
GkZy0l/2799v/+f+jQZHNQzxu4z2Z42t+C/kOwRZIHyV5vPDn2U5MGp0RApCHVX6YxL35/at/0sW
aR5QszMUJAdD+jtl+XeT2c9l+bx9/3Tl5E//2vBRh3zQY50Q8kCyJQN6fb64WwsgHYTbLDr7cMNT
Nbfs6GR/A0ldVheQ7bV8qlrwKF0L8X+vU3tgsqZMvY296SbBu1E/TR3O4NBhyIDOsZ6wMNlyt5/o
38ftR4sbV2jWoeLZUkAN/lIgdmGOX+ARlankpePkYdnltG8X3iaD3+q969ImXmMGSuE314daPkiw
peBaFgQ2dvtCPsvSJrdmXJiWutbkavwrL/BzrFOwrQ1p6ivVtGGvZQCJQjs23FB0+sw25RW34ZMR
g6PccO8qKbRNbcv6QkA+EexaBbdHd2/Bbib7wdpYNXv2QBInfJMHsyASlsWj2LXesWXsN2eRLnXH
XPVHFDG1uuUazXzFPjUSijHa5Fa9TjwmtgvkPfqtKkAwNU9B/qpBNN1ENNfaV50l/sW8+cqhg+K9
aM4DaDKSufG0KilT/AFSlvYU9Ss2LAXAVPgQUqVH8lHv38f+fdJvpej4/Xsmyo6y7+mdIJJ9WmTv
Y7Iqgf/kJACHyy4n9BUXUVG9lMJi/wzH18GggyJGtbXEkV7JEYH+ycxhBb8IflZNRoC1Z0ymmLYe
X3oYmBBE/1iMEz/YKKQ5KwH0rK52FAmNSkj3RLbHsXEYBJjCNiT/7jxSakhSiv3XST+SNTshyFJ9
reYbti2ATwxwX6KLiqUaDRm3vhvxeiCFEAYBJHGFvtEEa3J+1vZpMy71wTUBS/pfX9q6221WG85E
iB1aoEQxcbw5QhconA4Pd3He5OTxzZl8KFAWpE5sGTeupSPKh4r3NV6zO3MM/sZ/5adZOOGwlfOM
0Oix/RXGb4orEFZQaliEZXtGW5EA65IRSLgqwcmRg9DI5GUR8BJl0Vp4q91m6+kbhjTTUd+j52U+
M5/YMCkhlYEFC0V2SS7y3CohT4XqS8wPINLHgyHh18Zm9RVG65bNaPZKLaGi6WuTN9WjQByGsM9i
fILU1GjdvOtN2JFQTfDLAtTnWr4ML3/kHUgUj0cAnM+QBQpldqKAJvQX2ltPQ2sRkTDINrAYjmC5
jFt1+f7n+jPB543ohL/J+zd+rv7sjjwDPHxdJaWSyL+loD6kL/W5VGzQXrBDSVdwZTs3L/zfPgOb
SILj+JQQefXgE67AM9ZV9Oh2PV+DFwXTj7FQ+DCZuzlFM5iuaLCBjSJSu9SfyptHcs1n+kK+5hO/
zzDt9lPdRzvAudzHlTHOqG+YbiIWuzMbwh/EkEa7Yhyc7TpEMzCAGh9nCVNu64KN1Zo/RER3D+uB
HZe5H4GsTq9vOHqwT5cuP8R5R7sOqwZbIw872m15mffa7dhvTGsjkE7J/OWzOnZcS3L1zPWMkGu3
Kr0CNz/zJxbFEDyaSHQ1/YaEcyDHpnN5hjPnQ+vdA2c9F77Li7+sQGuv+6faWwW5k39aGJmWvPWF
yUGIVUyzEijZhyjwM1JpF3zN4jtHZkjka0Jz/oaPtKRkAC9LYKqBj/E646CA0kG9CpOvPP2s8STt
cE/I3r7HJXSrx7W9Tj1bCKZdeU6SjVUu87OlN6t/7Mb/nVwjs4+CRxWRTM/ChP9RuKPtppD+qXD/
b7f/sfEDTiKRDh8KAY7/7rr/cNcATiJKUZ0RqgDqv4dX/NmQJ50C0zfCXkmZ2+7/2fkJx+PXG6qJ
vsSgtDfVv7PzYz3/tXD//dK/D9N+GvVonV6DFR7MtdhKldNHaeqEtSitqylxa0390pLhKZOQd6Xp
WhiYaAt5zeY0nYRg3fopLjD47UO0qnQsoZF5FpPwnILW81qAoXycM9RfDfbFpMa7E1b6uhSRNZgR
e69IZIx8iL3+JtTktpJDpw/y3pf0bQBLQvTo/xqIBhi09ybc8jra9OVOyUF0FrndjOEhIpE5FL6N
s8pXJ8QqHM/pIDqBmiw07UvVybjVbloTbKJCdUPOxKLwSJIhDnd5E6jxruzevcC0q1x36xwN0TRu
+gqXiTy6WfDaiQTCmd4VDdU9qjsnKehlIIawxMRJ9XpdJwBgOfSYVnDQKwSDOYW5LDqWbl5bFQxo
fNRz65yzIOrGsFA0lgJcNZ6yKxiQq8HGzNINWiv0uv5FjMedPtwHUPh4O5YhLT0ZS51aGk4gfQrI
aOXY2luRfLF0CgkB43UaIlZBjDySCjU8aVG5SuNjX6mnvpSdstIfLYjxBgRIS+nWcnZpoggiN17T
zqzwUPdrC6ChWCv3WoxfR56WOOBwwU5d1oUPqS6fngqll1cBC6w2VKs+LtbWwBFJkIWrkTcsJwML
Sb70EKlMQmkXEgQ9xrmGjk4DS3yHjNnqsOlwJCG3bFvrO8V76MdTJMHi61e+B0w1s7bBRDUF415V
NLrT7YMvdDYfCrfkdxnBYKfa4ASUfCMByAq01EYI3IYuU6SkztSIdtIjGvaF5ZyYVZsEJMqYt4T4
zRc/wvzDQECrjtW1JB+4bvVnBaRSOGNsqtbBn2xowmIioKUBhCBI2xDdYocOIhAAkBTLBmiVrOiL
rKXyJbrRl/11xCU1jDoVLUdFCRyzxrXKACgoNxVqA4XNzZgQdQgvqQkaD9v8GDsVnXUhY+AEIt9v
Sb3Pn6z60BoPjU4kkxD0+EUzaSvPKJ0h8OiS9VKgf/xjl+S5IiHUxxQ1Vjl0iOb/XpI5R/61l/r7
7X8syfRSmYIy74QC8ovdUYRkhw5SZ74KRe57k/XfC/IM6WAkhbaRBVmfF+v/LMjzt/DawFfDT/E9
aejvLMgUhb8uyL898D9KtZ8XZCUru6SY6pXc4VvI7gxMaMJxxnSzu3nlb4EFNVS3iz3jpwaeKJYD
WPLdMyD176lgfAog0uKp3RYfxA6NtHDGpWIe1NLtcXkDf1Ac70t65F7Na4GfunLUA97hiZnAtxYI
GmbD0hXHA1wQFxNH5fBXosrQauiA3Ym94UugNnBvtNsGtwW9E1dniR/GeCOo74hDMuWiqzXi6VFO
aSC9A15dQdnnFly/sCOPTHGqYQ5Dx6eh128WfODvvcLM7i80WC0XNA5HWJpTjnioNq8nen/mlzuz
niN9KZ2yh7Bgvgq6248xgWM3t27GVzjQRqkIg9OVu/8NFj95ScF4JkctFalp0+gRxgm/kayxO4+a
ICVivuQDdkoe8iuC6Gs33jrWaSj0H4NsT/vgxdsaYKH117kKBMn/6is18jvGdOkuHw/xDrw1f0Tl
OXr7Kj/wb//9D/y3VnfiI/4I1/doZfIC0PI0v6ZNxQtUzKhs1aH3SKOU3mcZPGO3UK9QJRC6ZvZ4
EA+pk9lo/e5W+5iLc2O2O80zcioPxG0bOqiJfrV26XrubdIJVfYKIRB00Om9H2hff8zdVPOL6wKG
QUWLGbU2jvRW1YJwVm1t7WTyup+04mCABXWwcqRHuuzykib6tKYdvfdu0V1aU7aytRyyuTVO4zwS
b/ULfVSux3yL7rOHJMX0SHeacRQ8hmWgX2mLV3t6ocG9XPnjkhqX17de0W/F2V7Ttha3dGCz/MEq
NpZr7UYazwziuJPONr94crh/Gr78MDcdS6CtDu18Hnm/mh9ed65eDPrxGczqr6TlCfNu1rsAsvGz
5824HR6g6JL9OA0o1dC6lYjfcEtkFHv0p10IFOIjkAa4C8JX8E3fDxdGfHNw4XQE1zDDKUqFAeBC
ehUfkx2KrHLN0YK5qrFUDkay8k20b4P7oZAXcynt7z/JvVMg4h2R84PCP2gPInIRmJHBY/D3w0Pt
8ivbkssBaUFANfZ4kh2rdMePKTxE1Gn0THkHm/mGCnH8nHkSO76W3jWHPzjlMOMnhgtxWsMDvAuy
sTSepSVfFL4a8C+IVaXFihEAdWY5HOuUR0tlCUWWJxIfBR4r018CssAaNDsacAl8tSfjK3c7usYN
iAM6nwfKMLrOlOS0Sc/RGsCc7jZHMnawGwAWOaJww4DA6e6cHMOz//0f4UFhCmBLvZ1u4m6Rbso9
fwSK0i30u4Bp8Ca70827i6AstuM+Wou27uqu4kTranHNX0q3wmGyHXj1OZVQyc3FGNeMXo7WtjI9
ZLxkpChWDj1e5Gq0ZfkK/df4I7uzbk2nKlnxk523//6aDIg36cB6O+Orzg/csnngHkEHbX3xhmKO
N7q1nV7pYUsAZ4JNcqcby0fLZol8pCbsTyUf5aW55j5p/mbATx5ZTh9krD4mLhpPMglkqvH8fkKH
6JEuJl9Z9MgrZuob3jMBbaRvvIgDiWKsgFgj5Mkd7aJ/U6SVExenej8Jjucd9PJArKhJNKqP0Xla
iNPdy8lqWiC0R0QMPvOSAjUVTBSK94If6P3hOVeJBH4WAQ/DB68/Ik6RuaOM3ZY3YkMNPo0L1rmk
vM/sYqa608n70lcoKJKleqCRZ15Z+r0WZnG6o0bELSfUqxbvnX5lg2BVRMPCfhCLK9ZK1nodAV+W
gJ1oXDBLNHqGV1r/1M10aqbD9IVfJNiiAV3E5BGoPAZb7CDLRYu02c1d5W4QF8Jmbg7clDeO2nQC
m7V20PiU8Cnl6WW+cZJ2SvLgmdqqvAanWsbPTvPaSeol9yEukCKqCjPA89Tt5xQWJuHkKIMdHt8D
7Ti+TyOxorsKmCHsGGNJq/+gvMWfE2IQMkpoM8oPzLlI6T6i9xxWlnFSaUqAUe5eQIBvkAaYSFPR
lXPVNO+skBBdm9+gHw0W1pd83FXKVt2nlBAeiCQsh3BTSHRp9sBiwy/laKj+MkiO/9jz2lxH4tFg
pj2nJv//aNoQvf1WQv9++x/ntTkATtZxTqiq+pcSWhMpC4iCVmXsIrNz+s8S2kIpo1lEyQN8I9jk
Pyc2SmhCUJiMQ8Qle3421P6N2TfX8euJ7S8P/bfmeaiVkeoNkbfui/JkUogodbsqmsKhrXoYwRvq
0p3usz6KG5+2j0Gsh6mMNMU7wkPOVX6yWn+Fhm05ZONe0AzAggVsqF0Zkol8VMNpNUEGNqpy06TK
PTVeZOXa1MLO617TSXqNgoumKcitdbeMWBLhmfti1NEkZRJZOwaIbEn+yHLkPAwmEwQjRV8dEuGD
OmMZ9MmjLNRn9Dfb3iDVrcweDHpvhlbstPRJLc69FJ5y1Vr7wSxlHg9ZgOS7De1A8ZZVYd29ruPI
MJi3obynInt74W+nYmSjC7CSZj50hu5csvGIk7GvO38jeemtrT4Ns6FjBV1D94SVVA/3shkZf+Kx
E/oXHLreoB9ID3skJMXO5LQ9BKGXfpgNAVBJeW76c9CSxyYKprdrq8qbHOQtHYW/IBKcBrO0Pw9q
6ngGmR/yzbD8bcai2KAmlNJLWUTEcXZOlJG/0YlIxOX5x3THQiyQyBlo4Fmrk61aGAwZ5OeuTVex
FMnQxfpHYxwA0dJO2ovj0Lt6mew9M9tNorqtLSve1oFH7JTIrxMTzhiWEjgi0WeFkr+WUnAE5vgU
N/2qiaSrJZzMSoDbMeC/laV4OUDXaNrm4vfV2hxju4uReYvVMwAHFzhmfeiqdRwWbtx060wCTtRw
4cjACe4NgWPF+jUNKXhLMgNMtQWaUS9VrT74Mjl/Fst5VEHdnDSTxoBdDwko7EwGOTZB102T11Ak
sH4IjaUk1jNRs4SJaYWOIhAXV4eXVgNAGpGjRoM5nRVfJrP+LON4EqN6MnlrW95KFqSjL8K/sIqd
GKTn2MCwpTzrevmcl6ErBfSGQ+05jKSVgJAt8ad/8qqJd99QUOWi0kFOqiKH/Z+NxzlY/pdV86+3
/7FqMiEkj567JaGdldVEFvSj8YhImDgnDTgAmZnzLPLnNVM1fnbw/dALsWbyo4ibgApIJiqkv8Vr
5xH+vmb+euHfmQI/Vbnx5MlahQieqRgEYdWjms3xVnFYQALKl05ijlSfJW/k7VPTNGmr0DVJCPHK
cB1zlhhqyw4inywSfTko2bGTvyoioEp/crR+o0SoOGtm+6FCK54Vh7epKl/Q3eMExDHT+REfZeUs
N0y/aj9fp43yIhONOObNu8T0raaXVSX185BlZz9F/6B1wRLF8KOCGBmBR3bwm+mr9ePMLaIm4rMK
zadBNeOz/sswaXJVX02+8R6kJwN7tyHCFCT13BDRSiLkUXIoBPG7h71IzTDLoBnsFnVWH9EG58Gs
3Aibzq3j5OJrHL+GjOlkFWNbhB+HtqPJJqxwFUanrK76U6COluhMJgOGLIa0qzY6iTWZQg4DstJh
HOF0CgsMl46O7FQd0vWADHVEjipMb3n4lRvvUoRxJBxPBsLVpGM01UybAEGrqahuQTnGSv2c0HEQ
9U+9IAYDzKE6y2EL7ToivwrqlPoYJwteoyZnKIGMVkdOO6BO1mrJ8ZDZtvJJTFPc4Lc5JGREiquO
rHhWuNPlLwmlbs6ROp0Cu8gvPYOdppFe41JbNbPAN0fpq6S3tI7OTadv/HY9ogaO8zs6UEfyy0U3
aTjFJDsgL0RCQzwMqQMYCq8Yhzskxhw0Te1NBFiqldfO69ZDg0YSVXKos+R2FFuYQ2bxUqWuUlQS
fbhq/P4uo2yGKexaLHGtRTMV5bM14hiHoBeoy5JkPqPv4Uki4uYF4YzqryzxoUdHjY3W0dFVaw3T
lml8mdBbGzrAb/TXLYUtepHGuukGrMDmwRTfFfTaVXUzUW+HVQR74llSut3YSthXBADwYv5p9t1j
Klqr1MJBpGabhDH8aIVulGhOK5CyN9qtGTuqlbpawu5uSvbYTvs4CrZTn29rvOOpuMkk2jYlu6hi
oovuyNTQBLdu+n2XeVdz4oLU6Urniq25ICdH+NYKFU13cmckzTUqZTOFeNM5LcDecFtt3KW5TwHb
k5yJgHrkcAy93ZqYQonlUlR9V5GjZQWkKSCmekJMFsvC1pqqCyMO5uPtk8g2NU7xmxr6e8EsL4mG
oy3RT2qIMKnNN35nPliah1wujGFG+AWeJJC1JYSQTkvXkK75OFU8BwaHE7XJ9kFNQi6e/QxtrQ+h
MBqR2lvmvBIsCQZzE2jPedyuRANrnD6eFOQAshjYslWg1hL3ljdbFG96UHt4qYKzjuRAqx+Qksfk
0lvmQESO8iWWFu9onSGt+poN0E4K9TnE46LhuMxpIjWhuckjHY8OE4P2Kkn0t4dx7Q+ek5Z4R80B
6U66smaIt0o82DhYncvTX7/9Y+sILNTQcxSeMcnQyGj+v/q+RIf8siP+t9v/2BHlf6lIbg3KAt5X
kJVpKf/YEfnWrH8B9vyHc51v/ej8Gv9Cykxv12CMB0VnVt7+0NDyLZFyAMYd6dRc898S4Rj6X+3R
vz70WWP7055YCC3kKa21Vlb60ue3UTxkUNX1nSDvB+0ylYdqOjbRtbMDXPFCZS4TPl5Sma0KYyvi
JEbsUZB8he+XNvWxUIOlIGwFUi5EZtJh9zSG/jrXHyXJX6dQVPEHPmFpbhOonLaEz+PcbayF4hb7
ypZXzYdBA4aBGN771pG3ie8fUf6vPEvYcbzDVYFPXbdeUqZsFQKMx5hce1FbsLJz7M4JU1ylR8V9
h0oHOG3x7Vu2vYo4JDU7vKkr7xo8eavsPDrdhqauzWjw9gmKWa5cHLoD7WvYxjvpVJC0KA7ohx/l
iThFsGkL0iH94xzCmCzDbx2qm8lmUr6xPsxX4cR92qEz7KRdvoWBsydxeduhkV0ZtngBLL0lQKN1
Y2ZMm96W99VDMyyuwWL5uF6TQb/c7XY3y3c6e7ez1+vH9XJZLV7yjbngM+zsnbftcrl+WH8+KBvU
FObytrvtsJ5ITzO/54V0wHgnqMvxyBfw6K7ayzgtzDfViXfDhgJI4VwBtGdu19LKpCc36IvuRN/b
cuc25ytBAC4K5jFnAvutcKeN/hbKa6RRKlZgRgDoPK/RPUzs94k+O6Xbojubt/YiAd7mTQEIH/Hr
8IgBytiJh+BOK92VnmiWfg4b/WalSzfcDU/stlzAaXoaj/m4oX0d79rLrNGlWLo1Z4If99auz53o
rtB9BpUnkhx9Ll7AFPXHRFnE6/eQdn26nglF45ENBE+otyesk/LwIj2l66xf8cBJVtYZexGyyGOe
51kiRqgdD6jxPlInyZbdGfgQWl2MDPguMSDPT45FjmQF1Zn6MgIpQ47MGgWOuFGrbSce6qlchikx
5acakI/gPYeYdvKjNrONXSpJXqee/6/t+R+d3dQp7dat6dvWbmkbVzqwnLWQ+NARnkkyAPsWo4hO
OjJm0S56IBt5brIj9gEoLiad6QrLId1zdPA2wwUgNtxeYznWLwkHhFnqC2uZH/Vv1huG7/cKts/l
/OH4qyx1+jMHTSQm8ULTFylzyFk52jF5Fq/RcPGtnYHVesn1aCt/pZCA/cqdakvuVOFSUFUhnIJ9
U3CpLmBjcDeqTbY0t2HGzdWjyAq92dWd7JA1idsk2nLv/CtAZOft2c13xZNn4PAOZ3d4lj93648P
TF4Xnj31aZA3/h4UZEQDGrUNLKb0zuEAhfz++72cWvk4NgfRPBTktGlYssnHRNwz65WxrdGtxVKN
GRsGjGyjUmX4CcriC4UwuXw4pLEj8yW8yTM/B4FOW66DdyIrDQKZ4VE+8Drg2Cbk74s7sb7IxIbJ
COJnx2/hHlDzAL413npGTUh5+HKyGgHjIFYCBUx2CmfRTUe3YmEhpB5eCVLCa4RJGmkTGWVQd2EX
ofcdHLIFubzxcdYg81YDZywvxk3mmGs5RAU8rLi4GXHE1WABx6mDRBhnLe+adtE/Qq3fSIfptf9E
ljbH39lHHj+Tpv7EZbjVqnS5BkYVXGR/4s6O0YbRvWgd43I5GOtkOpr5jrMiEfDqynrMVpOLHw5A
ybfWsN87m+nQUJOMbHcfyZ5J1Lix1gPHZigcGHaQAFW0n+d75smJqktubUU4xhnn9ExeevDPN6KF
hVsi3k9853zZENmMwRaG0UiPlKZy6AYUUyUAAdodKicg/+ylB4hoZEQC6jRAkwuElbvkpAeoK9Nl
GGRMZ1YRvaugPGb4/zp/S3dfq3tqtFs0aTtEIMp4FfPWLgBDt8THIx7QnVo5M/0PRrtMH3xEofUj
1ObBLQFdC8t6F9XXbLIcQc85QPNiwCNAsY0K7wpzYzQdL3nS5YtoXIr2feBl0z3aLqTMgbwUhlXb
uxWvXeBADvKqTWLsFNxMcrUxhldfvXTWbjjk2UPTQQwuaf0SJSR3vHjdg6YcI0Stz2pzHrvb5F0G
zpLKP9yCrM8NUCp5ha7q/7YqoXji2PNr40Gkc/rL7X8cs1Ato2vC1z5DB3/FFdJ4QOf876n7T00H
0bKAD89+eNH8Reqkm5zJTB1xMn1ljnp/q0/LJf8scv7uPf75mufv/3S+ssLeNKYQy4BiJrnjZYJ6
Df00oxHAxLG1evOzzhQnYBw8pzCZaTrM9ADl2PTi8BLjskTbb0LJBdNvtgoU78Db51QsegkwixaF
MiQPIQLYKLhNdO1CWWaZrtwQd3BAGd7J8sZLKObFLnSFCmJ8r+nfAr9DENo9xzK+zCYkqCJ/icnH
tSitAst0ynZ4CE2BdVfCmSSffc1KlnhlV2GUraPIXGVddBY4gJURvMLJQNKZJ+mmqFs7J1xGpRGi
o/D0BqemPWKkXyPNkkzVliHNE6s2UZoisPSDdS2VyzYLXLHtqdwZcuPLhbtr56J/mqilffkY0qKp
s2i2EjLn6Yupf9OTuHflXAJl3HD9qrjIZNlu9N5JcT8HVDphMqwD7I5tcC2pg9QGuSKKIh8IuMRK
NXJcLWT9ORKHE+fw17pRD2YNYcYSv/Q8P6WS7PYBcLY4RaAEvFmTVwqTzLjdl2qNGurmUasJ1GzK
/+PuzJYTR9OtfUXq0DycakTMM8YnCsC2BhCSQGjg6v9Huf/aVZXd0Tv6tKOyO6ucNomx+PQOaz2L
3k0ehkn0cjU9nahjiaLHy+n1Snq+Tr47qO6cK71gQk9Y0Bu+Ct1O6RU1ekaT3jEdmkjyuoqwpa+M
6ztyKaGe5PV9kg2tZ6JDm6FOX5GkEip0p3mhLq50qxFdq1pj50jSk3l9OvHruc0Fbc4rtRaziHkJ
xS/dr8K+SKUbloau2IDgQZcs0y0LKLqudM9vdtqv63Aad5N3jjkufaHNMCcmXbf5UrmxDz8JaG3G
MjK4zAjcqK4i4x2el8ZI7RK9QPXJ9zDOxMZOsiSQumr0jp5EbD/McZJELAW4bVVUUkV8iTNAwgLX
70NdRTdip4fE6dfC7FQsYADYSGxS9P7UR+k60bhANanUoRor7bE3JQRXzUxN9YvC5bDI08jw/2v7
Vg4XSSGsxzCxjbCuGgae/3aSOzA3/n6g/tPX/+VA5dHRiGqDWvSXQ+SPvpUDlZ4V0BiQ9l9UiP/t
WxnY0kITDQfkTTMxo9Jt/sl04HmiWKIJtsil+49GudDYuFf8dq7+7akPM+q/nqv3/trFQpeoo6u8
KLKbH6M5FDEpEPE81U/6qRN9HWGKrNkvLz0V+/yULD/uW1SVX+L+MZUwYtIGjYxDFSiTGr5wIE3E
q/f8Vg6ijBLTfs7yz3LT7si1X1Rjuos5Fo2J4BcTUg/DVzZTohAWk2GNtKnqVfqxaJIAlrVJ0I88
0ooxCvHe1eYPotXV4J1tzeirUuYdvkxCzdutVQZZvWRdlrYrCSN13o2fGOCtdaaMTE5KR9+2aDcw
8r1GjYATUMCTJiIWClkZFfSjZoAIY4AbTCym0m8HcVLxCPozSB8BILfgug8iDeBxGoBeXCo1IjxI
M5Afky75kERetQFhlRZBi8jHtCPNEbF9gqEENYXuBQ/NbQXTXOjdHgufimkEQC76yiCGGY+sB9D3
mnHxrfExqfcvdCPyRZsnB6huZPoJ5YZT5IkhYB43Hh4HNQ1iyVWgVxXxKL2d2/5DVQ+t8KM22F0f
B71Y3zO/IXLJ8MzGY1bNJLzNvkK8ZvKx+DCJFQ7KYvIQw47J8Fgns1eGR8uI8qKmx/oalJ+0Bgoq
nOsInKtAthBuXRzu4KsQJ1ye7sAfRTp5HCSu9iOcqddRXC0bdXpVxi9YdPAqrjbfGumA3R1XyBTP
BKCErzsM9As2mkq1w7izH5Z/h2Nn62H2k0GiZj7QSaod9cshKFv/eKrfD/lYdYc4myZMad8oM8L5
CfUCAUYLxvWkkwgOeXixn8yG2KmiBKPm1Dt1MnDkZ8+ltL+RPoVzVICU4F03cJvcXe9mc5keYqr7
+PW+8qXok3dBLCfh6buOe9+mLKDe+80sqjyyismKs2HKUaATAjVoKYju8dAwsBIDKuAm3iN4rAiy
dlcrcp6qSWv/fDECAQxqhUMNHqx2QcIe+atfrrlKbaJBXYiqLpteL/Wegfode2prl4cSVCrryvY4
pE4bNCD2sw3D90hsQ9TJ1+9qdwNr9MkmF7SdREXecTsMngG7DdKplA0eSKRlNe4aJB88E+69KpQq
e5HiKiBF0Ou9IVePUFybt8tdhgI0Qp4h1+4LqtKIVI9++t4zuF2oobDjdi18XsMGWKmwqhAW7oUg
XaahatOwTh5V0C9fF2l+PxgQhPkpduu0HpenbqwvDnf7dNwh8OCCJFGS147wP4YIsEHGh2XkWt50
KnlznduTSzfZZA5Nin4UiZ2WPEyRO/3YkRlwNLcq6WJft/Nw80/noe37fB++H9p26F9Hvot9DdUH
XiQcOWSOHEnt0crhA1fW5jzasTo8D9ZWIpcb89ZK/VRbt98P+P01I2YnRcRU1J7ipZht+p/ixBBu
cvUM/+7Dq1tfvfMjzOdDJvnbjyLvuY9W6ir9UWcPPxLHbyN4ek807B4voENhVwB29bEtM4KSPoQN
szDDDPqHf5u+xmByRs8f6SJ93LZgnsdWScbDt0GLF5ajx0gBwFQimjQX/VTcUMTFO4WMJ5KTUG3y
zWG+w6D31TBqwz4ikeMjhjn0Y7KNmW0hEvyMXl4FttJaV83qdl1J4/zF8I5RmuoaIqG08lG3fmT8
eQd5aW4FiNj05WydW8PLTP8FCJkUBNW9H/jf6BqkO6RKAVvi4IpLD/Iek7oXtvXCmPYypGiInpkn
1ouX8P2sF0I3tdJFj3bA9FNHlCaSq5WezOdmACfg0gZ8duNARiyIQPduwoTwBxP/d2WnvA4MRSAk
tvZ3wWBpAP+i7XyQtziTTKd/jdk5Yxn0mpPM6Trpw8Ivv9sRx9gSCVh4C2kmfTSkXjrTnXMUpIfb
ygLDe9Dx6oNG/LS+840+MUfavqcTt/bJpA2fy26WL8pZPyo21FwfOyYpRNcNL+wkG5uHx5ioxZFo
l6C6SF/eqJPbOBsz/wq6mUxSu8Wp8mTsWM8kb0dyXXD3DDRy5dwI6j2tBxFq02pqBI9dHcSO7Jfz
15RdXFD4q3bcLZMxxTOrIzYrGsotiWndw8nPMdTxJXeYPDpGJcMxv1MBQsNvI5PPbuD2dnajLuRs
Xld7/SKM3yfKSICk5LO1LObZp9j3B24/ZJRIFUJMzPUKFVzr6h/d2On9B5xe/av+qc8VrTjBGFbw
7FyUutbVEU1qWWeITrlRoLrv2DM4UcC/6E7lREsVRRizofMreHPMgEfwy40wv+4khjao+TEekiF/
Vpfxd33Ov5/fsoqe9e2WhOGxo8JPpwTtulywaLUezpvXWgm5jm5kEooTLPlcgGIX0PdII9XRx4ov
jbJNgSjY6SbqFtFNc4gyW8YrvQbgnVazKjBBSnG6zDAQpM+ReMkOaCesNYjxapuWdotf1HKwYrAZ
ihnsVltJwlzHpm1UTxdb7sMnsnGpvmkicCKeBORy3Nd+IJcma17UChkPdwmUw4xiYMmpXExucvXM
F1AbpxZG3FQwcmYkUBd2SwZL5j56l6dgTvsvdZn4twUWCc5JUj142XavT8lOdVcx7YVtT7V6LaBf
Nq5X17iOLSbuqgAohqMnbZ34ZrLvBeTAcM98hiLzqN6Hoq6tzM2Lu88lKhbmgAD/imjZyAddFhyR
419XT/1t5rNkxaSM0w1AtOm3kdvyadwH1WyjWeubvLlbP2YN7VREPC2bJ/E+EkuPKw6zoT5nOt6P
s23H7WD14tRBEDpKq01vSEtoz0yZwGG6qnG8G48BLMhLnQPzUXq3G0yg51t8SAyEhu51+QRv3o0f
ORzdUy9CijxDMG1PWEzF29vDXMhJrJ2z6zZp6I3sIlpoJOPmi6r6sLjjZKr/xkpUQ+BpIwZMi1Jk
98EZZNnaAGvaKzD/ueJvkkdRQxRcNgM51oBcGOmgIjOO/tSXdDfPVPfVeFZOrCDyBKcrRtJjAmgk
W1ioki/ttF0oP3pEReUz/4qxZR5fmFyasHb7cR8oIe/00c0hOgeTKLh6T1UX2kIOikm07klejN2S
7GU7MfHpLonWjBfxgglZ7A5ifvGA+cUd378tYY1SyX6j03p+VqbdZv4rWl3NmcEpmNkkMqdQDOn7
PF5m4YufZr1qTsaPpqxuHO3JaBe7LVblWzwxEu+1v4XXHwEnrNcipkVLFMQZGXYwK2xTJyCedIDB
XYhMH4Eo0EIsPa/BFdPSwpP9IfCgIQvixhobQEiAr9XSNJGmeANKFJJGvLsLdk39ORHyRcwJMnsM
wsnbseY3jADYpAA1EIZ9c9GdQnWR7j6JnlU/kiQKEHhT+IuBZFHlfYmQJUTfeEIXU/yEoGFH//X0
oDu04xdFN221OMAFocr2cCnQQiX2npPDvF/0dCX+j1VdCOICwFZHTjQiOyfB237RP1Ez+IRX8kcA
jzJPwIXOoFUISQMvW0cKX+xk1g/ydTiGXJ5XZDn3dAKirOFuazmlEKoEHLMAYVrsiI17TcN3PeMP
NWkjcaTX4LyG15HxkUMSZ8qxzJue9E8KPNlpwd8m/j36Mox9uyqYxbNKuxXbGh6YEsaRk9UuD9Re
P1QIoz/qSp2BVLsa2w6DxGt07R1ePOXlMVwQRTZ2rlkGr5ffsS1jyz8I8uRRxCyj+RLLgEm8FpGU
en3tM4GjTvRL+fDs2N0BuGBoC6VE9PnqZ+JrZIZa5DbPNaQrEgGc3I+BrpIPaishodvPJXIyfplA
Y9tAuK1fMg4LyknnCu6fb8qwK3CWzF54DRGRK4HUBp0QAhcdWiwRIrzzXzsu+AVcwMdJpJuIPFUz
/v38lajif7Y3Ier829f/MS4AKIHaVTWJZ0Nh8mth/ce4gD9SFVmSFFAU/3+S8MeaW/+HhHBXJL8Y
YawsD03+H2tu/R+DA0tmDMsUQTV0/T8ZwyLB/fu44Pdv3WIQ8tdxQSm0TUIATB0QUV0ybO2dO3c/
EXm6/cS791lnc97Q4mclzCtphOmm1VZskStWVm8nHj3n6UTdYZ+MuhHdpd+E7BKhv2EosVoSECXR
NvDpW+NCuTkSjfW5OcpoRFprqetyEGmEf9lEpzGQe1q+HB3LaxCzBi4DlaD54QhUHQGaw0JTA4oG
OqopNoRa8hQVSKRU7mLrRdPJMdPaCcWWyJ2b6Nb4ci/J5ZiSvKqUlKeGLQ7BhtPkIu5QjA3N3uiq
shgF6aLYcJiKE8esah4IgsvHZcIZ6Zu6DzARu8G2Hr8nN9bgq7qY3ZsNeTQw47yqXT/ekyidvaOg
IUdOcZOXTZ+s5dO8f7H6Q3ESBSXO/Cu+U1MJwFhjsO0dkLvd4uVcbahJthlgLQiHf1SET4lXnAy7
5raAf2yCR5fQC/wSnPMzzf2ijiPWud7pZ3EkTzJv87NHimXPwINA/Q4EHzE8e3PqNgdbEg//ds+S
vV3TmNqsam0OxW27btf9vF6y1n1TwGNlaBCE2h37SR4acS+MC3bM8MIG8e1A+gqjBL6Gi3WKr533
c2UqTR9LyAEMk5rlOzy3c4vmjTuNq9EtoSlyVUdCBqAjePVM/ByX4QtNrEKvNbaxlJ0oBs3JGRP9
4jrhiTyWKn0auoGjgqMhHaExZJddiB5EjmYJ98HDynoiRRPG55jlPLv99zZjo95tGECtDf+xTMGX
H8ujClzK5yAcimxW++koHRbi/Yx/HUriiI00ZpMJ83/zG/IWV+lj2LHTo2zZRQ2dOC6rS/OlRExr
bV4XMo01WFbr5IOthKmj5QbecUVdd7wdmT3XOHOdeNJjERue/uOouIO8gOvRIAhveWUEJu945W4X
dY8jbFrzevFA7fq1eq3uR3n/dpNjip2CgUpu5yM2+uKp2f6SDZgnNHkk28nesNd/rVAcUNjz4KM3
MoL78bluEBJACeNWc3ebr4KJxtuWmjE/xYZavXH0yn6tS7BYNqSu8kgk6kDS4i9iUrSmUo8DPCAe
PAkmJ+IIMMRzSWDrnLfjkFy6l6krNhLilDQNCraYK4nPgLtiuRKpLgpS7AHslEwUFUpSCqvwFiq1
X6NGCekVMIU7oLFBKJx+kSQGREf11YbVV0/B6eLYYCrkyi7LH6Nz4VxA7DDda1CPh526MnsSpOoJ
+2bBEA2kAzvx990TTOe9Z9V+m1wuV09ak1laz3PSb01jT7pybO4lL3Yes4xhwG6+Cw6Xp3+5Ettq
m0vB+w6/DS+aXghamEpFMHwqvRQymLvzI/Avlht5hov3RHUx2DjGsp3Uqv2YVZscQGxH/jMwrlND
LZDlDFV9TGaG5uBPJh4H/xZzvnb8MOi3yOtzcySeDvyWovB75K1ruWVfv9I1R63dzlazeUlsOGKc
74puqeMMYrKJavH6GEnZSminXXnQnstS+LgTpShNZCSnhCo1I3OpMOLoRUjZEvMW8CDxhzpqqVwF
SHyTLsCdV0OOHaDPwpgqVktWyp6ttDv8Q9ROOmvY+YOmEQON6HeYGLpdqpgrFx3h6jgfeWN0v2B2
tb6VPvsvPv02YSg6KBswudFbPDy+GPlGpdikKWNwI4Q5nqJWGDF5xVVHVhAfJDsayCDapsnNo9C7
cTmsSBNm6gg0rRxjbBsAZcY3TYY4rVePMYA3tv2vRbsofFrd25qrjd+vAyqsWbWbZpUMzrQrGoXr
hcuRZmd8T0ePz+ci98FtYlAtPgyGeu7DeQlu19nPTXTQJ7/+pX4HDYHBTAIcs3S7WcIR0vz61AwP
YTLVrkDEqIMOOS5+fH48hkFPGeToD0zCJn2AXnyABbj0HR0yzwIpNLnyvlrpEwQAfA6PM/zK95mX
9Uf1imdr8CjxtPi0B389hR3jUfnjlo54pOhc+PJ99mYE8B5L39XmzfHmFq6TefVOnAjha6KFLybk
d+eVOda0AtTGNLI78iL0xcFSPnTej+WGMg+ZJOQXgIzdQkTdgZDxpG3jLQ5h9bP8aC6Pj+5S/bwv
8Um6pKf3xzD3Z8blldNolSzLkF0q704JocXO9IHGcPPg5kgnMvuAo+TMCFu63FObgOPbNAmTUAwG
BiK9CR1I9A1xHxszlr872Lfcz8ZaGB+MrT7nnbMYxMU3THmOiNzq0H1WX5gGGWFkuovbD9OgZbYE
ao46c4l02jKXpDY3p/f+fbK+JSuFm+Smb+G/tzYdVlmARVRJAyBOxo9JgfbvV1m4rn5bZf3+9X/U
pvo/sFwpiqZRoqIpEKlq/6hN9X8YCtUpwcEoKQeM6t9WWQjjLWjpOoxy/vB/a9NhyyXqEku3wYBP
hPF/UpoiOfh7afr7d27hGftraSpYViXe1QZXwvhZiRv0ucX+HpNYAAR3latBKim2NRX8/Gy4ycwI
s93A2KN0Emyr8FknsNeByZ98Pw9AxUMtND2F/ze2NWf+WfuCjVLKm9d1RlvEL6rT9CzqdNKXW76m
t+rX0E0/aqSM1z1Xf+0SsKBd+p+WOQeM6VO/Fz4A/eXSQtK/CVTpT+W23EqpzSd0DHU/wBLrgfQh
9yAvbOuSfPFn/Z78gyvF0U/8tBNxfgUsLS5ft/GjGb6ObNyUX/P3y0lYpDAAMHea5BbWXG126SQh
GGxc42CAbHSfJMK4yAfmWfTw0aeK6N3nybTz3+qXxiSbdL4FKnDmGRCwHc3VdyknxxqrVyhj7Re9
x82vfvpx/RHv4x+q0jINBO6MSCEj9IueMVVP6PDIeUPWVndngy0i/y1vlM/2kqHGuDDciMk+aRrq
aZQDcVs5deKgtkv2WbQsOfkEsgSNvEcvMU1xA8N9jMZPg53DIVcc8+oW46tXLpRJ/qmxweacxUPx
mj9Qkp7jz9hm1PZmETnsIGHEy99XdH0LLfERdEg/ER0+1S43JSnkFH673ff1A3MvTPXM5ea4kTO/
WvAkYtM2Pg0o1lAf8RDAzYtHb6bYt5nKwJf46iAGaFfRQJB94zCYZkUC2myhYPyW1yAnrwP/K3ZO
x+P0cLMPsYCNjjTBeqIfKS0ehzQwKSiGhL2BJ+o3TudErh7eJwj+uEe2y6eLVMtFExaiHp73ZPup
PkKvGrr20++fo0cyU1/BTZp1Ynh9jW8ofk/lXOcs1idP+AI7fXIbCWNjbAVGIMysWdZ7OvME+ICJ
bquLpy/NBcIyU9od9It34rkn0pyb8bBZqMcvn35/zPC6guRtW6v3WN+oSATR1qi+TNfiR5vmR1Qc
YDnJPNqkoTLLEh4zO9wP5dmYG2tjPYgRyEr5urmwiL7vi5z9b7MBKwtfkyHHiiCXoBkZ3n1EXI2W
rq4i4gZCnS/KLA4JTBwnp5xl2d6Y1WMxLCcw2eps1Vgu1ohnaxc4/TMvZrtB67F/HpUZF9qsX+I2
sSB81cPH7/RG/CfVdmknB3P41t4rEgLyIPtRPvuFvOWBskOEYLRfvFfiAsQAiA71Q+i4x9jIOvmo
tWuX1olihjWjxpju/CSdhs/6vO+sZfb9fLt3tggJs67Ovpo2C8iW0APindi4YZ5jOssemZ8022Au
2Z11bM+ALzblrtgkYzg+4X0mHsqZtXweaDVfZzjdtG0Li6PnOYr9doLWZMkeUWHI+zzAzePBeFQk
J9pR2Krr/ADP7yiu5bW6Ho61alJN8sP1wJc0mYfOWwt14gr5+5+ibZZe9s1fo6/BjL9pr4ca5k5c
n8t3pfBi8noUjkXxVuHOZobJ72SpPGbJZ7JqJ9aynImTfsSHODWzb2F5XWQr/ktkz/kZoSVGevSd
yH4lgjii+ihGhLIeEi4wcg/64MEQkHazoPKieflo7j4NdyZAH18Noz+GqVcYBDB8oD7bf7mxLf8n
peKvwS2/rHG/Kx0kEukAwZgyojl1UPD/RUEmKL1ZqlXN/QHcCeL8+3v+Fj7RbmDy9FjmGcLn+zHr
O4RV7jMZ01N6orNnN1nuonIcPzdy6T2rwPjSXAkENSWxNcGEmzFQkEeN4S+JeTDJ0uwZub7XefL0
7nmDBCy831CXyiEbvGuyTwW6Qpk4hQn4YWkO6tVBnatHl0g6vF6jyvwxB/gGKmLOzr4NXr8CnCq2
fhF9ZG79Uv+ijif8oJoAJ+S44DZhMThhiXSjkcnD52NqtBwqjw8WOtF9w20K4ueazLaOMS3CiNrV
mdHAgx+oBphCcdu40lFR3Jbd+n2ig6J+2Mk2ieyyn3A7Mj+VTTLTaFHi1/zKAUipzo9KIPQCg36k
usCmYeHL1TnNg6camHELJOzjv3ZAOJQiCH7QQyqENKvyUPP8+yKMWua3Iuz3r/+zCONxdbLGiZb8
bUBIfWaBklcHEz+CQkZ3f6o0NdE0QBzhniGzRqfm+1NOpOJglU34dgZqzf8oIQaA7T/XYH954lhX
//4eS6VMSR7pVRu9WZD0ErkPdn8nTmRmfJir+r2k8mggVwKbsWKShpubo1XH+1dtsOB8f1rsve4C
tQ8rT6npGOOPjeoZlN1EuQhG7ho+XjxZnDbqLCtzt7tzSAGEa/3kvqvUcfdBVEndEMFkhvHzFYJA
YspuMLFnDVGnXoVg/N4Pvco7beAZrQdI/IDLqCihSGpCaIQDRxxp0aKuZkRqRAyUPq6eQsyUmtOz
yxg0TWK18qmizTKjHqGiaNsJWXQyAKVtzLgcxveNQsUWjD35NdMOQk6HSaayGV+BaEL+gSAINUex
Y8hYc0SDx+B2AaacSDNGqDxRELLEYdDjw08hSxdH4py6Ri0WFXeS+irbThbNjSy0kMMwN4mDaGku
mZAF0HiDW79Wos5pDDZJoRqNimalrKMWVmzQ6RCcqIF7dNtC8KQlFR32tkxCdQ4uclyZ/LeOqdjP
jDiY5ZCsk5GUKDHStCl8+MWWHsSdzG2CBPBDPuOllZhX4T9PHrDZcaca9wEhRI2Dap0P9erhVujO
QyVRdzxoWytQJxeESJZBze0q+vhRSs4jYgUdxgD7suDKaUxVbqB7tRVSdDmwqoPVTfnbZWnSk1eV
wZdn1th2CDBWOjV5yhOZW/NeYFM7Mc29Wn2+Gyp/Ijs9RI6uQnaZQLgoFUxm4Y5X2+CmhqbkK6b/
roKSfR1hkQQDHxBKtJqD9DVFZ8a1pVVuQjVZRw4ClPtZPErr11H+6r84+3FoYCJJp8bO2KnbFxPC
7f3MfppEIQyEAgtridcoMcmRtMFKucm8/dCopHrfYpwlT1+gVHP4O+8fcQA6Mcjh9Abobye0v7cp
chYZdgwW6oTFlfPCZ8XY5R4oVwjJO2JLst2jmUqZp32/Tc5+Ocg+eaDXgIOFcSN8tgrSUEc+vzFs
fvSvQPuRB2sERpEwl4lQTj7zDUiaBFjuUj8r4+yHMEe4+BO0+awiZTKwDwNvgQHeZ71vaCAgYI2M
4xu0ysS86F/URt+paaNjabe8N9Nj1jnKHnG/QM6Mo2g+b2S996XTvQMUxuq0oXTdMLjHCkBgG4Am
LowxiQSzaJcu2q3sDsE9IR6N6CNne/zFgPG1TQEZNaj9GUvZ5rnavt8hqEmGgOn2MUGXhBZqr39w
DXMDtIhTJNDTedExEQiDKc5D6fycIoVIPIaSHf6feJmIYOXdF8wNv9zrEVXRPEZy0tsk3hTbHqXA
g0gBtmluxNMknGVyx53ywvYB8X5AJyAcgL5Lths3xgviADC1zBnv9ZpZ1Pn6wYxUtwsUk+wnGZcn
M1TLshU+G+Z7wN/QzkHoSOlLBY9XhJ+RhtGEQGhGUrUvg5XViIl3bgV1qC3DRczGwpMdXqid9HLU
bwR52yceczouFaRVFtsNrqAAd8x9XQoe/qrX9NaBJBui2Bm/sS9Hk8Bbs7o8GeBW6G/sZibnvoGV
pZxIyPWqbSnPaiR08qrAVas4PdaSNZaPGMCZsRC4PrpT1TgPASyFjkfnBuYweLPRgMqUzYDP50te
ZSD4WPLtJ+kAOayN/ZORT342J+oU+G3K5Cdj44h/myJirBGOirwN3hdyocTVxhp4p2s1BvOrTFV1
b74c08/JSKBav3v5slbGWHUttkwlp01WTOt2VepOo7nFRlwbHIwmTp9bIJhj/QcMEx78XNw+XiNL
pLL1ymL6Ohts80c3eKTJNB8Qni56tmNdnsvkAEE4RhQ5VD/eO6z44rV0ic9v8OeM+vufPg/EMXSv
KbYcUrdvn9dhPmndRo8iwMPTvO33TjVm0kxNCCnOOGS+nxTFkzIog/7AXOFHOL7OxG3lrzn1NW8b
VXJun/KkWGTeHUidGwH6YwFtZuMUtTqYJn0mClMBd/uDH/GN67kpVzUoU6+7kcD9cPQSgguzgfYO
eaG3nz/s4YofJOQ7OnOd1vvZnQlprGm3Jbs4mtMKBGfi4Gq7EemQBlSXxUXdUJCG/UWIPMDLhB6t
ZZ4shDFn0E3S8TDYNj2JqS/vDmDlMAWRGvkthfGQgiI2y+IdRicGi0YjzRg8oox8+Am2P26sZ9br
VzRTyeQ5yLAeg+Z+CgC7+bA2xoIZ4UeylT4wHhiL6ifeV1yoP2j00PMMa3X+Slb397vDmoR7U+pp
EeLRVBzNQOExuHlV5Bv5yDPGxY8+S6ZDSMrDV0JhWk2oblECGq+ZOje272W3RInwXqT7nJnm+5Kz
FGDyMn37nWuODf9NnnJCv4g8QXQqEk7bKbIBNAqYS9zi5sYHzjP56cKTtkhbeNgy+Rlo5fzyQydz
U/V4tjrJdC3CMCkmjOU+M6LLWwIaVi7bct5LxzuqKQB/tkJvnvuVum3FkEZDlQKWLbAaZV9i3ICy
AUnkol8R1JmDBeiCzPSg8Wo9A1FunIhPYPO/2aPc1HJ0Y1Mlmtmmv4JoR91M1/lsZhVPOgZoBRG7
91SarkpFGwCMfA9oDmZOOVXQMN36cdT49BS5Mcamdm38gvVOMVLL8S0Z3wvCRtH3jqPP+1T0Sl+b
6N9Itefl9nWCdQ9CbcUFwNtBukRiIC2skb5+nW+f5oQ3cLPWBzCMfz3eDIYg1y3hsFa+hy4WtFpA
WA1nxH0lLDc3euFk1xyVzeMSH2SaV/rO1H+/XIVBsxr2nOikysABZtUy/e9uJpQhH0oBiSUb8v85
0aUo/72Z+O3r/9JMDJoCqNmyJWMJ4yv/nOjyUcUgSANdAaDqv8G5BpIXjQYWhV+ehr92EwRNQmEG
qaqSfEkP8h+YvgaAzr/s2PGdqYy1taHb+EvHnhj3TGkKOvYUjn7itZ8mdipo1BRt0mBDzZ9jrLS0
3c+nV0Sz95yPsdar3y6V3Ovh9myHSVvYxJkdfzDa4BjYc0PQDd+qwu4VMFdNPh6b7lJ/xwyNcePk
XmeR8rtgCyG0gYxzFjV15xjH/PCXFu9fjCPUgSv29yxNkkMG0xySDobjv9Lo//K9ReRM6lH70EZs
62+MIGXk7Rxw+aEwxg9ENwpHDplaMJQJ6VlzGtawuEmehjZqYvPCVuUIGKJRn39lbCyHSsB7sI+0
HOadBZBTzUbeqMau2RyyyOtQF224gYMHYeSKgjC15bP1pXz9H9/WMGT/d9/Wbza9rieJ/QH3ZfRi
G7t4q46xUZZy6us0JGfp5qs9RPFAS1wJ49oe5EA+Uq39lTkJsDNxVuvY9xz1daQIf1Ki1cGzdmOy
0eWtPm0ZODbBu/XSTcbdIXIiLwFNCNqWUdt1VRrev/9mlH95/f35M1LE364/sEO90JfaSEaIzZDl
w3zYe3OQSBEeJgWlBb7FrcgCtI3tg1nqDVUr5DEHG4xwD0uEXqBoorHVMyRG4Y4+Om+5/UKydig5
qXGyCUEkMHC5x6ouHPZ///y1odv+/YcxQPFVEd+Rxc7m789fy1QBJlQOLRZQMELeZGWe9GX+HMHz
Yfisgql5c7vgu5hl2K83UrbIY4CrDhw0BIH6UW1nih70s3hkJfN+VezJTLklXr3Ff0aysMB35Q3D
qg7Wo48z8RRRuLP671B2g0J3G0osnC9ct5W0ywrErRNkZUI6b4T/Y7yHYetffbN/HpO/G5nkl1U9
4nesjR5XPz7FJ7YIKW0Janz/+dN75jv1e8T42kaLb+MWctBAGLJJiyDVgXe5SDmDDkN6DElPxEqy
Cnff6yevGl2VZePYQYevb/slbs3sx1xiwUCkF/cew0OSsB9YfvphB/OSxhYujbPG/uc6lt/0m575
2eaAdtnuULDJpyKD0/EYm5FJKRcQQJbAFCx9jKWAIpJkKl/JIk+xCIw11gXy6/OZXyLwvagLEWtX
zvszi7fa7jGj1EQKwchY5yccgNDlNIyfKo5/j2tOyj2jdd+EWej8eNjvg+By7sni9vp+NttkEDK6
L2vMjNIEL7B50JmxGi4YfyLaQizeYPjHPblLSvcFd+lQXAe9VIq4Cd6pGdaTOFharOtpGvdK0K0R
7+ORLbCVO9+YndCDI1nOQzB11/e8XAMaJa/3eszDfKucjBU9E50cV4+IA8Reh4vK7u6506GKSnnO
ptPgaW8CSfPUU/9tZl7B2KDxDbrPB/hF9/YG9TxrtI/bw7cj0ZcKFORjxiMq8dvPcdJ7SevWuddD
mIVZ0o1h3r2fy3fJHMh/ly7gQErSghIvCyQ21Mrogcgg4tbBTSEj3WsbB2mIC4qG/vP6+doZh+fu
cX6Q4Xt8zqzars/MADKohdnda35YXAGPShs7DXkrTHh7X4ptzEg1x9zigrrQyXi5JOz2UlgWtwNo
YYUjYRmHIkrZTbJWxml4O8kL+LMsKc4cgOa2+K7PHO2MEK5oQEIE2gF+qvAZPGeozcE+1JWTW1Ms
jQ4TjS9T8BYzu6rCaPoe4baJUGyBoWSijYn5wF+su/zM8e3L4b2dPkpsdk6JJwp7zGezRmITMrPw
pPHd2tAfC5/C5+uis1VhMdQvRWwj2v/j7ryaHEXQLPqL2MALXoVH3qRSmS+E0iFAQlhhfv0eqqej
zU7MRr9OTE1WdRpJKQn4zL3nro12lVJaT265eKUCao7cKR8nWXafhDgFCnAkkphZusQWp3Q/v0Dd
QgFEzWqeJncHeGqYDeQ/VVa8HDYlkP+5eqADWRX0didzV5zio7DSdukpA0elLTpepIb+QS4XYDw4
K13LDxixrIwc0hYsfDryuOLoFC5xBSxgO2lW0FbbDX4TcmYxW1yP3KUcmA5Pgj3N2RDbW4wSGX1X
VbEHKvFs66BNPqRVC05kvJCKgb7VV/CwCcTu9dvV+cyAZv5wJGTbKPLMDhIzfQ+dVR3WJPlIB0TB
s+UJRcV23LZ3RLaPhYqjbC9ttePkdpy8zVX+JLqptQZCCMWXh1ywhXU0jYZipVYy13sLXOPQnVW0
f/pR28pnuhHSZHvjGxaZ88jVNdQ71a40HIrNina129z8ciuE2Ve3TPfZsUNxMfF8J5ruLXyuOOug
EJn+x8yP7WCxqsSQ1qZj0LVTpFdNeq1R+CIeZlI6CUKwJDArFWrT05+1jfy7mDK7HbyaFiduEOEf
2vRZOsQZOZxO8oFIvH9Tvh4j7cqHjsi5V5Iw7cPmGbQgybjcvet5eDU8dg0jM8OZXfRu1i9L5ids
knJmRRBBg7wWvYcv8/PstaStup/ZwGrIcvYfHyJ9zlQAAcnGSJ+uiFP6+AGsFNw8DNJf+gux48si
kEPWyuN2WoWx2chD+eGM29/kyw2WO+fh8zuKiAmXpr5sDPbbVUPz86aidRkCPb9a//nqC+Tg311/
SRxg4q5R6im/6ts/1XiAFvSRfCvVvwmM0YCMYLUk4BCZAbPf6zzw4qMRTPsYhof159NPVpxZ2ZGv
sm/OOthtis1jlx+70/Ur3xphdSh34orJkjPz069HYhUIUdfXp2XOccmjstXD/FB+Uy2lG0bLjHcb
VAlc4xb8HS3ZjDYDbe6EleGEIUrzfLA0RoCvxhFZ+bx5vR7i3dNXWT6LAK9JX3Ji97bqPnC6w0wx
GMprKHlDCT+ZiyuTsTV4eZsMFp9wK1c4UVNQpW3ZuWrryQtULfSAITmn0WmfbHpP5zfQT8dx09hq
wGjdj5n2nsuTeah/ylMUMtNhip1+YH4dFEvZFY66ZfrNMFXiOUs5J3JwajvJU10lfOK4WjLpijUH
zA886mqBmdatAvQWpRgAKy2C1E5CY8tUu3wSRus9c/+W+1UHyxzvXQegan77YBMnKzh9QeMh15J9
ZL6IBkURYvYyQ9JlrkyI+K3FPlmFtw3bYfTZ3JsNadHLO4kFsGeJVa0Wz+k6Eghy0JGDm6yHT+VV
yGm1gf5MgHjuDMvkrlLdlI/3oGVcW/kxRT4DJMCFAlIMiA9c6ElZYyZMuNlmaHmZ5nUZGPclSogr
cwJz3rOhvy+4olRpKL1L7z0JtZbcTk6+yRODjA5NFvLn6f5E+RAr7BlRDtqPp0/QrvEFmftWeT34
FV6xYk7bJL1THHRbRqfNh/wFSULeFI64uX0UUMGAI0quKK8FBaAL1x1sS/OmsEhEaaH289PX1/ZN
OHGlZbykNliCkmUmLmRQGuUi5fdAvFV7CvhhIT+InBOwEkfQDh9eocTuc9gbM0+LYm9wOXczZlgZ
PjNqHdTtvDePt0PmKQXBWmTDzzUPU2pl0wpIoRTGQlicuFQzXeaOxT2l6zh7l8Dm86y3QdfUVoGx
mOoPsTFEIDadAADNST/QdRYHRM/JnJnWiF0Ec7dm97hZcgwqT1seACKx7i/ms0c/l+5ccMAGQWiU
DjUFnnAP1HZl5qGeOLyXzdlxpnjXCK6xO1bgFaE4honuz2quTNiTeV+pTGkfBYpFmO7PKZxviEJF
Co0J8IBL+wQlKm3WrGxImxWvZHsQSiT6o+Yyou8KxCCoIaCYCCxLcMhZV16FO3PkQ9naOsJ6/ObD
lpc9LYjysdLxQ8UH368yY6trayE9mtkKk792P2P3hcelCgH3Rib8JGhJCavg3m7EpVoVQ05EPBR6
3eQfa3mVPkTJ4iRsbupmXnW+wBWotZMtpw7zHjwabIM2VVEsuYTzNEctcwnflSyok5yZBvTLmD9v
84rDakBH6sHGL3kBCY524jfK9ehg5gHlVJ7Y4ITAZQIdxU6EHGmAbkECCc7xwmmoB2t3xgvFcV2e
1OtFG8k6RuLMgP72zoUVvyJJQ/dfTHpOD41FtBK2vEexUj5osFNUUQD/GQqAAVWD3m+ub62yxiqb
ddZsYDK2TsbtNXktAElp7YkXnEBsGRtq4iQkzeJm/+nF3YzZ3PWnM1d1FBaDX5o/eg4Iy+2HffIM
BiYMUvI6zqimj9e1sdC4gobXn7xfZruGvDx1O5N90zhyVm4pMj0OLU6axUy2JFyRRE40S4GJGr0I
MS8i8gK77XykwHTz6aHT7OIVu2JqUPxakbTkvQMlQW+8vLczd/aFHON4f+HgZp1Wd75+yVl4Up7j
2DRhqhHasdPvq8xFwGIZdsuYr92KXx0C8wnyZOcRQGmf8wx1e3y1ESULw6qfuXG76tOwwM+0NFV3
mHklMNBTxkAGNdtwyE+AzgTxUjdcuujoH4LHBupG1u6HMGK+m2YPClNzBfXOSNmMuULA0w7jdUne
PZImw6pLm5qosu8z32AcYrLlTewCFT5sFdTF+BqUDckZhvwdX/cTtQ2HFjcVH2/Jin3FfVxrd6e9
coF7LHLJu6V+o0L5Rq8ABoW0gXwJIy6+Ad4+89HsHQNVxX0/errhdZKNxkK87zl5sjcmbgAL7lvD
PBTjqwLLjSurPSmq4QFw/mDj2mIxCW40lroNNiLuMC2EXRdw2LGHEmGpsFVz5dipBocTnZ7uheee
jMBRX9zTJSuqiIxART9XKRGivlj6sjRvyQOMQg6KofI5ZiJqcURjqAbPEd0RMsSHg2U7zYNG9RC7
X/MtbxPhpExqMQRiPH2pT/2bCktFYS4xiZ9kciUrgnr2yf2iC1OprxLag5ePfZosLuh3gBLIgnf/
ZgM6mfoHfvXcSwugtayRHfq6CAvqidNlL3n1zBcGf3pX0vN8UKYgmDJtBeMP+6yBrGT7odFjcAkw
jjBzsEPQwnG1XdNNou1uhuCGGKzzAPOoX9l3/K5QmnDh+OgkoGQ+RNy7R1n/BdZXM2h1XV76JzHq
TLCNZ6jw8j6APYu5l2WjldHbz8ANixqA9EmIt2zRU99BNTE7Z7RwT15TjsQBt/9N/pI4L2iTfFBF
Fo22Wx8CRaAeoEzHxCMSl1ab256FgaZ8dsIyguAWv5h0cpG51UhEmmTM5soYONBejOblbqyjOyQ2
Gr5Hvu6gMHKx+4EvQFiHSTfT3WEx8+AqljiJeMlF1p6EARj3tUG2EO6hSpvcmVKCj4SEMS6pw8bU
Aeu/Tw2D1xLlqfTrx/TYtQ9AuZr0Zdy/0oIhfjpaBfrrDppAPmH51MW9+hirB+XBh87wggZ9tqGU
JoSXGV/Bwji+4NiUkN3hb3rguRjJAtXSZacfR2EnNoiM6IKkitUdRq5JTaCzsoz3ejpVifuSt3Lf
eANFSZsd7pz6mvJcodNDEwp5iZkjjyKfvbQz1pKfSFBjtOvsXauayYiBei2JXYGMOX3EHYaycABX
0CbaQb8mezRtg1oxzKxXt5JNYjMq27rrDl03WhrLUojND/A3MJVALQEKYWB546Gia5pcpgVHoaux
FE+8IiGfLhy/Hui65gycSl5W6rrUySKrG3hJ7L4NxG4p0FtpYb9R1xkpPvHnrXnrmu9Zu2PJEEuX
3qRwPj+aHz6W+o7WDiG9LL6o/JrC7dK3fhX5eMASCMFHsbJytBV3Azc5/m9a6AgNHS3+d8e3L27y
a0HaKjJJ8XLjcos3IfJHoNdygM8yoVYAzIjnACMPbXBk6cM0KbtTEM5c6KwEgiYfmDOzV/PrXji8
Qs2bXZWcSsOb4LU3pgnWQL4YxhrFxgGsrpUz3l+TSeSC6BeMqjp3zWHL+g5nxdWl41O5r5mL3XMm
gr2yBxoCTCT0bVQM7Up8Dr/N4/5rk8M1wuQkHZckbE4mi/9BrYXInT7vTwuW3zyRf/353xcseDZF
WMWiOaPZ4y9+8vcFC1+CZwfQWDKndcr0pT/snL+tBUA8TYmmk8rqX3ItGTunoihw/Okqp6CWf7Rg
YTv/16HpXx86rKnp63/qUCEwdtH1ip2TtUhP2DxmDFbPYNRRCRBM3MwuZbXHpm1D9L3ZWsW0w8Am
w8iDgUcdPhyOEyzfuA/zBTfBN1DK8LmuWuImYXdBbNHtjAmSCDp1dTvDWTFJ8kLS5fJFPnmfn6Jv
7hNHdf7Jm/dBhhkF/mRb52FoAdsRw3Qq5OhcIbnWkBZWe4/PX84hrisVAVFYlmovzn5UY8tq+PkY
LOFjBN50TYKHkNs8jx+w9d1i9qNjgnrBLM3CVuQ0O1surh6sgPeeuhnl1zSYcojhy0H9yxZ3P34x
7OGAJKiP40vF9y9Tyjx2qbRMzb16nVzcsHkpe36i79u5Y3ndb2qIAXjcGV4s0XOw6X+vzgm2/3M7
GfHF3lmImADr5jRmcD+Zg40Bm1yyvGs5KBlTkeadj4sBdaX5DJndpfcNLHfSOON7ICgdZTsD7Y55
h/GYI6RWG/eGx5s+TqLtjuZlusL52OENUlaEiEcE08mczKnxsNESi/lNoHaUO7G0wa97kvEkwGGQ
rTxITsq5CKKQF762e5mufGIdC1ZmUdyzVYIjcBJWAhKmcU9hMZnCoN4huN9r+95HF+uQwo1An/Gk
5Bv9VmIXUuNobWXrhr9Vvy8bBmoA93t7dsf+6hEenWMMzPat/URq4qTpgbyvZpf17rC4LiEQUBQQ
NOuOsduoYRsF3fbxfK0Q8J0R0aJ8HWnUb6pXsbeeODLjS/yJsB7nboa4DrVu81xANEjZl/cfT3y+
CKWQOLFOnq5hHQ1O0uQvI4RVJCICoqE1Q7t4rqpeu6kat3vQZELpMhcl/KZ+XtKGRm+N6SpIptEd
zcFiMuNXPQF3snL3uzdARXgnWQNdzdCARowmycDKhH1p9oNeJPUVx6D6JCsvUF6GQIQI8yCqhlCr
mmdmR/06NL4urus36vU2XYuPd24P6Ufv0EHp81uFhY0EVgxOeezIZvIBNTr/EmCxqeUiMriAbgZj
Gw8QDZmZkP14X2e6jW2Vd0FCzfY+e5XwhEJ1JVy3mlebGumccby+6kEW5q64gmf9KLxsUaAW+Uqh
SrDaspA9u5IneX1Y/FQ/10t8dOjNrSWo5gnZfJt/SjZg6avV25OPV7FN77aONlLYggSJj8M5Pw3n
66U7C+/Dp/lO/uw7ErYz+emPk34ULrybatx+a2N5WwimRaYY6KPiwKRKu72Nj1fev8MbwxVQ/DZj
LMLCGCSrHvzgBWDbhUo/IOwyt0VrRy04J3fnBcDt85tPEM3OmGxP3rjLAPb+ZrhtwJPYNy6FUAtt
N2Hu2r1GoGRuGGrOPSMJeN26Y7CPfXh8xIJxd3llxHKT6I4QShcu7fHroXTuRGGS/k62J/5ADvvm
dmF8+nBUHi5bWkSQe1g8dswqpQzSxcA2AEmn+JwXl+jcHS71kj7ATH1txziFt/ancOpc5O9bxGCw
g1CjW2UgwCHigMgb4D474KJvoDJPJZFsWwCfQjg0CMcss9mX1ymRTsW7Ufv3IxKwdRloYRm0S9Tl
5kU+QsP+bWTVNStmFuCji/zkMRl/CHjz4xMTkylgMU3AnPbevDZDWtjZlFbYhDCFtHd0tYzUafWd
6e/IL6eXDLuExlLifmZUcj+jcJfeOSu0b+aFhouuzIF7BptzriHrZMIY0v6RqNjvbgtaPr6TSQiW
Xp+KBWCF07rmirk9vLF2KS7r7XPH3sBwhTD9FWAYf9FXIljDyIMQTMQkyRCat0u1y86wqiVC//QI
cyL7icDwOfAeMw/3YO7kDjtKZseL7JOUURDX2ksH9QnFkhP3axJYBmv2PRyg+mBpnF24LX4cVCap
g7pNqefwU9BBRdscPUge+fzlWbraC2jku42XcreYZtXTW4DCTH7n1E+u4YHWcZWfWR6GXD5YN/UO
Vz4mdu60SuDswheKM0Jh+nMMkm0oAe50jBdGGvNuB/Rq1VoLeaW/tCHT+oxn86viOV4oR6BRpn/T
/ZOwYM215D4njQBY1OmfmmxxFYWL1k6XcdHTX+pNi3R0QEaqsNagicbbggUHB0LmcnmD1V2FYLYR
m5oh+4RqieJSmmPS5J88E/zWomzxDPHxHk//5k+jLvKK3KwpyxF38+CPKN/on9wcGdvnc8+3P70I
czEKhMgdEcb9Krn+G6vLyQugAOag0JsZGsuA/88LoKEy+FN1+e9+/vfqElgzWceyqJJeYUp4Kf+o
LvkSNSefJN2CAhQhzu/V5S+2KBIdhD2aRH1p/lFd8iUsBRBJ0UJTZYqi8Y/kO8RK/R/9wZ9/9V+O
zT9Vl1J97fMukhTfmL02tDFsuHufeG7CCe7E6xYLJC83MFXKUkdcsO8ulCJS66VfOn0+yU8QqH4e
5pJ8KYFGv6oJEt/AFeIPTRAda/HJIaXvhXExVpsk3elsd2j3xEXywZJqlrvQemLJKVWvSCeXftQt
I9HptPDKMj7nCMxQSK+NBiriUmSSUx4yJciVNQ2SLPv8jOw8Azxzxw/oBUToJnZdYSDk+khplvn8
B9LERs23FfMo6dVUmXP9BCO55FFgXLL6O1ncqEZVnELWN8oJu4YEl52Z+A3wQNoAiCcnX3OfrHqm
pVSBwgLaVHkkVWFCQ44QWK0qUE2HKjEyVcwCrjaVhw9/xgZArtnUEmOJGQguhUH8nkUQL1X6omid
HPo/FkuILDpT9FI6tLEUMpRpUWcAhGcdRHxwDKZ03izQPVssIOYfApYnKXp5FAtdcPQf/UcWfZCe
knBBsHMXNzkptQ3mygg34NoYzHnTTTWpspS173RM/GenvFXJ7lbhGEN51EBmu5sB0IUEC9zs1VAv
WWHPLn2/M6v3oV3k2fqGGf+27r3mJd5c6sRhBoHuG8fjHiDGy203vksXNMJD7U0pSL3/xI8WLxmn
P9fZUVnrHTvaE6uOOlnKqpPfwj4LjHgdm8G1WCtJwD6e3Iyr2xDc695zsAwqApEjIzg7VZdEcPUZ
eMXbWeygOzuRZKcl+1lrON+D6EDZsyMViosN63yJoVpgbHq2yu1nx9yQCowZThL0oYjJMnYZGEeh
egBn4JWrq6tv5e247vVFKiwU48DF5MH7ebZkpsrsq8q3YPSTgXZ+T2qgQTZXtYFIo/P+BapF6Swf
eumlztZl6lTS5YrGv6Sj0o9Fcmwkxthv7ZtIBoCoGEH6ykIjgcIHu0aFHDrIlG0MlHPlHfK09nid
HC4IQ+jv2HUjMl8MEoHGoYZXJYplTA/btn2bgQjLW2adiMvVCQRxA/yLeuPBwQZ5lxWarG17hZYn
/uoLp2KkkBTE7fLaov9t3BgrSlm/5Q6gXslnO13Jgawtb77pFGhFciyp0urpFWG5ycMn9sfbe7UC
HjLKrvxafY+ZMwmm69KR+Ut/BTpOagK75rA+Pi/9Kd1T1MjnqZ5s7YhnkwXlFE7wVr5FC8gcdHwd
b/WYsK262kgVIXROhH01LYCYMTZqhM+ap2GAiUU7FpsQL03dioePx2Is3pkLAKfEwXndCKx3NIrh
p8Ags327Gwnaiyt3x2E7PlA2SUH5azYNTGSMAbB1xVeHBLsTG1+QjeC/+lI3CVT5o0zjCfM/D1Jk
Tecb/nap+/vP/3GpM1WkrwhRDR3B6jSj+X2QQsKsRgzCb5//24WOqyMKN10GpDWTuTz9a4wyXeg0
UyYrcYYXdCb+I4j2ryvm33V2f3rc6t+dpbd7IQyEls58bbKwjCtmpmW9rPJNzNv7GgyNbI0Pw0qe
qWes+lF3nmjJClLeiTF/7e5A7qnMUgR3amEp0iknWn6SB7Xz/vMukau8fkSvRRXQWNY/KChMwS1B
MTFyHDXnIZdOAwm0UqxWAt7vVc3zPctejWg7GmxCbB3w9jW8hgXqb5oIUu/6oNzJUK8+ZzQxnLVp
TxEXoA1LXYmTzjnM4Wu0oOTnMubtyH3KlmC6N6ph2Xpgs6BZG35uRxlHBDp87MMHKuOwOoku5rj5
m8hmvhO3fe4hPwOHotzWurSPquUV6PcwWUuZakBu4mr2INc68XJOKd83N91wCoOkFKk7FoHGVoxt
hbWXSNiPM5O8+CUbCVn0kCCmNY/Pqs5YHiK6tY0ufxIpmBdgDpP5eEfBOFlLbntBo0fHMZK5leIm
mo/Vt+MhylBdUHSWjxPcRJ7sGY4GFbbKelaHSuzoXEJLG8UGitvbDEgy5w7Di2a1VQ8b6a0LEwBW
0mfGTJsJyfrJZpjyQHXENMRoGGhzA19OmR369J24q1GfdCcZIBewAVKIq3E0Jp4iblzwjZBXMd0j
DmFxvZH6tXSozvqqDhmhMZ4OZwcx5EUbP7vwl9mhdkqEQONWEheM3lxtox2IpmPjasIbQCXAvpzt
Hu+bmBAvrzUOebfgQT7PQyidRxroN4hR2qu4rd+yVQ+45oN+W9adq/kq9WggY/t47I9cpiyh9AmT
hMf8FecMuv2mOMvX0lJZeb0ouu7JTWAGylfyWp2Vbf9tam7yWOG60f3mU34s0mqlRWHSLMeUnN2V
Ser3nQSaYvUYfbn6UGlP0ha20NLMaLuh9Ix+DELUm2g8jGMafkO88NpiVlPlNR4Bxfye92iLaEBX
Vp0sH1mIwYVA+XsfNlmHww5YxANBdxELvB7ZMkY4QXbD/J4dagbtJdszukwQEcyxZh4uslUMZ5Od
JzuE49OX7L7G06LQ0cCLzNiIIZgOxZ+Zqyxar13dPTau9t27uumRz7mPy5UhSmNPTk0ybjYb++uE
Lz/E70rHel1cYExT3ALTEI7Za7+BE/LJfrRaQgsgEtFa27kn++kqX6Xf0puQW2k4gKkqFiz1o94L
sD8gOqXvrl1RQDgEdOL6HrsYuJvJC+owFwXkI3wV5/6NFQPt340pimo/t+qEChc1i0WbB58z/hFD
/BMhYjLwGlszGJAYSXPtAIxdh/J20raPo7q5LjDlDV+IBllbcQ2mzkplDDkNPGOCLdiR3WzWQIl6
xgPDiFWeuVxFFdD685E1DOw3aJ0QLKh3MQ1+3GDGMidpAFRxmDB5Wvbft1ULRRrl8Ql9J2culsDk
cixzi8u6ba5YwyPc0GY2UuKGKUSzwN0F9N0dzzOkSmCGrhO886p/qAkXdMo0JAJ3cBaytng2Gjrm
vcDYr6S9ZitaMMpVieBQxkcyn2EDeGaTD2YqZXweEmRPI7u59+FDg/aBh+cpw3bNwk4rED8/5tV1
HzUP7wG2Fx+fmPqtfp6VtkpJzYmHMSOnllut2Tdpau2vWA6/eI9PcMCKqBKUBNCkvOpTZSkXlzqY
FGT47zQryUPyr0ixoxedwNJqcEkXUbRJmRT0n0odqqhtTsWXiIVusI0LjmIsQULK+vpuN1+KRoE/
cLnYRxE7nGzNTjhJtiPuffEFENhBGslF22WkVDJR0KOzqeJ3oBFgX28iZ57D3ABzl/UfM5OzCrrn
xUcs+5Pv+MGA6Tpt9vRTsxUhmHcW0kZgSrGEuOWnxs7WgtdtXL2egSd1pGPaBineoRnTnWHN2W9V
Xo9G9TOrbZCOjKCfwZQMOLqCOO6rfisXXDxqtz7VmBTtcQU/NnyiyIZ0tZbK1YNODG/xNLr2FD9z
xkX5cgeInS1ZeurRasB32TJjiKtdcrdmpbxvIwZFItMng8G6ztvDZOM7IMRgceFz2o9h5N7csbNJ
a7+u+8x/1H5tosHhuFGfxAXcWdm9NTVRF5CAsGWW5sts8pVgQs/o67pehdAiI7TCI6qC4zXO6h2y
Rap5wLyLYyaErYSuv80cTRwWivI8Fx3+8yFZtJ3CEfm0Tbl2mqG3WnZ8suCqYnrOMHbqMm/arGc9
aq5VKQvgquQNy/WNAgBWuT8wtsHXePJCd9K6wd5FZFzsXetnPq3Ssz7dSRWsf/6f6oCNNE4VHILs
WKefRQiGrG8KhvswjvKbtha3Hb2gMdshR5q6jq+ISh3N7QxoCecwxIiVhQIBPyBhwQaMasb1c5b1
DcI81Y3G7cCzb14qsjBUk3B2fq+qxlGNwjfCXIpLQ9Vvbls7CtCj/gnMZ/QbNvcIcgoBhMRtnDL2
oL5pfql8xfJpRrxCfS0YtRUIfs3XiNVmfFXnurmpDMvoUBqSylEH+WMhm5t7/1oeCUxGECZo5+lF
Q8ZxvOLIswW79Rt3ZneLPGSV3bMdT69W/bTk1/tG+9EYTjcBTtP7MV2Dylkjs1fx2qOLg2zP1Wvc
FO1yYJgc4fZ/QMr/io/pXjkRUMgy4OYKUm6L5oQYl55EKlLF6fLdNlnmE89DJBLQw2+TGxVUc1m8
P2DoxT0Pzv2vbQBYJ4rEfcmADZkemfo08PlPm1QMYn9pAP7dz//eALAuVTXqdVNlQkW5/5dNKjmu
JIzB4jUmNsYfsy7WpZIsK7IokUf711nXtElVdRP6GMvUKRT9H21SJaxxfx12/e2xz36Zcf407CrH
Prvnetl4bC850wsLMmGuTGoFX1jI78ZL5cY/1RQoySqRMQR2Y3vk9HFoQ3afw27w2L/GP9PusHLr
iUgN6BmowmHYIerga8UnP9NvGBHtwHehpTwPu1NhT/fm52eGvZhApceK21TJjkEv+hJ9o07RYSP4
s8hl3U8CBW5WfGOL+EezeXj5WvRYWiJPOFOQjRseGQ/5dr4u05hRtAg7YcJQl6iIXFSSd4ye8ntd
WL++WWHCLR1Icvgkoyr/nLjhn9h30aCwEwC15A4eNwZCDDlDYZevoDjY1+IoXyFHkN+jb1AgyPMc
+Z3P5+ecuZ0bnTj6P1hCVW/R6M1YKC/T3lWdeooybeDg6sFIOJb1/Jp2k6ybjsZ3wqx5e+25BA3E
lfaH6BRXc37q9mn+Sjcly1QFBIqrx2PxxQgnkFhRlXlIavWa26re6h2aSRu0djZM27aWj/Icq5f6
c9uWa65jywxvyLzb1/t6fV+nR5zD1N5At1xNd6gcA4izIvFjLHemMAV2mai66je2yjgn5APiH8Yk
eOMtZSUGVWElCGrJCg3vnARZck0ZsjQt1GUbPQT3yuPnd+WhpefnhkBanfgEhoPSscfqR7QXDNu6
d0YWi87wzvfn5bS7j9AkAaetLRC6bL2dp7Eag6IFdY9MFlgxZpsrr86oB7OrrcQLSQtMUp+cnkCC
K4pSzYUtTMhFAMUppGNBHBuAwF2KYBggrDbz7qUeQ/qHMXEIqGfnzmb6/vzskIYmyQ4jc7xgFLnt
A4Jw5zloFWpZMXyIus+VBHAx8SgiwfcX4HZckUe3vGgiJu7ab1HBvpvqtmP28jzUxsF8kuIT26nw
doP9ejL6FzVZqSXbJgd4sgHBzGIHYXwatzDyBvCgKKBi11COsmHzGuvW47lRb2uF14kdOX1s/8po
LUptA8Wy8Aw1/RM7X1UHevgggXdTpj5e7ncsELI10P3NVxuzPrS9nTCsfivxhk1KouSWWdTZhS0I
Nlfwd3aNVFBNZWPCLI7oF7b5ViZwM/IihJ3VVGUTQ0PGRYY51ZZ+SZl6AGhwjulEAsTn5WW2nS0Y
uQGi4XHznD235sL4rt7YJnumqy3xD+0ZDrDrZtfVeasPFu4KLkm7fntkrnxkqSYf72fzUsBRMy+I
sm+Lbit8o40Upo2bSuv+rdoPIs+RTH3KjB/20js3wuUWVJW+zG7WZ0thK08azHHNf2IF2DNHJEZX
+BaDjqNmz9z4ivCzQpVq82jk65rEWsauLL32LAJpr6eqf/Rqd15+orxFdov4omLvvsB0JBJJFPLm
Z93X7/nAGnI6ANCgigGy8yfc1OnLv/bNExO2fmOPyN0ga9/jToKRAf/U5HDp98I3D1BzzAsPh9vA
R2De1+jP4AnSw2+RUGMQRrCZ+PGwzfBBkZNUEm4P73fD54VvnWHnNrougbfc+O2VFTgCzkY8hfx2
3RaxpMXeHumtLb1rPKUSlDhuTTjpy4n3RZzX53Tksuu8LbhVTvMnaDgv5oXnInL5FuHEQ4vc6ffg
UzgtEsvDhVV7mBMKfmH5yIMG2neb7lc48dvDXV7y3PPwAALrDvd3UZinYte9LQYA4g6ojRsYANJq
QZwi1wKQsqDdJ2+otNlS8t/dpjtM+zhw27z72RC/cP7yZchJQ4Bzo2V1DFe3BtxnsZxOzgRj96fR
kpeyzQ3yp3+vEQswiWDVgBAXtAXG/c/sk5swjLkwesNhXBO5a8xZqrrQePXpntuN+R2yY22s5272
zQYVbARsuPMLhqxrwBf063JCfOy4ZbX2krO0Ul7YnkorHUUCyWEhS1nlJcIoMAf7wlca9rC9xw/T
jMF/ZztaQu+2ixB9/7DKzsnncNBeXqTV1VzodNn3gnj0eXsU7y6ladv4FZ44eYW++k0IkzfgKpCC
k9U9sccL3JvEeWz595oJFIt5BUFGsyacA5z14wu/dbxoj6k/yRfn7PwT00cNcKu2BbhPutuYLWt7
7Hs7jxlQ+KBcRLs9omjsiGgAZnIvP/KzuM4/aZqZHWG8tgg5hxzMk5iL+JwOupttlZq4x5j7vAfw
8APW4heUuRFxRMJOSSlof6YzDlsdRP+khPtPJANwII+VEhYG0ZyuuI9euByjUWJ5+5iW2Te/2N+3
2RZbH6/6cHj4KLd00+E0BeAdUS29oBVZPnM61Qfn+E0MuyO/+tEFpXpuPV7jdltuyw1SFGiQo7kA
hI/+pCH3BeoRSC2UkbDAWQo/Z2u0LM/p9Xzusk9SJ9zZ0vSbPVBvKN4d/1OIe8ZqpjjTP2KMYhpv
Nob4PFnErcEdwuwSTs8+tm4ORo5cg+fV7Ilo4+r+BkkbJ0HiJTmqpgnxnWJi2reg5vf1Fzd2YqYw
gtOey8ukdbRL54TVXLavnKC5awTc/nrC/nQH3qdU6jQAVrMjMcoOXxBGznnfewYHD6MiFxZ0+PSA
LR14n5XolheGz0GDdEvz495tShcJGZ3UJ5rUDbpVlhHGAnnAt/LyX1vgq6YxExXYvxIwOYPd8/+z
zGa4/pcC/9/9/O8FvvQ/MuW4ypacWTqpxn9iUUhwglUVduO/mBK/r7Jl4394CBj02X6LmNwnA//v
QkmDIOPZdFsEaUDjU5R/ssoGofzX6v7vD9z8W+5FVqttwTt1xl76dlSehV8+yMF2VKHxjKp4ruvq
fuhkDim1tjsAmNk1/3qItZ2auKxUQFpx/hNx2kziH5M93hUztaLQhlMQZz3eHjxhD4h4Vy1USsYw
1RNSExaqCCH3g+CBK4HAA+MjKAkjA91Z0h7iSPiOMUFIJJPfyJqr+FZZbS/XxIBtMTnblqnMRi/S
Pp4jNtHrLIhNkAVRoTLvZaZaUKPeuHTcdbTBGe7v/CEvtQjTLACjWLktDDLfs1vz2pkaqOTEb5vZ
Wja3QtqvmjyD/5kdnwqK4uoiGiQb1CSG69u86dbGSIiWdEtQteNMwvDRJWx2q+vq3tWnasw9HTWc
hLg8/l/uzmy5cSvr0u/S93BgHjqib0iA80xKonSD0Ih5nvH0/SH9Zzkz7XaFo+9cVmUqJVEkQQJn
n73X+lZGk8YoQJqpj16H2qTqGm8u1N5+FLuj0AXtPFUJzC3Hrp2JUbZTZI9AHczQvcHlNeEajBd6
TLCiqHTtRqO4pkGWHPrOD/elRURQVjFvaLXu6199zioTLFIkCAaNM2fC323KAcH8vCmf3vq/3v77
OSv+ZqA+0STwMhaXA53z7/tUjm8ZnM0W92dMu3Lu9bu8mbOWU5xv8VU25yr39+NZq6m6qZFzI5mo
Zf7JWWtMJ+VP/IufH/nUM/hR3WxZvtQIsczsup8Fj111odvqKsOThAQFVwK8pXlAEinxla7tzZb8
T9tn9y551n2ZTFJclWd0DrucCXY0PwEp+Oxn78H8nZmv3fCfseS0XCdrbdkteqjJ6HVXrO+z3RM5
i7MH1huiSvVV7NR0+M4uqN4fXprT78/kR6YtXM+/eIb0Lr4hfEREO9P3f2g6tGUQa2rVqUurWpbI
IanSkShb8js9gXdt0SXdfuVyQm+IF+eD7UvjUNewlEPPCdFvVxuE3CQA1BkA5ptOlJkZkODFgE5f
E5Xe1Q+Yo1Frp/0CTbS8z6g2AaunjxQWlo+a23iIHkO5n2EwqdoFhJekvAhb22J21tzcjpouvsR0
J7pzudPILL2E7QxlcPgBrcKba+Exf8JihoG3I6BtbyTniEED4YSPKfWztxU3cDgNYWHuM8fLIZM/
JvJKPivH5FEf5uqGzaR3qR6Tg/Cezcj7nnHhmeHYc9ATL/wF9sH55XRCvMxvW17WtwJwzH6I7Js3
u8xOYLJ43D6uqX0MvroCzUZjxHB6yjq1ObrelxctfWMTJiEuOFQs7K3ZrqeC7XlfhYqGKfDWo5Fs
DQICBYrrxzaOMdYtmZrKCCrmTfUyqYXNmavPpb6bZ+auwDRl6PTWlXmenMUCbgG+Gn1pKMQH0woI
SRt7MsyzobzK3QzyRhLBLzuI/dlrbWkburehFc9hRycCG/U8cpJNsyRIFRemVV4Gz2Y8O55RZ+JZ
hpShDeseYCEbBrbCNXsRfoxe0Sa7J3SVCBTapsrNw4//VtL0YdYk78xFvEyXK5TYC1KEF2BbNvzU
Jt8gmyeyYdyT+8AXnZ7nz4aZrSxgTliOCCmX0EKBl3kQB0hZZs/i2cWiP/D5p948dR8yk/AXLIOO
9mARBcd+jeBMKrPt+EKQg2cBMV56NAzejUlzMeOrjg/cp1jxj4L9T3ecoonjJdsF9g6uYIeAXIhe
qRf9C8iG8cVDW41LDQVVaVyhP7AVoycP1y1BcupvLNDupNEi9DBoTSdmumNvy15zCcTR+iwKuxI/
UURmbK1yqPApTMtRe06w0KSP5E9IwTfco49WbcaZ0CDJ97L3mo0H0qWBzTUtJorTYcnen3ONCr1v
whVrPO2h0dzTFuNKlBvXCilmvKX4tV67k5Ki/TlnI3seTtIW5GhM0glHDn2LXYpzslU9xi6gP2fY
jxHgV6/utuU051DgVdVl/98rOdFECRQybDCR4DNkkCK937/rOCOF/Kkg/avbf1/c5N8IrBA11RRp
O4vKj5IT+Tf6u9wxSIfvtp7vi5vxmwn4jNVtwiz/3oz+vrjxLdLZFEtVxamAZrX8B3A01sSfr/2/
PnT115I0C4pcjTCWhuhCOMtJEWTzScuZYSNJBGeu04y82QUa/SnB7oIoHQ8PHyQ20JDNmWSiTGZt
4M3KtZ03J9pkADH8hT+b2JtgJe/5Jx/Vhl/DB0NVkCQsHxLie1w+Z9JcsKOxrTrSyN3zQISt+ynv
Ie7y+/libLfFytdXfIeTIb6zxvR4PJBuwx/lZJ/m2OM1vtfP3P145Q9h25FHRqs6nydoN6bHOV65
3xAU7jLAaJHe3E+eQZUz5LXdkd7tJJXuhj3Pt9rEd3qc088Cez2wRnH3ub3tzqyPmdNMv5L7yGjA
sxrG90ceFEdMkp74RnfmW8NS3hcyQ+AVHEum3huewuQj3EsnFz21ikATRyKVOp3xydgX0MPmwOgP
lr/zdx0AJJbCd34bG3Ba8UxQ++O359idH6XrFLYGkZNXgpvyImEZFSfROKTUe3wHXynzaW7T041I
ipvLbEw3yITe+yvMmk8eKOvDNmf2Blp2g1lIuisBo9jgM9pqKw1pC2my9FqRsl20qXnIL+J3MK5t
eseApRoA3zIvAEi4KILiwjwSEFj0UBFOYr0ajO/seteNxxIz1AGoyOxtSivvnKJ8t/D/0kDrr51J
SuxDiRezi+i4p7LTRKgHbV3eNkwfg+cgfo+wXbyli99be1FzFhAH8lRVxUn6Q44/B9UJBoTxPHkK
pCX//vSWmJHXIJronKtI+RrEB+TXzXSJLfiqggRaXmrzSbx+6wkOH7QIxfXE7bjhbZyakswvuZR3
1TOuOSKX2NOHW8ijt/EVA9QO2cjM2KfMSA3HxBADIUXpT3ReRZY6Os2wAY2jVmxHoDGY76UnPok0
5qCWbXkEbp5pySkdmerNivFpQbfwWPI8oJ2In1Wzwl3sEWrgLkpeoUC/sK3RunMEakGABO0uVLWY
1eVTa55L68ZHbd38q9o+9xXeCSxtLYSVbNLT02SZQq4Q4/NWmcnG8dvYJkg+qMXkvXYSSpInHCv+
ZO0I2digwgBHy6v6OBkhOAzdidUPZJZOZNsEZxKJ5lBtotoVRLhOj+mIVvIZtapRP9Yz1Br9pWRp
086qLc0MGvfVolFO0LTmrrtgEAx7hNAUhrFfemGL5SrDypQjfW7mSCkXynLcMAAe3pPiHCaMMpbi
ut3Eb/h2g+Xk33FAp1sY8h91GoiaCBgMnbM3EQ2SPcNq/TTwyoFs8bgw0fGEXiypC+oT+VrtinbG
lYc0550+e+4hxiNkGudrAz9NcHLAu5+msqE6NWtaPrPNE5HNu2YHBVk9j4/RqVgDUkRFTCQbglMH
wxkhfQt9np+MFfJsG1f5JjjJ/gRWDVdgePfWjWnWzrtg1V9w+KsPSadZfc3jdQIG2kNZ9w7X1KdD
mDjJ8oJ2OkPpC26nmIMuTF8dxKTM8+buJ5cl+t0FlIN+5rlfNMOfqnuzaOK5Oj7ROVSAYuWAmlZ4
ZXblFBIWOkQ06itzURFg+WW8K+2E9rkDPt90dNtegnfrMybqathn4qPBlZnCi75Uf+zO+kN3Fl+g
UVGBIzd5Qh2k897M04fK2rZEu3ZEth+B3jKsm65YiOwWTFHA7NP5n4NOTqyTL8yy4cgAZjijmZuV
HyiUuTSp6IcQ2iCXXbmbcW29NcY9YO5f7ehVwh8G3qY79aU8RB/TkB2Elw+R2/+gLudyizzmAYgr
rEbhmR6DsKuREF+ED9Q4kuOO22RfoDhnXrmSBftfvD/X8QWT3ipqFDGGLv390BzV7K89tT/f/nsJ
QyIE3FgqDQkE3M/2Y/037nRyH38zenyri/5IizAVOgWWrPMDJjXLf/bn6GbZz5NtwV4fXS2q2n9S
wqiTAvfnDfrPD135BbDZumWqj6mhrzJz2BiZtmzx5HENhdD+JESw2wcTKRbJiKh/Bi6/avakJYmj
tMhn23uHXFZLSpg7LA/d1iTRJCpRFVrCvB/uRp/MVaG/pFzG+4QWdCkceyRgWeVfDITnUEWkXmZE
Qt1NGS1NOHFC+PThZeRB6O6TCPgwC1ZhW2w7nVYWohCxf9DjwPFF+glM7U3x2Sf/R5N1ssoJntZ3
av8VeCyvAOIV471t0LIkk5AEiIpUYOMgY1ytFi7USVmIn2rsEJ5wToV+KU2uwSheRS02FeBdClvw
yGdTItQzl5n9wCgrg9zaok5S3AcfFFroBXbTXP2K7J1c2prqNpCJphZGPNzNjKSbuentDMJqqXGJ
fuKqExxctAe5uBMFfK6xepWMlg57ZZd0LSfFJc6geShryx59lKDKTmlEy57IThFOiKDA9JlgBRrl
IhhWET3PkBC82GzHVrPbSf5So+4zAIDpJ1XhqqVKtBZMOn8IH81g0xFnmLQMYml+hiM6vXTbqFyi
2ls62WB5lDIx3iEpZim3jlTpNLDZDgTIJTCBYo/gzMrkRWM3FvqHrHpUBxfS24Ol4t0MXISYbrSL
q8YOFTR9OeYPLAqF5m2qiPIpt+ax/NbCz3QLDSkiK0SuQvtqkVYjg3AfJblZlNkqGTCPuh5GZnHk
jvRV02D2mew3qVWv21aRZpllgocYh+dOzJeGCTWpEOCdBgHyrnpRBDzKFJyRpsFY7bO5Qu0zqNkp
0AHfl+5OTdUXq+TgKEOKUrhHRZdJ0NXSQnop8pfOp3+B5EsdwsvoRevRe+yT0W7A0it4d0YJxyML
kgZsBjcX2QEK5WKJdrQhwKH05uGgvoxxOvF09c+hgmVVGepLGCOOVUPNEaekHn04uaa80jCSFJns
5GODrz3n6SMlVWR9pYhJY6d6lt5y4o1Cdy1COTESaU17NbC5dMAqDkTE3Ea373RznxPdqpbqRS1Z
y0cCR1VyltsCeXXo0oaWFM4Doh4bPCdadZAMCM5Fvohctv4mA3c9Rz/XLUZpZXgfetg5jQQ+X32L
WJ1KSp44lece3lcqA69A+14xRTYVgrYYHDJ+ljpz0xIFl3XMlVUWIeRvSUkEFf1snSQulUSP4apG
lD7pwStRUE9kGwawferuM52TkfdZAXw0icw5vZ95OoqL0qeph1Q0GxiqueQ/raoEFbwQgEs/pDDI
ZB5nHYHx4BRNs2uU3osIW3q2iT2gRoLIaBLZaYlkp3RpZuTECUd2n7+kWgl1kaW6RqE2uMmUIGDF
CEgD7S1Pk51YZpSjXoR1BcJQImc7LzNvOb53MRQWfmQMlJjqQ11TPykyb8YPXyfxY0g2rhUvNLVc
W8pWbMVVXjJkj6KF1qPhacDzcLhCqcbMTqlkxB+K3M5U4a3VI6fJcee5V5zlS8NAfj+eOqW/yohg
ctFbB/6pSdHqZPdhPBhgFaa5dkbuQf5ZetkHtrAVIIldDPPMjVsnQtqqlh0jNLTdYv5RQCxyRe1N
ErpLPLa1nWuMBUTrVAgiYxBJ3uW9uPNEQVrUmpZxRYJcEnk1+xOvby6CZXRIEFAB60gjzRa1QXZX
mpLyVcf1mytLLRrrZT3URFOzoBAPIb6OYv1gpLRmJWSZOoN5z4NaaLbLoXfXuZcvvKh71b19gpNn
wG4VITBKSVn19ZMxFvMKVum/uCLBS2NBA6GHwcwN2+rfNlUw19Dc/8nH8+fbf69ImPIZU8cGH4+k
TuO8PyYGEuZTna8ozBT+p9/yvali/oZZR2KCwaBhGvNxqyprav///C9GgIRsKTJJ9Xh5sNr+ozkf
M8xfK5KfH/qkYPyxoW5YfuR2nmJyWV93BUgMkYhycy7Wb+FwLatVdFAjiz4E0Umsh7oJ1zE7EsKe
PZe72kfRZzdIRN+ZyY3YKLqHGIfOK5/SbURwz9WcUyob5/CgVTiaJ76m3cWv0ne4k5TUlHhR7jzi
JElZGPH1k/XOJZq0edJxRjh9yKf8kwJGHZk8OeOU7yT56Bc8gFV+4JOxWXqX4at6NAZGkLBRjr3N
bl780u5sJJAlOSaOI/5mMBjt+P0Mzr+liPLn1EcXv8SvsFp7yVWUNzxI78Kt+Vu7U/xoC+6QhJQ4
fknLc+stNUQh2Pc1x1xy5aOBjxZ4k1tLdUO/+gtkJhCSm9nZPL3oUD3yTPgJfhIdeOseSTilNjGn
B8CH2j0Eo5OzPqEOD4hLrZ7Ec0I9don3/ia5Zk63FdEwxA/aWjpluN+PGGCmjL6NOc+XH/hMoVI/
4LbaDE60QhrnwEid3b9ybu47bEIUuB92S4xxh7w9cybgbfQVEgMD94b/EKNv8EPS1U2capi19/ae
cGgMu/iq39v3ejhpVFT4/q9yAidwGSM+Lh193qxAh35GO3k9gQTxiV6Br6FJV3hrjLPuWb+R5cc4
4KbaNJUd+Vgyp+V6tB5ARiRL+PDoqo7eqobMhZF1IJwUEeJI04ujo2wwPZWV7arPtGcyvbDm2cVQ
hnuFnkJ9Hl7HXYHY7iR5Ww1oSk69ZQtEqbHPxFll59X/fPBlPhdke/q+bDckxZt2GDh8wp98aAsJ
jsS378ukAllsy3EoSVzA6c40G+JqBXPVh696eWbaCnbC5Tpt8T7G78ZwyM4wtxbkBRZYdLZwOgof
8A+8Tvb70OBKEOLPAlJ0M3Buxz1HHLn4ql+ZOUGzEwr8UuKWEcpDnD6a2iqiN0e7yJbR92gOoqi9
QYfv1JZQIV+B3XmOB4QRHRjGhwk1TZ+wnydXxQR4Tn2LLBs/SBUdRx0GIM4a5DAs0RCEj+XeiE6s
iDIYlnOGLOkt9+b4TSn9Zy1ciG4/XlDH1WW3j5N1mWUXP36laUCjf3TnzbnO9ojmrZF+GVhThFUf
mb9q5IWoLAPxi4YXHRX+9J96UBWWddSFSzaP7XTqBixi4/Vt4nE/8l4IbIW+jPAoroXH8TBY85Zu
3qGiXTs32n6W6FjSthWyoadiLjVPJtYZoEfusEVko86pwagXZeMSPevjNTW3MGS+iZ2Ici8hqCgb
tg951TpktfniNm3v6a2y5tSkvAtceclrjZaSUo1krQ07cW+XNs27aieoiiiHxs8iRXWHTvWxbeJV
jEFetfNhIuJiremvlX4ziMpIw2rWT1R4yno4Ha9VD/f2vahem2rhDazV+LpOwYYAe4SskMXJmhOX
IPLJpeQsUzvHi3iOdboukR/6rTWn9ZZacCdp50gbMW1WvAbZBCultdE8lzkh9XS4EnS/7qLGw0S4
PRzqlLvKDGx8KvZ6Ckp5pUdzla5feR3zC8I3pEFcc4CiBFxtnXJlXGTDyV27MxweokoDd08cg7UU
aMQaW/0u4XJwj7FyptpJ1jkisniRQQTxloc4mB80Nk3aF9brDGo41+XmXqCcMu0B9IY6y6Ml2Zil
sIqtR4WOW3eOO8dv7f4FWibIpk6GmH9J691O2NfSEoog1oNmh3HUVzYpqb3xRiPsFodddJP9Z7UA
1bGznktEpNYiMmHiIsDqSqdxl7Fpi+o8ERnFmRTA3pVYnzE4pcLFDW5Vce0bntesCBZGCKPIEcEQ
Y/95jcn2RBgihzb2IaS9EqED0loY4Pxh87tQWrLXoWx8yMRFXi/IHCAIzRJXZfvGLhpYi7xs2jnR
bIrtk/0jLwPC2kLhULH20MZ1neydC19eLC3jXE46WxpYk6cGti7N5PSiwI/Jlymg3EMT7mA3U2uL
5BWxbYQzfFCAnkQXt92YzTY2UKQeZdpHJCN8xR5+8qXc6BxHxChbDjjDwTRbEgqHrd1oDkP06F/9
SYENrXdrRSvyKDqucpBr5xHib9rUUPQRHmPp945AZrsvK4Qg+OGCuW5OlTZxfp5a9Wp1TnWNseJB
6+kxsTos3ERhcd0iHiZZ6tLOi17c4owZZNYUR5n9cHkI8dLCiPI/gvorbvZRf4nCAlMiMuTQKQBM
hTqjvHfw7q76UrnPfr8i7M/tFp72QAesjJf6Qi82cbsj8SkBiw6Cv+uws82UCjvUJMEmx4wgxA/j
QXiwHuSbb82LU+IuBWnNwLRjwvhghgvZ7vA8QupcNqcSUlNxio17hDI+Per5Xmcd1S6D+uV6p5A1
/myxNvYK2C9wulH3jmd+ji+2DcxzEMNfR2HYD7xl6GhcO/yetgsByU6lbdd+9tlrN+x88e7BKRyS
+1i9COVLUSLiPrvu1mgdsoYz0LspG6mYHfroYX1ICGzjF/KlUTmQUSzsYpS1fgRF8dYBSwi3rrL2
PxtlpaIGXv2L6/CJ/4dMhp4fuh1zmvD9zXCTn6JQ/6kO//Ptv9fh+m+mqdHeg0iji9I3J/535Y7x
G6U2+jtVIsnpd6fNH51ByyJFlpvqeGok4w/lDp1BQ1N0UmZFhSoch/4/6QwiEfq1Dv/lof8i3Yma
VkAu11grSQn3UVCfhbI+uj5jf66UTes57C1WripvglJa1jDlQh9Bvaeehzh6lFy3WiRd85SS6Si1
SkWRfgn1mGZ9GD8KglhuskxkGFT2HiZFNv4BW1Y6JNFG6rKXPmp3Rs24SxJ5d8pB8VnWlripam0R
1uOKbeKqUoUV6emlkVOVMeTMGZJFuB/Ke62zoewnqYjQIePOWnMmmeWDENIEMzUxtJXGAvAcP3Z+
gxwh7meNhUk/HLvZALwmDWsNtCr9kiq+9eKlpJiMsQXGAL4laYpQ2fk5NspiXXtQxZhJRrm+S7vH
jAU5Chj1aDdh0D8a5VYFn+FgrplvwwXcWiFsFwnCFuVbzrajqodLQSKR5GqPbvbUefLFw/+dJEJL
NCtB0onlbfSYMCMmdaWCbqat0s9RUM5eFb2WXF8SNeZK4T5XlnxRq5GKpaJ+dY3mvUr9jZSWaG/1
QASYEdxLNWXBlnwqY3oHUQdwEKSLZnb7vvSPEo1NyXoJFHoTLjEPYFmUUH5TiX9QK0JjeM/B08OU
zGIu45XOWMJ0feqYSvWupOQKs5b8Cfya2RUtGq0jir3IxNDD9sQat02DS28shvOIG0AFNxCAxLOy
4lyO9VqArBu14XORVuu+ypeW0KCPsZjv1uAnGUUiBTiYlncSxvFUFckxjL1TEk8M507fKJQyipDf
W3cKLm24xAVR/kRX4cWif927CU07hJBvod7TT02N2HJMrYqY/RhxfJcHczhHRFHmhXqVVXXPiFMX
OlYGaVHwZMWqvw+iC9G5qZ00r7aJ+e5L0aNC2G3e0Rcfjd0QA0hP6pMeEndb1rs2Yqqf5mRNafrc
MjH2Y57HMMvE3LpLUFzUaCK1f8TWjU7lPOmGe1ZS3WjeUXWPanLTqT909OdCHp894LCyW29crzxZ
ZciSaM0T4b3oyj1WT0Ihx1mS1fSH3+m+L0LamVniIdVE5FWGpVNLrGiaAhH0nATji+y/dPqpifSl
ojykxnOvinfFIhdSTolchV8TKdjYLxk0XU9nh9t3O4Vq2m28pWId2vKk0ytm9+MoOXcUwygKx7Vc
3jTp3gcYUJjCZbDi+7pZay3ENNEjeeSaeIweiWvKg7vRudT5PBTCHrSTV3SPnRldm7wiAKkpqSbQ
mqcv+AkdSb82pGTmmrJrMoFOJXVvLX5mo7QP6mJbevU2VDMuOMCcrRpCvLXrfey/gckQnLyrGoCq
b5BSEpEjG+NPUYq9G11iQh7z7mb41XEkCkRLDpY1bNpOm8ejv1JVvM4Kagqjc4wquCrFg4XwJ8FK
0RusuZXHCD8uiF8eFtkI/55oWY4hEEqBqsY66WqxHiHxaYgSQvYUQik5ZiKs6nFgwX81rGjbV/08
diFVQ4B28/WIQEE2EttXFmH+kKum09B8hK3+lpu0QTmQmWwtNW3cRwZRO8K7oYMcbdir0SsrdarX
iKI6najpaecIAVvhIbiFyqUztXnK7q4N3kt6FI1XbYceRjaBWA3OtooWQCOpc3EMaT5nJ5n8yX/x
Oo+ASTUQ9KiTcfa/2WZZ5wG9/bTO//n2f6zzjPAA50xLuqH/tM4zAaTThjaeeEX592/9sc6rJm04
k+w4UDvo6P/Tb5vIORQloohnduIPq/8InSNLf1rnf3rof3LN9lmjgFpv9ZVctFsx6fEdWdqrJqDf
COAp5VxrQ7Hs6T6oMlEJZKBkwB27joiBpZwjAQx8uwouFg5vJTgPiarSUGbB1ztrmbqkY1GBB3QQ
bQYst1Y0GbAohyBGMQn/qm3p+/sx7hGpRZGZyy89w3ky89ZF429it73EVrOy5BDpPCQdRXs1Og1F
ZeKInOKedqm9zRiBcxWo2/eefiiN55T8AXOy9CBcEuGmNA+uhzLDe9ODF8laFDhuhvY5yZ4zL32u
A1JrvH1qJU6ALW/yQY1Eqn42cjEzimeTS4QSfcYku8hQCGQmmV7SMmAi8fJbPMhbwlCS9GN2/Gz0
QpP/f1QWJjtKawKNMuErEhaDcCtI2ZFhtod6MLeQqwoC5tuxhzFLB0+V1qjcPM5L+HejDjJPHvbJ
CIm0yLunkku80QBYoxEl4tRXyJFLJG0rBdk9DgMdsD24ED1vAra2hI2X4O97vVgqsX9L6RFKdc9Y
tnfpPNSobUegPDjdQsQIJNX4GfhLPWAi6rqAihSEODRP9KdaTtdtZdhCIhAYDQBtTN6bwFiWUJS6
joiU3F3K8ltMoI7bpru+kpd0tFcSmfJDksKwg5jsvVhSTRVArfKijUhiMG0MivdWFPJTZcqOTnhL
1taLQE32cSU/GJ5mW678XPrNqTckInro2sL3EKgJesAeUUXwpF7ZlUK42Pje1ozgNOjNWTIXRGVt
9aldki5TWXefnb7HLjQJkKuW2kbX5FVCAcCK2tzK3vgqR5+yrwoeCtkzbR3oRK/Apam1luu9H5GO
DWVTYRAtS6TQ6/QjNKgbKeVpQuxwqCHIUIJgb+q8+mP6nsJzDZPsyQjrWc4g0DVGYsxwHU8xPf3v
4tD3/n97n9lfaM61P0nOOWM1uvF45in2Tf2XmX0SKGnbjqm+aksd5lA8ZEzlUtlSP5IkeosGoTmI
jWbrhTv383HZicYx16Rt4bac0lVN7pq28BS6TxkJmmwuFeSJcT/uXQm3jA4S1rsPoUhFFC3lQFzU
VWD7FL+K1l9iZumDRBpPeG9CsjrqeD3SZpXJLw6jCEE4nAxK4NC8V0ME2TSYxYrkxBiUa0boijXu
tDrYRoq263wwGV5iGy4ACVU8y0q3/WHz9RfHadqg/OQ9mA6TAlFeRtuh4nP4eZBQWUki6wnMDV22
9lD5mrY5/4tXOBMMAxtZRs4TvkH/+50s1DbWiZ9WuD/f/vsKJ/+GDFeVdNhwBjjUHz0oyHQNXSSk
2EBbg8SF1+D7RMmCo49nhRVOoZxjSfjPCjdNlPChIdNlVwo6TvpHO1npT+8DU2Z7zbZZR8HLLPMX
h0YFXTTVzAhNQ8tY0TDRauCXxU869CwQ+RoSo5qIjhXhqGVETCBX227jPvi9HPp/nrZ/UtpMD8MU
pwMk6oiQfzlrS8vtilwA8MCG0h67rwjLRiUfBPRZSnL5+7c+R+iX9/4vdzZ9/wdXSiaJQTxaAXcW
vkJFkxFr5p427/KFYYgLHHQ21/JoJB5efP//vOtfDrfYuIJepCE2XrhPWYVlJXws1Q9TPljgXqxz
ijRRiq8mCbj/5Z7/VMn88qR5R/34pHORsj8p/HBFUkwnYEJuyH4d3ur03LDdFkBx1d2DqhzN+Ni1
5I19GS3qjFXT1nOXWWDb2f/lAf3lO++Hl3z6/g+vgu/VdRhIvApsL1AxncV2V9APlWtUewgoPEzF
3QOj/lkH1o7kePPiKd7s7x/EXx8UQ6L01LBqToXrj4+hMdSuN1LednEu2FIv2MOIsQMMq2U5RcF0
J+mdv7/Hb6auny68316HP+7ylwkugNKszY3pLlmXVABf5a1J1lW5ESPmU8m5cw+DsbKQBpVEgcky
uuNOWgn+V6DwSsXAGQ5Z8umavq13xoOZeBuXFLKm2wjVVdcIp3Y/q6Gb52D2UkF03OZZNoT5UL6J
JTu3BMmysau9e0JaQvWl+8+u4tuFhe9npDhR1f/2tvvrc+2Ppzu9Aj+8yppUD61AOs6qQ3MmkGJU
qehAy1tCuANQK5GyLSH3YcgJ2375+0MtTa/e3x1q7H8/3ndSCaXgV+AZCuUctecKoWnmGGDL3EXH
yKtj6JAFwUx1P5L+TSH7ujaexZhk46j+L++zP+8jeNXZysgy+5bJjvjL9a3Os7zOew2TKqwoNwR2
A23f0pGsQcGB/iKW0T5Uy4VFe6tGxVuxb7A6ZvGta5sZLIhcWEkNKSeZ9F8emir+YtRgmflx8TO/
eYt/eInalgzQQjUZFPaaOxf01jalo262hzqnf5FZ5V6R6lNhAAFpN72RON2YxIh4HqUGra7kgrHZ
joOwFsqSLXroNIX0NqKYyYm+ChJecjPllXYT9yV26e+kUFeG+M3AuNda4K9Szwy3UUL46NDp3Tq1
DJIAB22hKmCUwyyHEI0s0c1pydfDo+AlyyBDhy4NCXEZAUTlUSUsuSWghDi3oPO2plbu4mC4xH3z
mXWZnRbVNWFmiwxvM5gpwrUBKlu2Vgv3kBXFIlEZ+0mkz3UkV+m+tGglMByNY1LmBm6l02gN4z2d
8NjxEjnYUrPK9GnCzPgQa5weDL3pFSBdgjY22H6iz6IGowRDNYurqiKas6GhcdFve9xgeU9kJu3B
TF6LyDlrcghyGSV60G5CaROSGxEXNVqn3KatYhv4DDwNS0P1GWk0sEiLLNGc5TVghvEku8eSYyTl
E6HgPTLV+ZCvE4UWmgfYUyIi2WsXygB7MN2lOKHTAt/BXkHLKqVPmnvSzZvQpjBiTmGG8QMjNtPb
low1hA9SQNdMt1uadQM9mTontiylLag+FQhKqpJp+KM0FHjI9Jk7ZHD033vdXVggLQUBMyHEZ1MO
lxHb4QiN21ic6fMV7uvofxjerVG+5O6uEtIs7dTgmtGXjLWLZuwldV+NJRf/55oAWV/tgTl+ujR+
w8KC7EoQAm4WtWYR8+cA8RoUEbp7E9x41nrs27xk15UCco+w+Ezh1ojahzUqsi2rYrXXOaaeZS1d
7BR96pNMO/QPiTScxtjwt3E3sArSaGuPkkofjiGuyRkQH6eXIpbmeX6IFeBz1dukavSAjpiWv2h5
u2ocrEdx1GnsevgFKrbJrvQWJdDFw5tZr2qmR1GhroruWbZIEO9vInZB5gBKrW3Kvp3JgzBvk3Lb
aYsGTceISLKjAsNMPrdCdV6F72n+LoJ4sqKTWyEIaAW6pDpyWIGJ80MQrEiSUcKWtwv+P/GjQSHm
64cxCw9WC6wX970SP9QS9tbkxPyvhaNRhuhkNmL77rVELbL0sMRq4WujHy3hVE/OCmFAsPcVyu2m
bku7RMVggJ71OdG6hh29ycwbfX6Jr6Qebg0qzSJ6Mzq2/pIx81nA84mt0iFbo9nd8De9FPY4PQan
QyYeB3fte4lTgss1qSYl41RB4LVQ5OLwz+Alprk4K8bl1FQovfz/cncmy41b27b9l9eHA3XReB0S
YC1WokRJHYRK1HWNr78D8vG1UumbGe6esI/tSB1JIAjuvddac45JBvR7mnSE0iO4kId1oZFNZxB+
jlsqR3KMACQtLojunNZtABwhs+ZRsiifxBbEEX12kQh7vSOkRsZhkA88XG22rMp06SOFaCLYhdbJ
7V9KVSSNz5ypBurl/lntKNK6hywD/RJh9J+soy4i4+qYPY3+U9CM29Ycz62XvlodH9xaRus4YtFt
onxB4TVXiSoUzWYmpY96CIGQVWKlkhFcpPvMCOCgMCSX3VdU5o7lhtfCpXvjId/KORDhmPJp5AzS
tYfkWGCcG0Tr0MoQG5SPJH9tIqIbEbaaQHtOI6MeE9WLSAzn4DdLn84wWheppHtvxriF1JVuZbO8
WZmStA2EZWAA0Jf0bi6qm0Eql50gSbCO0vvPXfi/NQtDmvqJZFYAuQTn8eXAYT/Xz/+p+fbPyfv/
/3+MTqZi7ocykC3+2/f/VQZidQA4rtDhlCekAM6E/0UR6H9MdkzDoEr8jyPzS58TPAHJHKpCE+YT
KvgfXSF9TlVEcUjdZoiqJHL2+RdmTULffjor/Xjp35PWqjYMxzCFLfOQ81lQWnNVDUQ8yHZrrOi4
XtrmYj6N2tR9xyuZ2VHdLCqHVAow9j5N8uJE74v4WsQ0CLygA1l2rNpRsSz1nZ+cvfDSd1MkMDa4
CfiU4V7ERRddDI00r3DLaNE3yJa66NVHNyBcfCzME5tSQlZoeHSbvcVYDXxevbTcTTWutbcCaEC/
CLwbszp31p7AgLNhkci+bFHDhFeh3xfsdf2eCcInJRBNrxVsqxBUnE1qp+Sd5XBtddvadp9ccQmf
PEpuA+G24HMku8eMLhowkjsmGOm8YXgD71ldUAJLsEIJcnydjkNsPgj28GzAtv5IkC3Kpy55V96i
K45EBMlb6di+WuUa7CZrsMRB4gGirE9LGMTTs5u9VuZePAX0YGEBtXI/BdQJ/hQCEkiIwM/oqg3D
qcrbSfnRqQdLtUk+xqbkSvBQJLQr/OezW2wb+aAoNhPH2DpboPFypN2w/+pg2XdLnLBcMdYqg+Rc
4E8rS2L3f8V8a86HpbgnsEcgEoF2J7FloX+PzZQc+iTGhguUKmmd2K+c4dyTeQfrYHJJQVdYwDkI
mgWGC4BFDSzr5pZIKU2eq0CXUN+XG3qTOiQZFv1bIOJysJZ7h2cH0b0CYCq2ifiRQcTiOSOLDkso
c2Vawgjgadp5Ex2Kr1LvTEFVaCGxK7wlkFqw1CiOJ9KIdEz8gMRJMNMh7RPQDMFewUTR5lKlWSae
7EVCLF/DJcy6J5mNqbNPygW+dPCCv70j6Qn56wTo0uY2+XUVLpuRsGEwDiXWudVQznMw1YyZgNUQ
cYx2EnqXNs+IISa901w0/Ac0ttAZeY8gjm26jUp4Nh8Poo94pVW6whuU0micOOq37YM4YTZfUdbz
moaX6BDY2ar48Pbujb/TUGTWy+xDOgi3/RTIB8kSxCFxoP0rTN6S9D7vxXjrTv2B+BBgYjRjeEdx
sRCtJ3IsgioVzrkNKPHCbEHutCC8ePpCfRseM1g4L0g+adIaC4T2vCsvFgACYl/ybWA4RW3zp0XN
Z1dxlzg2PWE2hZ1VGBIGTLod4X1XVboCoBPxwczR/RU3U6aaZCuff3G0tLubZFMt2Vk2Cb0iqNr3
6SXbmx8oQM/9uj0yvyTyrwUDkTlDcMpTdW84BlSC97p6L/MlKcDHUb9oyrJwH2hUMyTpIA/p8K7A
jIpOLucAGe6KbllAk1dcwq9F355yO/SLfJTO9Lrzrbpm6iseh6O5429G+YR5ncU1ID8Eos/aEu30
pH+UCzZ4+xUSys4J+/HYJasp4zBe98zT6+AlMRbDnppwZFQBwFC3yT6w4UIv+61/gOHPPCTN32qn
3hS7qrSH4uZPlHMG6kjeuO5Gt8iDvmY1YLgBIOidOuzrDnjCXWEuKRPSYl7sCnlyj3K+EFgMzLWS
H6PakfI9Y9vgDSUepVFx0T7q5/w5a2c4zPJ7RNPTv6QPvkv7AFxyDh4xSfjlOyIv3KDjfXExHyCC
83X9NX5G/dXPyw/SXR60J+uuehzPNUT65KwLr5J+Cqc8QIE7w3oWYSu/TQL4y+ELGi7zosN4txx9
ra/rbX0N3k0yIDg3Y7zNFi7PRze3UErcmWsa/Xb64i0x0khUd+pSz0+dtChpowPcdqp4uK3WCHWN
aP6KYJK8LeZSMBBPKjtFuu2Qct4TuxxxkDRZnidXMIpkqdO4U7seO3oe22heIUHzbUm3zKOD28Im
AeSKand4A0PYLWnhYYGewsBJOEDdh++JR7Jb4isW3/hK9bgUnhGJrpivz/u5OgNaBUSSpN29fBHf
Uhh5iGMtmweNAbUEwN5YoCgdCE/HjiM68lsuOHW6bKu9pdwk73p7o/tn6BuOar6KPnTuYZPLZNwu
FP/Sdrt038AuvJpp88GYXhuAHpYsD3jYaLyfq/zi8wHNb03tpSf9uXAdpHeIR3LDhpoB1k1CS8wf
4eoG9RLNfUyEmyHA1gfcmVyXpJpbr929twpW40W9818xcBvX7g4vku5viJIUcRUzMntXXoiCTKM5
/5S2hDB171yCthKuycrb5kfxXkONN1nru/Zcqwh7R7z5zb5fx6/DE2bx4jSiVC1mk12ILcqcadfq
5hI8ucDnWGfWHiP70Y40W3nJD8Od/B7HB2ac5GmBa0DoONCakh6s67iuzhQnKLgRG5i7UZwPh4DY
bfIZc8e3/cMUhDQjyA9F7pYQrpV2Qp3drtT75ORfSzisKx7ra7IzgJjQsrXFQ0Fq+oewrN6KtTTP
duktMeXv+VV8FTG/xXa3kFcTsZDXsHNX3sTazOtZxn3ZsIS8y4/ROj8X627RfuxQWtN6eYRP+CA+
THj9VfNe81phZ98bT6wB5+ExutN2yVmekzv6RsrCi0wBYgvP+mMNdMaYxR8KroWF9lRvaaKPuW2h
EZ1Dp6dvEdwBKYOm8FTemgKxgxHVCR+5VXqLNNhfJO/0gJ3iARJbu2JQaux50LEe06pd1Y5xU1+9
2JFWxGEVu/Ye98OFCCaUwcacX+3eomIVWc3Q1Es2NB4SEvIZWAd6Atd2SyWSXhu8geRvnaSlASmz
vUfEjsLsVTgR/y6+GueAePWdf0akXe79s/fWPChnhn4Cdc4b4eFHeZfwATYc/UDM0V5cCMijH8pV
iD6d6AZ4To62JUncnwVsCpUDy0FwpGKOTfF2XBER8D593vFC8EXbRPH0UVUryyONwyPxmyAni2zI
pcKok/QI5caSnyiPARvGlCsYotZKsaV5URNtNhWRDsiZjBYHM8XBpmtvPPMVykUH/kzr7hLyWkiF
AVjprfF6ZWR0oLkmKZVjG04+BpcZjaR2lcREAi4Gi67vEu1KFR7E8DCsYL/nmu0N73kt2t1vWm3y
Ty3v6ZBtaJahGJibsRP92JDstFARswRn6hBOQcZ0auoHCy8gyEiF3WFeT1G72QYwU/I6VLaCyDax
W85DiPBwZDCRZhtoXr5ULf8wCVR+6v99XpWlkgIty0QVTV//0v/Lhi5EN0QTvjMgiXAMtvMHlVi6
bZNuzScXdUBAtOIieSLZl9oeVwPbC4Kv4kLiyhGDWkYNGRy1p1ByIoz6D8MrzAL9BQOnhLeCyNv6
z9nBf2NNiWpGkRnxMcszsYHxH1/enZ9rSgVJ6w815T99/181pfyHZKAjZXgBJH6qHf+uKWVolfjQ
PrWzX4Hz5h/T1BcOPeM20YR89/dcEfyPxW83LYUhKD/sXznVqHp/bL5/v+7POciXp6pQu7KIssZc
cmecmFJuoC83sKVIWFQr7aSAUZkXk2dGgoBdk3asw23sUmkdSKECoJlyqvHwTOn9QpTB3IrayJ6I
Nb4uy1WqAvpOVZJstZXBUd5jA8wFfB3ZYDkSfXY1DrZeiF4v49za9jBlLRrJvYtjvZljauIGXFw2
4bbCfKLW6yoF757jsanIR0FyYwdkKdTeU4WqcpB8zKnSru011nOxewhRyetMU0g59NvmXcZ6wWF0
F8ntojaRlgviJlWf5YEU+0mDSo/VdMs7po7IRXS8QtaQr+pEhZJm7TQ8zWEIIANyK3Ifo+tpup4D
3b9L8xIu3chWkSn00vwBEDzlzGhwggkQAumjR6AFHO1Bfown5a4XkAxB3d1YRIIUlDNibjwHwSE2
gl3nNpuYmyxH4b4msSqtsZgFDxxwXDIBppBdy4TvXbk38TBlSwsbV9PiQ4p5x3DxXoQifgV9MSA0
tMI3QQLX1gqVE6Yc1fLg6nUUuGUP5TgXUuttrBH0+MhARI8f7DP9GdF6FFPj1WpvfTVZjKH4kcr+
i85R7fMT89+5OMj4Qi2WBUYwoq5OAvlfKOiV77qDKdTh+/f/tTiIf0imrsIcUxVmm7rJ4O0vBb34
B9GqigaSlnHUpC74W3egY3JlJxBF1LzTisKU+C8nK19idVBNlT7UpBmR/03HSZO+OVn/vHRTpn0l
Q/ngEn/cdUwj9FrXrGnWvt9jfiTFgYiJA5WxmQdko/K02FYuI7heRU0C9codn2MslD1MGSNGZgUW
PSG8Qlpz+MeuSLjBzRTdOtwQibZ4qZ5SW3hBm7qxXvLbioSs9DY5cdwiEbLBv3+TnLRrfhsvCERx
Mlhks9hmTBqAziHp4Rbft3Rpj+Y7WUFEMWAWFIst5q5kRSoR/QqaXuNtSQyAe4/HGyITc/wX0eP7
PViVhz/TizkfTeMNh855CW/vfUJOHDhXY6MjEoHPOjFypEGQmWwTDXF56S/lsdlLu/wozESHdIDs
rNF9fhucfqcs+l22z/blOjqnF/WjejYeCCyalWsqihmWo5hUpOG+vJQX/xGf5SI/5sdqD8vAJkqB
Ur3jTE9j6AVy/3kKpwBTCO3vWbFFd9ftMf9k3qw5BfKKV4wGnS7eUn/WcL3D+QfiJd4Mew6dtML8
SwwQIrG2BDz05cFaZJynuxtt+0JEnjxHiF/Sk3/Ku0X2NN1/iEAbZcdivNUW5aXd5RdGGoMD0uue
VwfwdANF0+HQv6aUeKNLMK5Z6+YvSK7nnPoOxabYTIzEgvb1XH8+5PnsoNK4eJzUeLyC8SJfNEq/
swvZ+KjvqPSP/Nv+jPjO8MFuwSs2UODxriIqxwPBZc/LAQI+nYBBxBtJW32h70SKC37DbmoXtP4F
RH52fX0FXtUdCfTtlsZEA5/oVaTu8M1YJKnUiNYi4IJC8Y3U3OmPzR1dE+Nu3Gev0hNG7BmsfoVY
+OsrkH3aHAJFqzAr0Zudi3Y1GEDwM7uqCXpD9zwX36g1uV5+WB3burFsIbUV65QxLLNfZmp0EcYN
c+BBeQtRoHckje7UWwqum0bnpy159aQZ6OVGsrnUT+DWZFkkTTCe545I8MHgqGRv0xKj5RbufChw
jCdFGKmPsrn0KQjIRMN3uzSe0o9qUVizpdY7lGrljs4P8SBUIfodYkVuiwpGAQEgU9qSxAHtSXtq
PHhp/QYql5FzXN/7+T1JtpW8U7vbLCQA/NxPIgQniBe+CQ9sx+vpjFX8TEeFAJCGmnJPdhKGNol2
C4D5cda4M2Oco+jejM+avhgrwLCzyliGU87AlOA9BaU/+imDJQb9nCTmCOVngQ0p1pmyYZKd/ubb
Ru4A9c/j8L0ShQXWxzWFB9VfOi774OiHSykDGmUa5B7yy4TgvvbrmZbP3oSKIQzIDd/V7Ol/Zrkd
FYe0dCMS7Z7KWFSX3viSSXcxzFEVA+Gqx4Z4rCffmBjdVFjFaEvEijx9VR94DLW83ILHpAAg0+W/
du9DbYM6k/3EslRoy+p0Sv3F3kdhwg7y47Dlp+//a+9jomJqFtT1v5Hsf+19pLGiCUVqxibGOMZi
2/l72vI5aWGDQ4z3iWr4a+9j2sJJ2jIZxECEUox/lcVERfXj0fj7K/9+NB5Ko+i7yDRWiU/OnSuS
NAIKpR0VspgHhvewC8cTTCCVpUGnfxAPVIUaB95edxLDx3uBUQZKTo+uoVF2g1Ufox6qJs7PKHJK
xvQyuRuRsS3jaOspwt7rPprUtAvA6WkFzy+RNzBq1kkzZYQGr34U3UbmlfNqOBtS6Yjs1x5BL0oe
zVi/XhkF7YKOGET8rgGLZpz4q14mc8nHdetlWw7v01xEWCc+o1KCrDFg19qr5Ulb370D77K00Dq1
zA8qrLK0IpIB7JW+sTzijixouIBnDDaDxM+XkhXdGlShfeEvajaszCT80mztXEmo2Tcu1XsjVJvW
jNYJY4UmdsQKljJMrrFEeO/Cm9GAZ+Kk7ZRZh0AloXcwiKioggcJIlDWst+LjxEtL6MkKkUbz6H2
3kBeSad2Mathnj3U0GSC6igBxsMch6CBdKOu2CbEvGssYD74gUB+bi2PW3PJscY1MGrU5rUsIOP0
2ZuHVVghy8+jC5bTWo8BQHGTyY0M5yPkG1fZxmm9boiRGEOAPEzLOTTr7Bx9TPxSaNzFsjsgO2Gp
QlniMwcihW7XNqxPcirPpAnBY0EHzhXjpTeLtwTSIaQeLQTw02A+Guv8OuRPAjfWY2ZV0tPvIP24
xmNeP+TYm+tsozdkRKYPpXgrk0XaQAqSY9DZkIPidp9QpKk0TMqR8K90mwnWCvwXTwvbOvChYYIQ
ASMKkJ5NVUuOKz/2vX1cmIi8koUPxIjZmwLSqHBvJ8Ocjghk8G5kGonBlP4HBqnDM9CBRfLBnidg
knru1pCYduWd8H0gIXmYtO2M6NG2cx5TX1wU0zrXaHpvLVFfEJnUicykJnYIqSluC+hD1bIWG0KO
/I085rSM1P5d9bJVbMjR/TRAJ/tWwszcNdFKyHD8ZMCjArqUYaMw1XdXaUVzI8whyqbpIwU2J7q8
fKpa4z7EtUdoDf1pTbc9sV0rTOuKoYbTcNE6jVmkmfXbfJrdmwHayiraqFyWx2ipM/NVFwd4Pq2H
sgEgqzLBMcTytlA5mNClL3rJ5vWghSDXYMxHjJwgLPo7H+Kopd6HRvM2cJAoNIjSrdyu9OBFLLxN
DFhoLragnjNZtMW83UqofSRRv/YVoCINNrkSvha49cfAnBdGvslqyLESwWKZvi386FZolBcRE5QA
jxVr5HyQ+KhJkI3kAtGKlsl8wsaV21kvquCt8zJBBDFGLF9wvswRrZoLb1FQSRoa05oD2GQzVPEb
stzPRnSj6WREjNlTQytYRE108MTxaOBW1HEtAp8GPKOsK9yM5mRr7Hi/A60AleI/ll0/F6JqbeKD
HHSib/FFKkh0B3yS7uh+4McJkXVEmFbGyU7pDz7A7HPakO3CYLLAdjkI5U5vpQqZZUHbgSUCO6uI
v18I5E3migwlmHeN7fgyIbg8rJ1DUy1F60mcDJ+tsFcxgBp5uUQxMTem5YGGdfVpFU0xjTaTe1T+
9JFiKBUwlnLXMf4Nlb6oMZ227qMc+hgbMaNmuv8sYk7tMKkKMtebBxLZjyVHHWHtTn7WRpCHWR02
l4iMWRnXaxEI66rozhbtERNXrIg7VvN7R0Vwl4kY4I11Gby7xcXFTxvUlxBrQYrLNunuQzy3Ap+Z
Cg+uyAAKR24GuAt/bsDxXr3ph9FuBR/zXXjRY5l5Oa7ekRlrMallagy/WsWwQR3ajYgV2FBdko/p
MLiTS7gX87u2YpZgTA7ifvIS9+RaGta1xGLcYTWe6CEW8Rk5DmSMyAmG5ABjsgvWdSpZNwqWZXny
LgstI3vw5LvcS56iyd+s42OqWFQEMwZcWCglP4U4TNV9FhrvSFthUQYZftNo5JFub8IyWo0+R/Cs
UYHCGvq6zA0uJzppCfFHfmiXZoRIgHRVBcuWJEzDV8L3yoxPYdYlVyFU1o0W2MivyIoVCI1rKtQw
6aYMwnspNdctPesao5ZXC9iEtKVRhnxQfLsWGruVn6NRxsdFPIAE+Fjy5sXk7u26+ZAU4HDuQrle
CmZ+6GM+SAMfMTmzldqChw/UAhRYojP+Fg4uGrMYkqkPq0iI3mTRdSyZ8PVSmI9JM9NYcbsOl2tG
jYtYUWU5z+N8UwU6WP+6m5coRseQpF2J8rm/msEjn9qFq7DVi+YuqdqTknnzMn8Sq3d6QVW4yAKZ
YXdbLGv5PidaGv3nyq9IlRJNAv2AsWbSZqwfRx78bJpVjNeGWXfB3iprbHW4K8W6XWfQQnwO7ZYe
ohWTZ0qovA01eCSrpo8scZYRO64m2wjm7r/4oDsZGA2D7olCXxVR7+8Ouvwffjjo/vz9fx10jT84
AyMmMsxpqoBJ8u8mz4RJoJ2vcRCeDqxfTrkGiiLMKAZ9JwiqfOlvTZGG0GjSFYFOnb7yLyRFiJu+
n3J/vOxPxdGXBnBY52moyDF0QvnGD+sHuQpWZaYclarfjFW15PRqdSSuK+2i0x/NmCiSisqzpnR2
4f/4e61/M2rA7/RPFKakes+oCIF6rPvwOpDPFu898Ua1QnKhZOxbT8dXb/EZ8oAHE79eLoeYSW+y
9/Rt5Gd7Y4A2E2pAoeRDAayxRz9secOyU4MbYBKsWqtMJTw5PhfRVUaH2aHmzaaptIcMAWFuBiUK
WR9KU0ig9J/NxLiJlXdXGOYF1bTsjmu8jgvD0x0kg2Z8E5T3IxrRWhgP07m1KspVm2LD8zgxiYnw
NmC00F0ggPwiy6uOflZtvD60xwT8vAL1pxDehbbf1LmGXsXTj7WAkqSqb+FhnprWvw4ClPwxDBex
xooURK7teuGH6gqQG1TgoCgUkDHn6my0YHDjrNHbp7LH747TQR4PUYEYAI62JSfvtcrROWOOFtb9
LAwuOkPBTDeOQHiJEzb3AYtDEZOmyGKRU9VXWbHsahSe4aJlxha9V/lTOCASrvtTUrk7dwBuzyJk
BY+VcE1TDEUsUGkO4npasWqWroIlLNMYGLGkCSxtPUuczlIH23MWs/T5CvBrlkIvfiNGhjgPgDMs
lGpxTFk2KfNmNFRnBlu4y7y1yZEm6cilrfygoAGFZQDQ4VFiMS5ZlAsW55RFuvQNRzSVZSM/51ME
Nkt56sc7nFbLRvVXAZAuHzp5Wtd7Ew2S1xZPJttCN+0PLRuFFynrnI2DzxQ/mK1E0zmj5dPuohfx
CvzHomXb0dl+Brahiu0oL02CTtmfxGmnitiyRLauYtrDKjYzkU3Na71jV78UU/KzwWbjSeUmhAXS
mgZEnOzchyPgYWTQTVRd8wpGb2D69111Snu9m+VWB5+AmwhvBBjhNPtgb2g3zVAsK788+V5wo+Bg
x+JxjMTIaXG21xPkDqd7UEcrLxh2vags4rG2BwPvSMbNh90jCpe4NGwvQ1ISbOTk0NHg01qgwJw4
O0smwuWZo+EsrCOnM5jSGtZOwROsek9+ALVMIP8vpaEn3Vhi58jYjNgWF0o59Wo8AxvIGNz0QUbY
sGgnubCpRcsJypBK7EFW2+m46OS8P2JOL6k56NB2LCz7eorCaUQFHcaXMiFVs4iXrvJiZBWA3Q9P
pFwIH/KUjit/olWa7UJX4jS/qHChqOAPWUzu/RAMIocpwyL9kPlmVF8G6ohxpHs8rkUxxSCcrgps
OSp5wYRs2Fr/MEbDVizTpyh6lglKJMolAxin5fI2Adwqa2sNylFKzRPkxtGP9m4RrGmB3JUAG4IM
MwRKpirxblT9o4yzfaxXq5y3o6JKG5GQ9IJ3o+nRRTHdu7FsnABSRdhKK5XjSzAO4N7cRZHpC8sH
5uW9BGq0lUzSSyf52XjrB+4iyNWFWvvrurr3tNqJi3ePOiueYL0BMne9B5EX0976mGT/6DtvKjoM
chbNO/TventbkMMTJwXSQ9rGDR3n1NxovbyDaDorc9cJ3e5er24iKi0jBNYmElhLqbeKqkGce7zn
+6JQdw2h1iQRqfdm/Tv31E82QdovpihNe50CT9P6ZqMp81RPcjcxV4LwTDU41/1syxQP/8dkCWj/
HDP/n6bEn107n7/OxLQJrhek+LTFfdnCqs4QwjCMzJVqFHAqX7xiq4e3Je+LED9lAq3UAVS0ch/D
vU+D5uSh1jaaYAs0fF7X1kGRgXtZ5uOXA8E/DOyZ0f5oa/p2Vd8mJ6Bsxs7jIViNPJr0beqi2Yda
f6f0+WuppPcW6xizwPmvf+tvbwYHh683g6yAzDULboYvdZuU9UnYhARf+GR7UshrdbhlcjMbBngb
ozt1oRwBqNxIxSprTlVtw7JZRbr057Tv/3yPJsnEDx6vbzdj+vqXt8gVeW7bMTTpqfgriQYWPQM7
JOJa8Avn13dAln/zu6an88vvwmunchwPzFUPLAWHdhj1xMZUTEM/xvIxHh8UYYNsFrAiKp8uuuq5
ib+cOkqSl1k4zYgeWtpIKijNWi1PZt1eak/5jchkyqj/5R355rhzaxM0QT1dpR4/GxoxviiYM/Si
gQWph2U2aNfqePaN7q5y5Q+fTuLnffovHcAC80VFwQhyOiYrvKW/aELjw+bD+OVszhTzp+//62zO
AFZWjb8P4H91oPnzqd1tklLweTjn/fnL9a39AblEkv4ewP7v2VzW/sCVjhcfEosu0T0x/83hfAKh
fX1GuGxpClYwGQyrmqpp3z7LSid5rQWDfdkwZQKvV2p2yagqthVyhlEsEupFYtyCcn5pbLWtslVW
0Sm89Q/JnbXvZ+/qY3qlBl0RQwiyklp8T1Y0IjqIm8kDOr4Vn8N7aPGv48lbNw/mwbsEF//c7Lqd
tRHIPVF3U7Yt1Txivujgn9K7+MbdV1flqJ6NnXf98jYd/1wOvgYRqtMz/2WV+On1flslUkFqTLmO
q6W1incElPoIbwXHJyYRhaVgx2aDDGIChRqCHbigUxUnMG4lk7Yo+TBQym0VEbQyQ2QMt4RTN+5t
dBT3gzxrn8lwPrtEvSBxICHNgClRbrSaGe50Ao2CmWIe22ClizMBIr63KtGSv/769f0stvn2fn5b
mbx24CCoJJ8hUhtr5e/KReGku3JNH4vJdkbMYDQHvErfyTGI2ANRMtNnz8/1nAJ+dns6dWj6f7MQ
/faivi1EtYVrKsw/L4o4CPcdWQn44mz2VDHfpefJRbk22kEn3bqLnOAiosZnj8/4A5xyvrn9+HiL
fndJ32rSn56DaWv9soL7pllR9/IcpK/+bljWixriMvkNcx8KLv0Xe7ognFikucu3xmeMJirG2d2U
Xe3zF/Pv2RQO9uu375NJ8ovH8zuzxI/lUkxj7tR4Sz2Kj6B90E8ZCGnwpM1985wyym+PXbGICBnh
cIltmr4L6M5ZgTTXmGSYWONhpSLlUck7wuYlLytSuhMCqXksi9JJBGCgxEuHs/ncmc/nm9XqFrbN
yuXwh0T2UL+D10RIFb6LmHrffv0CP9eTX73AySX+5b73Vq4xMqA5795Z5DQNDs4Eo116yqKQiWKj
/J387tdYewKOvRxs9TF/CbHKuJec8LVVb6Eb51h9V29lKIrv8FNjfDCbsZwXrzQaw2f5wT+DFyKO
3JozGS7ot19DugmSI1AqBBUuPVylJQ6b4JhoT+b06xQqW9Ig6WWDHPjNC54WlF+94GkB/vKChXwc
/FhlgZVvKNlza4P5xeT9Knfyxj+aGw/vBFqyBRFf+SLT7fKQH6RrfYWv0RXFut9Q5AFbvPWf3QN6
y3V7kgKi66ewVmhofGLfBvEyHppk69JMSFjRcATwUd+JJ5+fuxlvTIbjWC5+cwb69IH96oV9OxJ7
RVM2A1XoUl7KJ2NCk6vknKJxRiLQIudAsL2Kttmmekp4nubitnKq92QXLoSDh9Bb2rQijzR961mz
lRcSCWnBPdS5mYlz4rnkWe2mcljd+wCXGDIRBwZhspGo+BhPLaSUTrrTM0s3HWkEvde5jpDd9Wp/
lX5zylZ/Fih93dp17dua2pixxSGOtSJzphHOiRAWli8q5HkxK9AJkeM6u/g2OErHu2lnr8d+/np8
j+bvBD9gu2hshPMLE/hxPk/Jt//d8voPe9qP1/dteZU90QdtxPVhQGPnJgurQYcEKwyNfeD0yD6I
XGKy5CSAXG6MbbPMbxHu87S/ILK/k4/jGX1I88oOVX8ge8c50t+XewJaVv2+PUWv2ntmm1sN5bYw
DDbp10Xh+J2jkEjb/uaxmo5R3z4vP76YbwuzG9YtuEMeK+3A3mypjps4xkP4Jjsv3VJaBaZTvpSf
W0Rh93NpPtjVWrQfrROglNoZN+Mcl70tOd6cMwVSUDrfZ2EdLn931/WpuPrx+f/hQr8v1WFVuims
gmqp3kgH96l/EG7HB8ui0eB4MAO1Ba6nc7aJnmrK6P4e6wUxTQXZTfVMpzt2Q4RvNmc8HRQQrmdI
/v0XpDmzSliUHwORMewzoC1NhN7z9CzuunW/H2/qZbQgnmZT3oQbcVtjp4+ceoJgzzWMMRO6cFdt
zbNytHbVpj/+ei1Tpwf9Vy/521oWy2bQh+X0oG2aDZG4R3+HWG9OvuQyXONAS2a2NQNlPw/t95SG
nNOujtg5luVKObOTziq7nXcLJvKzcY5pYoZUb5axiPmzj9OUOPm7CuhTP/GrC/62RhmCbMaiEVRL
DOYNrbHBIbcCpDgKe12f1cdOoUvS0H66jPlaFvmQPFlQh+iwYchG5EQy8iSViqmN8LrPkVh0VPyk
YlwsfY/NPjT2bsOS15YzLbLLJ4lsQAynjN+nzUQ7NmjGyvmv3wWMAv/0NtBXNiRJpQKYpNtftxS9
1EAUaD6aunOwCVIcgtGrWdx1pwrFBMSSsYMiA7p7zXm2W3nRPIYTWJ+VQHVUdNTGXjun7R2qMSO7
V1YwI8bZ2p+OhktkIzc+/jaBN4sTwL11k370NN1zBrAz8Va8lZ66Y39GKXEdHuMrGDf+dt8UfxFX
W70xNqYtGc3MqLCsmR5Jq3KM5f9YvEk3d2igSwRtobfJ9E2qHXXloOHaku7qfqOfO7X8VLhEUenI
BqPS8IJloG3XYqg7YbYThod8ADQwg0E/Ey7VlgSPx2fXFu19cWVlgyr4AiTWoO3iI0wOCtxbl7zf
0Nr/9e0nZv4fbz+Ju9x/Ddnqt+UWGQ1809Qtl+NrffDjm/xFbU+F8JZVxXKaINuTiQ7FopvxD3Fc
iuZRk8+K/ErFz1QeVMmpDZyWgOvUbqV9OG6FcVGUnEYeldoZniHXIrfx5MgZNfKn4aTXCWMC7XGM
zqPwIvCGaNWlMrchcUBJ81oHjhHfRfITj3RYXyoAuMk6hS7L0aaXoayHMy9rWBTlBSIGlpMaZQVt
fbgMM39lbfJzdiy3Ze6kL8a+QJoWkXMwZyhcHhdgg5ZThHzZIhiaFXTGZ9rSu2QlhtzZVX4dHqI1
thT5FbkMoohojYRBIgPNONUfGFAJmQLnuBQIciz2BQkva4xq4+x/uDuPJcXRbW3fyxn/6pA3gzNB
Fm8SSJKJIq2EHEJCjqs/j2rv+sv0jt3R0+6uyK6GBIRA37fWu16TXn2FqSNLA1aN4honjvjl4VB7
cwEaLmR2DVvKyeslAbWovL5/zTcJ7HJXcV9n9eDBekwwyGgg+kz0cm+UDszD5kZVd6gPGt//CW7R
c7RkDD7tAXetaXHU18/De/ik+bwXV4YOeAKOgekLHQjz4bNw6LdGUnqSvygnio3cym59/HyfEvN5
TAfH30KewBddZrOLVy6FDVKkEs9/7QiJxXtkUBIN8mZKX+9xwZxHRImI1yC8eGBQIsmzoqNCvVAs
VznoMHaota8ewbHvEinbs/uZvDmNM6s5HVRcbZpj9QcFclJszbcueRGD1EOP8NDt+4H8kLQMjPB4
Lxcs/1n52dxtTQg0oos1cj0/7t3yqr4KEQyayZMdbLehvQ2+wM23abi/WVC1giFo1Gl/maM3QoEu
7EOCLBLiSKNA0BAWya/JxPpId2XrQmgylFVYsxFHxP0x5vDzf3Xk/0SMCLoe6hZDGj0lxytf/cv5
LUvDTxjRf3r8d4xI/wMTWwKqZKj4eNqPw9jvMJH+hyaaOAOi4/n3NPY7TAQbEeBIY+proRmw2Az+
P0w02kJAtYftj52goYzZmH9jhiubv9XAvx+69hveXlpqpxdSozI3iXfD6LajXsSrXVd0Uf3gMSXl
wq3Z6BV2lPsQudeBr2yCu6Qf9vdtJlWQ1yJf6BXVtnTg4WzQ/C7+alSYL6GK/Q9sCgbYO70cfKkM
Itlwc93MJ9n9VF3epHKbhJ+oFEBr5H0U6o7JRRca+qSMy2fcXpZAsk8ausAOBx/ceV3djHacakzj
xBLCWdYx05GJa+uI4zNN+I/R/eZVor4oBbympKrxJKkjkQdmoJJn7kUTGEsmGEtZczFkZBiaaBeY
+KYzkcXnJsVlaF/0q3eXahzuFScV0llzM2ZaQwOO/sW/Ca9m90GehH0pajuNL0TODcuwxQpGumrv
IZAwFJIaMDad6ngxxDqnUZ3qFORWr6zD+hlGDRmJWHTD4wSxtJumckuBGCMz6qSJGg8y4s59Vqd4
+CcxyHpKSncm2OUNrFfHlvTyeJZgft0QMVUF/Gj9mJuPmaRGTo1wGxLja0hgRyNbpKYw/jEvmNI+
vBxLm46NGoX8jYmxDPtay+a5MlWEfds/pUJvh4hK71gTPHIk4nxGcm/LFhsaOdJGSF5KfCV1q57p
BksM/uUm5HGBRp+ZtIsA+qokuySU3YRsYD2vPQ3i0EDuzsVENmjNivC51YfXDD8FsYUZc2WWwacj
V36EO6+aNBO5fi2F14imZSQLhBFZyT29sXDZioYxaUTkRhhExd0qZw5doFAOpZfIetOubyaDakM+
NdiGafIpx9jv0sZ8Adlvrq6KnqNgtZeouvuIslpvqa1Ma1KPecEY5TRISYc895Mw8+p7busN7PmB
5FUrZAua9vprX6/bqzC9ZDStxVnQTpK2yVHO5hDqhOeQT6rASjOpOhx7D6jiHON2iptsJqM8aQtH
ar/uBKlI+FKwmSv5FVu616g8CIJbKpHdy+K66vGrszh8zFk6tn4JnOMxQNgaXdruXinLkxJXWpW0
yrq9z1JojgXjPrFpaQ5gvV6aZzhWhJTOs1DfCtejxEGljKkgbjbEWIHBPOUKVo8VIoBemQoy6k4o
TgaGBFWXzu4pel4r9Qadh8XHhvxviW8EmZV2ajJpHJt9mXE1TCyA5LovBFtVTDIjUvVoZZThYfoW
3SXrn72NAPlD0oGVgJP6X5oLjYvxb9vI74//sY3ghy4qRJ/QjZM2wQ710zZCLYsVMou7bHyzEPrB
d8eZlowVSPj/FnT9xATiCXkmpq2mwfTzb2lBiU78tXYet5Efhw4I+9u4Ibp3ivIwQ7aREoUx2dpT
VM/4reWmreq5LSPOvgj4lBFLsC2jebvPV8VUTd2BdIc20JjfQ1+jxIvf5VdamXajzNsAra0dfVo7
8wUDsOFTAchMkVee022xRo+0gBSPw0GkoDLdVmuAXVuaZTGEOmJmwRA1bL8xA/jU3lgiFrfVY2FB
ymbjwW6hIg38FcIHSGv8cMyXZA2hYtl9Wm/tk4Rb+Yi8jg09CWk4a+/Mabqsnqs3a3VZMiLhV9E/
rS1EI144VT8g5XUvRDgMxItPKXajQzXHSDpaVnMaJ6go0kRZtiZpIMIkXUaf92cunPY5InoJCq6T
4sXNbEKcFGvj3L1bS2FJjr2H5NWWPcwUTrfpikTbYlv56jx3UP8Eeji1PjU70qay5e2RtdnmAs93
Ld/ckHWh3WEj5V9hVcD0s+GcuPtxTKC6cbyxvAFLTnmdo1VS7W6XzjGMWOQBHhr2+u02GbFyTCo5
CSAYM+63nHQAVnWbUbqVX20jtFmOxdYtQfrwx8hmmWrjcndbVRvd7pCE1Yc2lv1ohr0IGqrImDBG
RnImL7tZdEwWQmCqM2wSC8qKiXn3VD5XjiY/UN8HObFwwyoN3lhT/D3C+SdhxyewidyLCybnEKtI
jlnnEJGBKc1tmZ8V9ICo6z0wsbm5Kefy5rK8gimBKzkhxrYTycmcPrgH8os++ITMXWPsPoj1Jtmm
wG/lkSyzClMQyxiOEb5KQ68dkCDQsN2nxuuYz4FVFCaJeJ8oEqZujkgMdkVWiwskl02vR4B8ycGV
auS759e5Ku9zQvNOIs7h1+PDeyh24QsbjJ0ER282RaRjQ4M7iEJhc6yzLXFtkgrfRpwMz2jMJFu+
BgneHt2XevGI8wNBAV0MwlWxrAO+jgtxpXyIO/Wc8VXxrgEjNXL0JJswNdOD4YPtQc3ns7t83S8L
dZhqJ/3App4yd3nCfXJ/md+W6Sx7ggDcfJIQMBXWum890cJ2M7rRzVgAPLEV6bXXw3oDbP+CWr8m
e1N7v35Fz9dnk28AA0CvVGw2g+wk7PO3XoC4toqnGZy03Dae5KUMV9uJl+mz+Zj04EKf1bt5eDxJ
0+jt8aQvo2M3KxfxHlEBZeOidgWmRgZCUQhJHt8pV3ZyQDG4N3RMSyTmfrQuDyRyJoTpqPlU4eJs
XWGTbAlSUrb6SX2+vgEq2Mr+L6AB5Tdo4F/LG0paxEHQMLGO+xWZaeQbcS4MmYNlQZV5AP7p1+WC
NJt9n+KqkE1LYstRe2ExNO3nw6H96FbYnULFLi9OVpOIieqh4GsLB0h2bqh9bnTLKPn2t0P+iTVt
6+UEeX7GJ8wc10o+0RdwocE6q919G21Ivj6rHwjL0Ae2+HEVNjauV92ugGtBEdZjtgyBRqj+1El4
rIBTYEo5FS5s617AZMmWAvjxuWFjewRKBmPInBEJfevtAbN6psEEItmsT5S97TXoMYFQgsjvvHgF
YqxO7sfkCBJGsYQ0BnwgP3Wbi0+yoyC5XerusrqHMz6ul3yj8n40kdF1aMROfq4PuU/tu7i9Cwdj
mRI5qMyaBYY42Hmg81lopi348ZxEcZWMTMmJk2n9ok6NnZo4WTzBcooInwmR7QDd1Htjsh4N805+
ijtnwGeVaZDDT+AIKwENSPeEVqsn8v1mxdw4yNPwCVHTCYBbSkZNoSdNG2FrVCt8Tt0mEDyCYhSa
gTLZyNpWJSW6eNdYvSfaoVtbUK4ZyCks6dHDA0QEuOKbC6tNeu0vq0bayNUSJuYAzJERcWNrznXe
k4GDRLHw7sY4GTK0Y90f28dLKD4Z93ej2qhjJml2rGXHTD/RUTRyIDRTmPnfvrP/zPZ7JHyN2TPo
2EfK8l+03wj1fqub/vz473WT/IcikhOB/b06emKITPG+103cpdJIf8uAHuuV7xQN6w+dfwyL3vq7
j+O/6dMyd0kyTTtUb2zNgQn/Tu+t/dks5ufj5jjHScRPI0RcoWEnd0IyQmeDe5/mO+s6Mb8gROLf
hdfiNF+VU9OXvyRP8gbyhPHes8ncQjeNkX2gLzs7W3SzbGE8hWc2kJJmBAk34cy5z98VFEcIwFi4
eWzu9idjbT3RuYnsA+/USIyTuNqszGm+FJWp25wOID/iOsyedYpWp5Cp07AmTYV7uYs/JMt1XzTS
/KkZUqKp2id7YqHvhMC/NseMqi7b4zoPK7hq0AjP9dxpjLnUaojWFkjCR/HaQoyXsoQD9EKGoAqN
GHs0p12oOWGp67j1q+fbONpGNTIrWaOIXP32szmiOtDAJ/e8WrbXTtbgFdMxkHoSay7HgiLLtJ7w
RO6+eHlzCskjEzfEssb7y+p6VAfXWtNVx6i7EHA4qrXKUCQK+A8ehy/mOy0WWRnvQ2CF98sc/zHe
/qQn5JcPZWZ+hV8YISuMCSYX6saPaO41BNNwbIaHdg49GsxqNIhb/gdOdpW9mq/o2R/78EglldYb
1a2UDX+1PE5nULz0+/I9n6eT5RxTS5tKNiAxeSKCpOa7/mTO8h21Fbh3DGTHWeiOnURECT6DE/rg
4WYrfCn0WV9P1a9SPfZTISLZTdnHwBC8E/+26nGznXIKMdgf3Ft/uFOhGXMemYXsQuTYuQmRZ9xa
TY0Tnin5qn6FISs0/k0SJjyxRVlhYR37EYUBenXrVd5jms3f6nhT1puKJGl5fZfX6KYM7AaQ4kMR
jnAuJjkZrT5tPFZwJCqzKXTc2O8SdvfRqY3CW/hM6tXAULzeiAR3pYLPPcb9yOqvM/ilLZ9mclC/
kCyDfwj33Sxg0smlOPD3fsdLxolNxcuvbq4FFdMZMT/Seu7gJj2elxQFqP55qdFrjjJSDircrrc5
2iCKUmi8+Sguf5fj+c2TKDZkdI1PNQDH40VldLKUlu02hs30GXMcWO27ZtDueoprW13cRdf4RIWJ
Awuh7FAkZ+Qrk8WNb8uqx9Dqli/QMQzTbi0tuzWvd5Bs7dCe7wjXr0QcrukIzADW86V94jlgdmsH
1KO8breGCEASzxaPq3AeY5cWFBAC5Ik2K9wHDGw3NtidQJz5suHAMnprMTJ3aNXT92SmHHhS7WB1
63Cu5KuUcnI/PutHepKfgaYdkPgXnp83xM28A97UVlpWhm2G+O199q2DyxYvG87vbNHfDggLLo6R
R3DSIMFzotreDedJMjMD7XDHyWp0tBP9GvtqmrgDJ63dqlZw0xaM8rs92bDtKmPknCuO6QHtEZaZ
jbRSnBOZZOeBdvVnCkNs9Ba2wWY5uW3QKiivCeJgapmLG8+V12GKlk6pPm+bvl1AtQT/0I567Gf/
JkD8E3dOGm1RAwpWaPtJQkIM9FNh+x+sp0SdX/gJcfhPj/++c2IhA4sbjQX8wW/ZNT92Tu7C4IzY
TnksiNkof2yeI9w9miszygPalkZKw/fNk7s0fluUwNdNVftbsW3ftvzfRta/vPPR/ObnvTN9DEra
FGXjV8P84cQfuKMU42opp9OBeUbr1qbX9e+M7prSxfmkvdvKZZxL3cp5P9kXDoqEW2Wbl1k/Lac4
NUj7ckh9lvAMS9zimJcKI3vgOKax7tLz8E2hhx1Vynsi13deecOMY5Vggn7x61nlCfMIs7l4rx+E
eXbqG6IRJyww9+Vx8Mv3lBmpx4+imV6Ybd3m4oo8qDLehBbdConE68pjXs3ovUF2iylxu2mNKa6w
tZuxHZ27mb6EjaAvxS1kI/icCOOL9+w0ih2Z4XqY6shntB5xv7oQA3Yz6OfkFIQwYDl+rExtgSOK
vMcxUzjKe/7Omji6Y1rYrHAZfuCFCcHzFVmnyiifFVY4RmjbHX2BbycKiCIQp/HzuAG8syHwaxOa
YdZ31C6Mfh87lmqSyvF+Gi0RL7ZWf+KJyeOSxB43g15ZilM26WfWYSxh7RTD9nn8TDwqXC/6VaQ9
41OxjquIpIm52+oXXrtuAlZ4EejcwZmEnUDF86VpArYRfFz4RX4m8Tqb89jxfeEyyht8xQ+W1K5i
xjsTjsNm3LKAZZ8lpnqgJGxfHDh7kOHxPPEzaWXeDdxGcSYcsHDk5BTzolv0O+GYN9NBwZAfg2Gv
KTweypN1m/g5jpmMLITjY6UveFbsYeqXsltgJUOTpig+WyGmM/wyxzDanar5+Gs9pgmoLMbdjD0t
+fYcnBz2ktucuzmJ7xxJNx6xgHCaQ9pwNHDnACjwy73FGzZiPjmOH+4PR5/N+X2kouyenM98ahyG
DSe6cDLGvv49oHbBzEFzjccBZxxj4jPtzeYwmR5Xt5FXDYafPIsuW5PS7IE0eOfw6vmQwMQ7DR+X
Af/r2jfITBOc3HgtdYckUGwd79tmrX2qotOer48vUXCKfhwA9FShAYlqEugeptwpu0s1Y7/CHxZA
HsXE1cUQshQhrDtNOG0+LO0l5bxy+i9OGE6KGheYAddo5MUZ+Uzdbla1sDLYE8dtje/EAd+oBBok
5t3Yc5enUFn24ufdwblAp84QLu61/sIrW87cwWKMAuFG2VxLm2uj6L0MEizkBc6gi4F06cQCl4/v
4BpQOiwBpYNjjSvMrYBLVV5yS7cNKeLwrcJ6Gjc14t4pjO7L0dOao0mhyGAfexDP42O4BrnZWBBR
2G25yr+ZbvMcgHE9OhEowYIn3jyH58ZLGhdrK6hn8vIa8JZKDmBcRQY/Zx3hIPo1FsjQOt2EAp+L
26/deFq7sp8tKqd2R54a3xT75jYzR11225ZF4+45PLbCYqJym2ImnkFguGvYcTDja3XFLDtxdA1D
pGI8eE5E+GmF0w7bbq4+12R/x8nok1joYNiW+FtD/DvPWZOWlVc5ja1nPtMgfi16Dj+FOe/zGhTv
x+J9dND1ilO77Vfs6XCadM8WIWslQb557Y+8ZU4AllqDvk8s9PNB+zDtrF9J1mXTsBAaAVCvTBm5
uTj1k/FK8UMpIU6q5SNz7f6M7CgwnNiPD//sLllhRx6TVEkZGCH4/yJkkHURUtRPez0hQMh+f338
972eVhgrSc1AeqDiG/mzkxx3GTJzBzwoURIwR/ix14+NsmLRVX8fSvzY67lLlVEtozZmpx/HFX9n
SC3+xh3896EzQ5fGzEfL+G1I3Vwla8hbeCiPyq28x3WpYbzbLdjW37xzZOCFfgaItW8KCUoQG2wN
RAirBTI5PlJ8esn5sJyommvxPEq9DsdqLn6+XVSy3ZrF7YDf1IXdMkw/8TJf5btqSj/6dV9I3mWn
nJRTuMWShYGGwp6OFUmEg7oLqIvk/wKlnFj1bfQaT4eZwg4tPemHystOeEiVGMM/Lm8pCI+5C49Z
vr7MURB7UPahBj8cLglbWKtf7ULzrLm0Hx3cOshRXC271LcqW8VuTJ4+fOGgTrD2tUNP5pYwaGfK
VlhiJekL23iXfiD6fAnxz3fZT9l3Nvhrn+sXNr/1Y6WYs0zHIOLtgkXYxZeIbs9eCuOJZVo7GDRJ
EyVkwkgkVIjHPknt8tRiVl0XDtZ248YYr276oWQeElm7dzi6dDqsIc3YyVH2g7aOmQROS8qKP7Yy
Y8fCf+kcyHw65e/omj9QiD9xAo807vkkf8eYC9Zszvh1kp7oK9otqyXEg0X+np5SVpFu/Ti32/Hf
cE7Xc37kwU8Xw+ZfTMGf5SKSNmIrPzEIf/9KmRTGP9ePSncpyxCzk6Cza9dchmdkyGb+CdW5AXJU
XYDv/t0scfo3nsB8WzotqPosXiDjkLzoB4txRxHP4nnYyUtjLZ7ZC1hp2QME9pPovdtmJwVdMltA
5am4GCGpJINmydrLdhEv4DPIywZ7Q4II6Cox0AOK39xE9mFXty8zZjPS/l4SVYuzIL5Q3Yr7sCfc
P6aqm+AOxJaD1Y226HbDCtuIZGx0cXKIn/HYL/0ysU3FecDpu0hzIW/drrgT3oQntsHSfiW7Ay81
J9PWCRG/1Vu6GE2WD8UwVdW3axNcoCZtjU8+lqxbUEwVgb6gzFHjFZt7rWyaW2CGvh5tzBRS92vE
leFAApgPQbQeeU3FVp/3VMvL28uVL4cekHW7bpfXJ+T2lyfrJVsKQLClX8yGJ+nzn7yqk7at4X3G
AjxyDvke/rdV3ZRAMH9d1f/0+O+ruoQRmgXqSfMk0pNJrKrfsU/pDzjOLPeyztxWQan2Y1U3R4xT
ZGYsiwq0qDEH9XsHZ/6Bm5oMRMt95jgT+TurOmE6f7oEfz50czy+ny/Bqr6FVadQUCr5GveRw8WY
RJjzb/uUUsE2X29bY3efKXBPMfV8ip6VSftCjAm4Z7YoFiKzI+kU7eCc7hXQ0Gh+C0Y9wgC057ce
ZuQMRPz8TFNnXjeQ6khtUmz+1K9XXJ4eQU9m1omIZQGb/eEYvzCL2ZGotOs/qpfyJT4122F52+Zz
lPDRFzUQF1j48IkOtchMdeGDEwynIq9nwcOpvaAfE5rnqzhrqKbWGNFnb2J8bjdve4ZbDsKG+eVV
ebfWqCR24IzqV7prF9W+X4xWoOg17TSAQeUR77UsPeGZkQoR10HmPQLaKC8pJtfP5Il/vby3C2xN
r/1ECTQSAVr4m+dqjdtZ6RBahz7PRRXPqqDE49g1PI4JHuresC8SzpdZcspUNh78JYaPhJpcydyE
5cyU32kVaSSMQzVj/dbUWZLPO8Xt1gVRCTZ/gH/utrSEpoKXvXd1SJP0S4eCEotLEfYPwxgVZ7G9
Fbqt+1JODvQTNsSsOT7Pk9A+HjGVn3zQ8T1pAzkxoxekMgPxkxkwNQvBp5deDQs0x7ji3zx9jtJp
Dhs+KJawleJt9Vkt87Uc3FkzzDnCF8Ck+6rcWcRk6CcNqBYx3le6IU5jhaVk/8pYCbBx/eC7NMYz
U0wmZ8oBHXJtO4ED+cUBhGvjwxQYCXup0wTEeymdbWwkySM/pk/8r+3Fi13wyQs6RiSC7Eb96r57
tSETuRgfVL42jTs7JpMHXBZFNiAywQdU7tkp7NYoKvgTskq/aJ3/T17kGG5IFjFWlsIqp/5l6cpS
8esi96fHf1/kvpWuoikitoV2883s5vsiJ/+hEsUFToUZzki+/KV0pShViNbSTJY5Zjo/FjlKV4wl
R84MXM2/UbVC4vzT+vbLUVu/DY0fYhhmNwwaA8xvEqwDyqdYQ7kHvUG+YYSbByo4EGNg3Ftxfxpp
Ft+YJ49peIyRRfns7ubrQAvOhEFbwL9gBdIWrJLhkRCBCC44TK055mjEIrG8tI27Rxim4L3o4LDL
3DneVC80Vy955rzJYA7mp/7KI0Xs0lwKi/t9yfoAK1DCZOpCuNBSaMm1sbsdRmy8+BWMopvAgCQ0
JV7pNkfJrSyP5eQNV97pbYZP+WPKK/IElsebS7sFN4VHiCIcBC+FyUlVeDxdSHwiT8Wt/Ld8ob7h
QpbGQ6leqpfkvWMFyymRJvxBK6Y8S/OSQb/zCLK1hPn7JCHewr0esKG70v5rHczHawgpVJjemj1w
S/XGYLuSV2a14iCBRxQoLGRmJMsUJ53CM0N9QjV7baYaKwEAAR2ved8DgAEtAaiA7YAi1S/WK5AN
N1l3DIMfq37HrSkteGGDlMjjK4X3fWp9xMh7sCyi2qYEvvdvGd2rvri0/mWYZ83iotp0uDeH0B1C
MGDQQr/2wB85B1i3d6/ikSgPl2puBV5zHb0r3/TFhjib6hwxorrjetuBuSuuvMLF59n6MIvA6Dky
H/zsYCheSzRZVX11whvWbVm/hQt7b9ZVCiS5GERS0uzxfQ5OP+s8bWbNLlHiqL0+GZFJeEfzZn11
bvLqcsttUZ+OyD70HM5H74yp2PEqItPmujElYNP+oNXvwHQJJV0terNBWF/gPY7sLVOwtSJyR6ws
Ww6Tg+kB50vuyoTOA22EeEumGiEDFrqNcVM5tNuxEyCiKeC0oAUIJ9mKQNke0fIO9kTaLtW7Q05x
Si9hw8P3I/9GwtVlS2fDKIdp0twA0MqnPVlwLp8N6Be4lUZyzwwAjJ0N8BAAi10N0GuEA4+jnekY
dCWUb+B5gHNMhYrYU3xk7av8BNgX8LmealKKXsXpiEPyQqicBHVGnCanKBo/ZVC4qt4Adpb1F4hd
/QJYCfz4uGMfCRg7ApvqjMcC5fESHA19EjAkL862ypwLujCO0hh636bXd+1O8+OBxx74sumEiQKk
gc+KXmk5PK/YwIvb8hNKWQjr+RtIyi9YryNYybvvV3wcfJsfO6P+tF5TRcidSgkPUsR2hbkT9rCC
bYWaLVBpDE9gTXQr2EJ60TNfe4FGeAL8w83AgJPOsI+ARmPPKszDT0ChwW/sigS33QhrAYYh57p5
0RfursIc7FkA7H48PZ5AuPv14yM7UQI9zCX4Fywu6i6k1yMoPeelaIYAfspoBKa4zQpg4qr1CIAj
uhJnAG+0yeFnDtxauWH5Fj1bAbGc41g0fOXxrQLUJHhwLoiX6FZvzBbHMDmeLa/oukrnAwFgkC3h
43gZDTgpfx5cb0ywrR2FSYwaZEWejDXDOeZWb+SleJb0KUgZB9avpWKf6AEHOEJenBCOkFJGP3AK
xvvvS1BEfjezPrqBhGT8UhU/hauUAMffAYr50nn9dXl/4Vno6pgE9OsUflz4GfaTUEGm6FgB7+Jm
cR71Qyb4QAHJbfovsBG+b9yhm7OB/gvgZN03SOjjfwyfM6HEK86OvLQChcRAcQGVyPzsdknqRXJQ
RO/XgW0CGMRcPvS3S2qn2rpsnFQNrvR2V2Nr0um1dHwhnV8szYfdsDPAMMHjS1/bR8/qY4wM/GeX
JKMTngEmpog44v33vksfmSO/lyS/Pf6nksQgDBz36/+AptE2wY4V8eUYkTZanh+0E0McXYgMA4oZ
yBno3fe+61tJoktgcIYO1oZ88+/UJeOR/xn6+PHWf/c8attSvd2vHeF+++rCfELTbQXrS6xDySdj
BalZSbJxSQHXrT+HHde0UDuysRrxaWFevLMpcANguhXPK+wHGrdvtvxkkSGcRMKmE4xIH21HxrYI
8qHo3zFYjsj9nLLagEUTbdituYq56ACOCVPgS873nnWBtQQtPXC2gNvIwOrK4sHzimcWCqB9Llau
4yvzFp4fTAWdpo0JLbgMaxqPBUUPX1mt1LN+sIJ8Lp/H0VqCbzWasfHSIpPcUN9Y74Q5L/4NDy91
zLiwTIPpuOXwuEA5mmp8E6D9PGeReo8nmVtKgJt+zQuBgMdb5cPyIJD5+kqjOPBJyFbYI9nAWNJ3
XekqiRtvQLVtlizKpJFVC8QHDkjpRZiFRU1HbVSyR+IFS9dw1jztHsB7hZy7BD+EGBC5NzQdSgq9
BWrPbbNODc+Yp1vOvmW8P8guRSwHYScaTZRXLX5dlFigP/VYZRnhVCf+Ro/WitOuYUvrMOVcjRog
oRboF/cFXNDFDWcGEJmIz2GSlos6XTXNGs+JvN9eSZJo3gvjC4sPsCTwfd2N/ZZW1AKE/MielaWy
wkel50N2iCOmbqnPQrcGMDKKd/bCx4pJFoMx6sDzBfKGTkxbyTTssZXO/VZZXk8JTDtXI3yg37HL
+bI+Dsx8i32YDZVBG2baq3Cc04Ve/cKGV+BGDurIKJCnZ7jIYDO9ETiIFTDPouGsEAhHqjk2y5v5
OSBofnxpZJ0PU4LZAxGuAiwSoEmwLqnGTCPzszJA8cP3QyZZiJEgpMR7tcPj2DpGL92JzRWzcQaJ
bT5vCXWUbpCYVg8tOl4O2eV2EOwBIFO5eZnoRxJoMoNlgjex85YKfc2MkBnmcDVmRXuHj+mRyHm7
cRjQLfFypUICRMwxlw7hFY1ZRTEaRt2+0bF2BGZPCkS4WI8/qDA36aqC7yFviQlM6chHJwYafXS9
Jcgc1RHDRZNKSqIyrin9OAkRhjZTLI7hmC+hlI5ePhgZRj6Z7KnTq4FourfOTZ5UOKCwK3MyVsJd
Sq5jIG60enJRdgMm1IrD2dYuW8obCqBs3stT3hMFjpTme8BbTmz+3oenVHqCcCKFTIxX5TAdcFgs
ju1WBAFleFiS29g+qcZaxcsiQ4CE2cejfpUNQv64LG34MEz4KEgtposNE8IyBb0AGoIZ/jjzF571
WkF0sXBNnNWdT18N4MwrM8+rEGgFV0dLR7gyf6frbyECmc88rKlAedLJgB+xFVysr1Tcjzt4w5B8
8GXlJCThobeqI5NN4I76FsghU/yz1p4tgqLW/VL046kQIEnFL/7r8qUu5491jAa/21pBtyXeQYkO
rCxt519E39ThrMPCl23KbFYOFpSERBuCbgzOIV72RNosq2w3jJQypmixfVct5+7J4QK7GlQ1w32C
mzIhdWNaU0A0MjMMqghWYAoT+NPeWE0xGV5yY/FOJcSrV554RyNenK7gDipWn/adIkGbo4lL6tkl
ZHGeUBGFh+hrXMCKE9c7JRcRizdvIIukYfpIwSHDn+vXVCvGgqxHfl7n+VzCb+DyxhijJS93jrHZ
SqHkfgu5OKPxD58XADalo+Cblt1ANXY5sivfFxZiFtCBeqzbsnT3GyoqnnwcGw4+b1X6+CfXHkzn
kN/IooqERfsrnRAK0d9rjz89/nvtIaEphUeLYzDBS5LxK+arWzLsG+BgTf+V8CohE7JEUSeCnKP6
UXiYf5AXBxKCGyMOdpJo/Z3Cg1f5U+Hxy3GP2eo/A76JpBvKYLUozx89ZJ2swgVciz9lcprQ5cQD
5AalqYmA6xZRSe6pXmPdWl0Wt8xYisMi6lESZRroR5W+KAPwgPiOpb4Typg36FeZ6F0Gzbn5VQrR
Qr8XiARkxidlO1Fy2dcVNjuZgqSujX3LNmAUSqCY9ZeAXduk1cXnXkEILu36y1shF64MaVw0kLrr
eacdqiz+6KATOzGqe13OzmFoXm18GWGQtsUutvJtozdvQOe0jyGmmdFdfOv7CnlPtib/A0VUjDrn
5l1qGXJlqhN+bJIwYVloRPR7RBJwV2AKIOuzm0THkBV+nlsfEfLHVsQuNkEUUuRPN81aJLEuTZRx
MNQIxI+Wzh3FnnrNGReOCSD5dZryFZnc1Au8ggQpeScfhJx5qNw1gVZAr5NChJmFms2TW0GYsWjV
c61BfplHj+oZ59reVnSN9NDmYhcC7yHUHl7ftstHCdYsZsqmYt0verCOeweegmpmuLNfyLcdThGJ
OnhJjRBCYGSY3dEAQQWs1M5pdEl8vuZh4lsdTg5yclQtUgPC4T0BSS0Jtuhz+Ec9pAp8nURqjrgn
1eNGNdhafnqJb7OoO9ewCIo0/LoU+QKbZVeMFFwah5kaW57xgJ8S9mOCQNZ4rXzxRGstXgSvzTbq
8KY/zni7ehXbSC5WH6h9FkaS7v7J6xAApawyUmemIxIY9xc9kPS7XhFGwW+P/74OfSPXwwCEH4CL
6zeA9Qcsq2gmqUDQDQyI9L/CsmDDcOuRXH9bpX7tgTA2pmfCYp0hGBDy3+iBJFqm/9ADmXRc0BVx
yjbGper9dXcpovp//0f6f7EUq1FTpGlQf3VY9rpZNQ2XSGtvXwkaG4upBXTuxfXr9lVYayly71Vg
PN0GouvssPjowk22uCTTQZol00v+QFcDnHp6DOOWPynGNcGTMNJmijuokwrTQeTgE/IFhHNGptdk
sXnefLL/T5S3ejkGqieeuH746hNuLPCw7I2/g9hnNwf1emZmX/Gc38KAES7CpcZVb5zVAEWmNrHh
tnpXmMf/H3fv1dwo2q1/fyKmyOE9FEk52JYcTihHMogM+vT/H9673w7z1H5qTqfG0922LAkQcK91
rSswkoE2hWBlztD1zcYZ8Flka0cPb60QswxrYSIVPuBumAXuMHJROC1iTQnQk2L7nRLy1kNjG46U
u/DDGq9dh9iUpStpXa60tew1sHqIhu/mBAIGu+IeN/LiU6MXUu4QuJeUJlDxlq2nVIzgai/a3cBI
z9g1/5svMZ2xByesNc9bZ9brfxnvgkP8DjP87fk/LjHpL1We/R9+u7j44TyjZXiBrpfHuIJ+AAxM
b1nkWeAtSoBZ9vLrOq/iNEFwAaRdIAjrH3lKfGcS/AEw/LrRGCv/fnFdm2vcjYFGtp0HD/WAxEJD
84kIE28YA18ijOwBDWypXVv1KjOu/kimddjH+C5gOYARJ1l2APK+EewmydeqnZR5OdF7zbKvnZDm
B0uhwUGy0clrVd/cSvQggeSrpKpoXvLQXBrlwegQhLgjCg4gULzb7YGeEustyOTHepuea5iYLfYK
Lite4uQ+CdsDqSdLmUARzSUEBZGF5A2Nh+qkaF35ujeebpHbIy/7Et5H9cu8HgcXMQV6C35+S7f5
3npPjhT2mleCW2JJRc4SPsBbA0PebruzOjswHF5OFNyUQLCMh0QyfCZXwinhrnrll3kxibANCunG
G9wA9e1lIuxmVuyhX3ZQRsuuaV+AXnixcdHUW7h0vFfpEmCpnoVP2j6Q5uaZ+wPmiQwX+Ee4vT4D
OKQbhjw68Tj5MhvBXBwsBavVGyqg6AFTVIK6PiO8rbaQ9MMDotzkiVkQQyXLm4FHi+/BIHmm+Rpc
5kkUNgUiD6Yb87X/0G1+ni91kl/c8WNARRA74m6gOcMaB/uJfd/ubitGRDG0w8zPl9CvVReUoj9W
63SDmRvJMdFqTuUE4iW5afECFgrlcLYT7Z162/eLGUlpFrfbBwb0t8ATyVGI0pYAB4/o8rvirQf4
BFAFeIepJGHGLi2sV8bgDrMvZlgBLpEyzTjkHZcICCZyNY0Ramis2xCSMxKDdxOtkifgktpFgQwG
MILPQvFS4/vxocDikcAdHOW9AO7B1WGStpcOxuJJdEn7fOvplKFTV+wsFAAU0/0RCg8FB/vPKJ5P
gIEYozjqlCVbxJQK4g6kywfkju7cc5sI2K9LvqvtjvssTNNN8Zi9VXyCvrRXH0ags3P3HgvLMPEF
4amy7hBjkifTBIvbzKaGas3Ub9hGcNkYIzCzClY9ARqsIgHH6LFh2FOirIjNL5zvrXUovKfdrszz
Rdef9FW7nLYqQLStw9O6LYQvkn9l8h2wVaO6e1bs61330DxIbr2Pn4eV6iXhAhEHQoyKivV53KOa
PrQneaFjDr/hDPlMIAGPC3KUDiNjnJlLQJMf0aY+CTEf0oKpEEPyeD2zCTBtWd9etDPoDD34uEeS
Aj+sPxXuRHznw/CRgLO4ptebG/NGPJmPbZTNFpbH7mHaVo2jti7RSs94krmUt/JWIzN+4NR7AKF8
QeVTU0c6FRrZJdbAbBAt/xnNDiTAlv8s8whOUFboUTZAGoG2zNCM+/yquZt4+BPAgT0j6pMByM0v
CWo4TPc2zwa6gDXFc2CsgjigoClc9o0f8wrQ4VD/IFydbFQ3BRL6+Q3Td14IZdA9dTT0J2ZVn7wg
2hp+PUPl44Fj9Mae73i1ZBbdWPG9+GBCmeI6fiLTjKx75k4LcCrljBpnfh7uYfPBGw7gIbDV4mrF
JrDVSIE0pm0yAVyOdobi5XJQobU4OKpvFNgebDTvx2beXvJ3njOretInczmz8Hg+H9kZBGfeegAe
XEjwRnZgekOI88fifc2vjBVkseDOZKqF4VeyERLXOgbwy9Hs2rqG5rfZhgdB+CSVSkDlDbX3up5J
HURGy156b/GxgK65iN6zDTAhMVKFtWF6RynyPfcCAYR68jycavFikpwo+sC1M6c5WouPFbqi6MRr
VeUqGRe1uoiNF/FRhj5cLcRHUNHzv7YAQVYLz0FhoABlGIWt8X8XIPiFs1j/UoD8p+f/LECwFYfQ
IVqSwkDDgl/xo8aX/tLl+U1/5GlCIvtRhhh/0RJIOqQMiYw/U2eDfsw5yKc3kA7hS0I+C0Yq/6gM
gbTxe43/56abABu/1vhGJQddkBn42iX3c7A0WRrW9xR0TsKZVxZtwS0c/SgcMNwtB79TdvNyQXqL
S9SyOzoDdqvca7BdbTGAIOTZmZckKJxnulCp3LGeFSB1JhE3PUDjzJ3Qn43uUQtWUBGkh5nzIMxL
JRQt3WH5ZBkCVPdVkuJPpE6z8pYMla/MYLbmK0SKGAsHhYXypq9gXxy6E0wKVkzUC3zdVixYwx0/
6uEFzB6i3AKOhXghqhnsm0yb+SvGsYSAHd1nV2InUm7LHHuMCi4FcX/0FmTjnekFyIvHsNNEt++J
eERD8veqeiHhxcBNYzwkr5RiC0S4qCtt+EswF6wNtiGDsmvgIAeZzVoY4jEwKzmHI7QMLtFrfce8
e56Dlyd68UWBXeK4UnABG/XKg8Uy7TMHVa0HhtzT8xsi6lbxhKkqvusuI3eaETqPmuEx7LeGpucO
ZjHhzCRH3gkWQ4LbnpxnfjYxeyVt4aFJaJbQ5yBKGoTTRK44h1xn6gnD4BVXTJdMGLuyY5d1giMw
t045PVPKMOJ7sZxpzTF8khsFJ2nAgLCJbfQvTBqEi3E2twHiF0YQtFocVB5IClqsvf49dQAZRyzD
v8voCB0ARGUZs28wo2cx7Puc2Cz5SDcJ8di2QCHrptjpI06Ekj9Jl1S98/X7eR5i4JHyydp/J3As
8UtnBsQmFhs1gBg3S7hi33IFd/4YEOa4BPH4Qn6e9ng9OTM1MPJgODoGcxVID8FtA24vr0Lf4qUC
J+SXGr85EdDkVf5tGXk5uiD8jP1gqe1oC/myXsx7oqge5KcYp54n61RukStt+3W7hkIOWSJZc3q1
5mMUIt+UvVpAwmYwz0uei/Ylw1hhUF9xnr8U9VklSItxPB7ejaA7aayxgolQmC8mNpQYgQu2Wfsc
DT1CZvYJ1g/rnMAsTNYWVf4ymz/3drJR+YiTxZyY6NSWC+Ctc5HdFrhrSUd1P/+XP5pQiTA5YQZ0
J2DtiKTrLfmEroRvhK/1LvYkQQcY/9ZItmC4bfipUx4SE8psBbXsMZBca1h8mcqyg6pZ2sMjzorm
cCHYY3jMMF9c8ETjOdlFn6Bjz7ivWh/W9nYUuWEsjS2MhKrzhqeMHIRJccNhjc0PVYejYwhtegpH
H+MsvYqIryQs2mLNDUwky2tce84JyCIOacurYQ+YPH7qeHkuunvlU8o2Kmzsz4pWWiFGy9apMq8r
nCdSp8VXY1eDD/QU53i8OWT/XTEfwwfE7zGYJNAJyZGnvxUUzN4Ar2CwYXVwv0LSxCSU/Kz2rOIP
1HIVi2u+hNuGgQTT0daRVpFvuqEnOIS5ENow+sYruq25DCFZqAGxO7TAi6z4iZs601JYQelwODi7
KbHzx/wxfpQ+CijvmJMjUyq2DUp6/MRWT+JaxUh88rPUM7TtXHeTLX8tvEzew9FocOGE9EBdThq9
+crdZbibL9vxg16FASYzFTgXTTx43HDjpl91aYnl7ZXUqPuWEVIa3dBm537Xxqt/9Rovz9A9FpYg
Z9aMq/8fHHIKgd+5DPNC+efzf6zx8l8ihANmCgp2Zv9DlPyxxstwyBk0wGQQMSbDovHnGm/+xSO4
iiEettQ5g/vXNZ6RAj+WyCE0dOOfpZxg1/H3Nf7npsvkrfy+xk9alWU3LTd9MxPWki5BksywExaC
EmFtzFhzZKFsIp2xFVz58I0ZiH5Rm5pZ3HeasCTs8O0bx/6JU7xseidO0tcOmkLESw4YDxEPCNI+
hatctNajypBsaDqK2jZX7Co38MWqSckk0c1g/CZI47GGW5BzjclduWuajGBTYWkFAd1yRkCrVWyU
QfJKPITLCZFo3O2k204IsHMuydxSteg+CPSLZSlnjSju/i5tupWowg2H7ZDoAjVInb7Et3GT5IiH
tI7GKWuKRV2InnFtVok+4n5IZLOoP6TFxsTWoVKbgLn3i5rN+Ic5PSaYqUvhk6gRhyhwf8105MsK
MROMAEgSXvbYmOUqqEIlMyNGftIOt0OFNGtXmp9U39eUaTc3yz6HRy2jU+Rgra+gMIpytOQOSCL2
gkLz4k7GkIqVJuMuyFUvJQCopJjsJz1HRJof/rVX7P+vxVN11Pui+F/ZRzjN/FqV/6fn/7xiKfiR
3nPVMo/6HsL9vGLR8mmWbkB7krlsuJh+VOUzxUgm+whFnz7DgL9csTw0Ow8yOUQIqM+CkH+AvGuz
CvEPcJDbDTLE/9317yHhL8h7Qk+QKjGsaHk6dOR/pISTH7LqdN0aKAW24asJM3ElFxsd3YXm9Qqc
oj2+siM+qeVeGTbXQ+oCWlOxwwJcxhsYtR6OcdSNz1jMDXeQkevnBpKITWENAjVr7eKluQ58GC8A
NyKGOcM62iK2r13mgSxaLyi2wLSx/JMW4guCD7QdN+bYqjemXp3Z0ynVNmVkM6bDoVZWvQKELr0H
48mXAF6AZXLBVnTzWokEwoYVYavYlUFwWiCgsge+VxizQyIo0FrHvlK+tOer/XXaXGo6iwT48yIs
xVltgP1/vZPfvobFxyVfXJ7YGPjD7828vusUs5TUNM5r/KJJme+9AhYPR0qzZj8fkFYTazp0FU+m
r3Wo1hY748l4wkAmthuEje0K4+91sJ6jn27b4gMuMurJ2wx+bRl4AMndVtwwtS1HEoFI6Q53/RGw
DxQruMjwWrkXSvd0IN+077GGWkRguz28BJfReaO76Y9Afcd4M1AAkfhDnQ87xYw2tPMwdwtE/bT0
UG2pnEFZMdSF5iFcKPHDd6YPVN/wemBrI17cQb++a55hZLceYBbEHCTw4x1dgvSVcGO+QRo7mfdi
hsu3hPfR5JKnXHZ2o3w0qts9pVsgoUW4Kp/EeyizQJf4psSz6CWxpeDppm6YeES6I5Rvqb6SzdmP
EMWe+FK/T/4FehknRE24qSO+lnfmV4bTUbHCeOBg3CfbWSEtrWb5S7SCwPkk8B1MzZVJHr0vMwZd
9BhJLNXtdG9uJNdYhx8JpGhMTQCl5qghkKzltErzg3YOlTuU/yI0C3gWUIuFi+bi0XDC9G0XrySf
oNmDRMUNI3VCHW/rdDWal0dYB0N6s29cQ4f6Ul/iI7ZqvJGxFvz8OAtpOukjFr+A99560euPdKsS
U6XZTw0SOHZrEf4ymx5kFNTw6sgfClU23mUw3ohxALhSlvQDi5v2XIre3j4PH0M+qwShokz30wkC
3eL0sSRYinI7023BmRZrWpYTalpkmxn4EkCVc369Lvah7Gj+RMPZeZgMYybxXiyen4EJF9XqFQuZ
dtrBHyJiiwUY1nI4uy3c7swlBSg4Vh77YFxgXjix2xP+52hLwYNA1ciZEDcGzcYjewGTrVsS5b3E
ZbMUz0Z9YLsJi58Sb5zWZucReppZbp0f0oO4ib+LXYr88EDduyKW3onW2Yv8KP6P1vRf6icDKCOh
prGoJfn7v1SSovwnWgRJ5I/n/1iX5lA85rboDefx7Xe5+GNdwk8GMxls1f7mYCvrfyFepKrF7IXF
Cf35z0pS+8ui3oWc8u0dx2P/ZF3CoPf3dQkrnF833Zr37Fe0CHZCC+2jaH1u8vU7NFErono8BFnt
BP1LA34TbZOgWMNjCuwTPpztzNUmLMwW1WYextBLmef2ndVrK/uYfO0EdL2IcvPtTOV0IGvBf7KW
4ZcZLyd1I77gnuA26+t76fLsiRCiyQ/Q1jLTQShneO0zGjImMPAoZweT7aw2BspiAsIpDQ83zD6J
toUeq+6Ue1xhhszBOsY8D9C4siccGl47+4rbBokFL5RsLHHqDuqXOO2SeGsBVMCgf1EUV+1hoEEc
q99FHAsVXLh3EHJFelPdcXQ2S52dMFLmRFde2UAzr6O7sfvKSaJz7oSq19R3FgVhS8YgRLPiCSso
mPgKgXMcoumkLDbzvk0+3lEv3FKXm+m0ETgA2RPA9pIJFnxgCPrwbMVZeeCNEgd+qChdeTl5lxFo
u43Y5mXUPyrYRIVfiTAz4cJpcTuwVBdP2GWwZy8fhuihRIAuh80HyS7IFpGqk57LIWv5/KC94UTH
R4t6qHJoLofToEZ44iKlzE/1MZxupL/I83DqavhoOannq25pLIc7XDmhzV2wEmFg5Ha4eeAWwuib
yKvtrIoiLdVaZ+9ZecIWaCpPwme2MeP7zAB86c7hDj2GXb6jGGI8B26G2yyDm1cTSCpygCy89j4x
2oXH4MZG+w+Bs51Wkrq5uoj5s3qxNegGBI8PBeMuh1hcR1+ZH/IxZWLELAcrlH4j2/EG4diOwZWu
YChQBVtM2bBp/WRVMc7ZBtRMuCjGnvs8bxDGW37wLUpBUCJ8zu9JS/HJqpwqdzcf4N1ssFdakQ1T
niDgYuCVsQ/le7ZgNVYdWK/lO78aeLxJhHUrc0felUW9m3VpG4ZejOkoJ1hrxJ2lIVvAmcjmII1e
oyJC2VYq8jWVIoPpZfZufnan5Alc0dCWjA0jmyPO9wwQHULU+BvY0/IyZB2pN4tslfkr3dzQ4S74
iPy3/iCSQ2+/c4iPw5ESwzizoS3a9QDmrZc/3fZH9l16EVeUGezv/ABLThavWHU0F7Mhlf3S4D5k
G1C/d7A8+YHdlF4Q6cAp2wJN8kwy28kX0lewm0Es5QccUhkBORb+M5ivzu5Gym4WF80vT+Gh7Dg4
4v3MytUB6XbfmCmHDIARUqc3nvhLZbjpwGIWV2w8v8jBj7jYMj+2Fu9s8/RRcvmX2CjNsqckcYz8
qOyyZM22XJh48kmyifgpN4sOLCwwDpxkecB9y5EfAEgT0RdrlzdqWEWto/UqvWgubGleni3+/q0c
xb89iJdYX7KF4RYk2cr3Po+V75xw25FzusdDwmEbMn9mdIsr3pnj8c0hIfpkHm4xFXrJQ6zrmHVh
2wPoxUCNiVSrbnTC1qtVkoHero3bw/ccEEyJhvNEM1gSX4jTBV8xTncM4lj7I+BZ4zN/4oH1iCME
o/9TBBHb520Kl/nO2piHhxG3TOFUMlErPeuTtzQ34GsTYUPmjhoiP9RrLPHCGWwbX9J3wjsJ9Qy2
jNWYv+nMuTiDpEXpYTSxu72wmcNh3lZMk5/G/NjpZPPRmzP4K1wmliQZ1GteHDc9RpX4+5zGl7XC
CSFSn8gL3p6NpzrRGHxO91feC/8a2f7XNrvAS3SjBp4BkjJzrf5LswulhZHQ7yOovz3/R1EB3YWi
AeEvPLSZZ8ai/aOogAkLGIa3/ZzfK+KZ87PZ/Z4z0eca+jylUrRfGK/GXxBh8LtBNvw/3rD/pKhg
DDbjT7/YjPxt3/+YQXVSGgVJMmh+rsKsXs6ar+9wwQuQS4TbJ3OHCLaoxmAAdoCA1qI7Cb0wW1ZR
p0fFOeBanKUjCBu9kcVBQkE67Rkg7cBQGeuMkbSOUTMSR/FVfo3vNTajpl9+0aFm22ltHGiniZrY
957s147Icq4xZ48wi8PhG7cEmVs+9PzQEZvXmRkPl4uVVaHqkGLCP8C7EutO7190ubPDJlyDueKs
QB+E3v1bjUfHqG2xthFngv6WIU88LZNxPwvV4OdPK4gmTGNGPGdob3h1XI9jjE1R/wkgZhP83fE6
K4mIBMZ5dmM9lI/CR/UWVYvuja4iyHZagitcH62Hxr6qi+snE1+T8YJ9P8jg+uzUpsMH2639K4pX
run7HrJBskyIwGIGvjXfJbivBsZpS7GGpYbIdBEemUWspm2yjDZc7F3Ea/XYbY+8kgFYYM4ecqg6
Uxwo5esZuYfWJDw6PEtJvgzbfN0qzQNJYIhalCejSbyi7qhygk/If9ZBX1vv8bCeMCpiaWJM0c65
yz53Ufx5TYW2K1mqnymO4V1DQ9+w6pROt7hskA6dYC5hp4+XAN08tr0yxKaBm9EivIvd2h3XU2Hv
rh9DRdcNLSh70J/V54pBI02lI20aW3qkmUM20iQO7BjUgD3+1iCEj+G2866ux5ipfBl28jl6H0UY
UIvsnjjPV+F+zna/SJvwVMKkdotw1nJXe54qHzOclQKb4BjoSzOeMs8DGS59wmh0I686l37jZ94V
ZyOL/Mw5O3B0kFutSMja5xgrrQu8jNvV1cvX1Q4BUbym4IJIA1GlYagFWxhkBYTG9OdRK9wmO/OF
VfHJGMhm1g8X6obXPxUBw0zdntzBbajBdLdCk3C7r5+0e6FbaO91vGgu4VJ1ccbYYP1BUNu9eJ4J
RtK2xdMpOOWvt62yNTbVqXoRP2XGaP1D8UE2G6pXfTa8z++Mp3Yr4O4e7hHbbOU9trLP1jLYZavs
aIA0wRndK951dfNUVX8ZE0J2ArS5xh2JMayGTGGoztol2p12Uy+v+PpCpcQRAwY07a+4UnbTgYs6
f6qe1ENwSB9qjJXf4welXmDEnrx+/5EgNaoJaVio7Ey6Jpet4/oLfWU6DNTFA7F+veEkhR9I8yP8
TAH+meyracehzz9q0za/EQOGeavJC4/xMbuzfHI1vWqL+4Wytk7GKQt36WreuNHF8c+xfMufXeeZ
Rh0mVvJd7xfQPrKljnOshA0rADL/fXCsHdPlfz6oxE/86DPYJ58Krr97iwfmh/DwBw+YFrWNte7M
SmHUzOxZ2jMrVbAAmB0TEUBbbqlxdeorrROQRFfKQudaKxwFm4RXK16qCK0wlKQyMymPKeIQHpko
A+eZb/rJn9PxyoC0X/bLcI1ZgKcsE0oy9GtrIhTX4TpYtZt4l71J+unG2cQW6KdOs5NH8YPRZl+s
e3MH3YsxOHFx6OYUPzJSG2cGvBCYHCzeQk71marbSGtNcbmtKuxYsR5KEMi95mjcUwk8xFkbgNJA
1E+pN+HGD8Wf+fcigLeLl/O4DTfdHpqKPe3bQ/fSUeFxSXL9n+NTcghP+Y4NXcY7dTXHZIercHVb
64f+65asAtMH41Gw42+8YslceBUzws13GApE+g7ae5wu0hdIxvEp8gTXdHTH4EiHqys8AoCxL31h
kScy2uFDtBemA6dTJLjhQ+cwJfXNxeCUq3LVyVib2Qx7F+lDeMQdxR4JuAXv+RrkbefM50i+6vkT
qwpH9EpOlK/gcFtTOqO/u/mc5xv1GJ7rt7Ba1JKtVL6FXQFh8jVbrLkUwYpIyZsTd9TrLTe+s7Es
1zMvAXhmSVwdV02RYy5hc6ecMT8muhSkDVcNb/1Qv6rezR1WeEV2x9GfhWUepw0XEsyICkIpvVlz
ZJBIKxEBXQZP124pQwjIy8caZSnsgY/bCpqfNdt0G94w/8jywmk5zcapkPI8sYFXtUiXisPiRdvC
LyToJ23V1bbdKV/ipNPbgGjBpWnPgKFi+3Gr1/Q7t9jBbkOBkpgvx/uGLJrh3BFZKD3GL+GJS/2T
EOGNQHbMLMN7VPYiFqLiIM0MPc7sgE+JDu2KS1C8omwfjvgFsGOzL8QkGDSsQN+Dj4kqfd7ol/3m
Rg/HeiwpTylCFonLNPfoOxzdvINYZjRQUpN4ORPOiotYJu51bY7HMnwXyEKhBYXuzRecDRoNWhO+
aF0G7HfgJz6FW22nHmLuCumKcRMgY8jKohG1tYhXKnI0WCKnsFzUrnJKLhAQASbLFjXgmruVQL9P
DArRZsSNPDx3hC7C0iMsAlu76DH051CGiLCqp7RcqJw9wm4gRYZOvQQb7bhchPXokm4W5i8pSyVj
RCe6sryfdH2a9YxAwMoehR+rvDRTByG7PdCAACjjGi6uzK28um4INnzY2677rC56CC8U49ySubMg
zJwwmJ/mLgw38FF/5qjHTWOLg+HDk037ezXEJf0dbORKWweXBT9b0RFJ51b0RS/v0n7dPWjZMsf5
DP4dUp+9AbsYq0tZ+7pVx9sNXyME+xeIDNESWqZGgaas08ifkDr5hqO7ysIE4QA0wToBVe2XAPno
adxaFFSg/eNB5ZRNZ5ekLwgQM7WAcoTOo4JW2jtM7GejBsex10K0CvVlt/gi4nFxDkBSZwfUBdrS
gkzIK5UVKIB9MZ61s+w0HyZhJJxpJq4Wi/K5hiQTLGBBge7Ovn4Q5bzsasNX7A60K/AgoRcqrvQ5
qzU50NxN0nVjkmXplkib+JB7J4TgzDDAaZu1ADcAuHfXexjnc+71Nmu+ynntliShyjihzJ4uITwE
6gWcUDAzfHyo741mmXXrEgjJtEnUmQcuaEkR4BbLBNUEE1LYIhKpsYsYC73EgcJVcStR9xkhPtJs
8JzCR3FM1oZgE6tLSsUOFvcNCqxLVRU0Nk4JroUdrCNgFA+zRrID0DTSQXXnilHFSDAT9xkneiNR
hBxRDxapcL3Ta3+oEBlBOXFCgYA0Tw0okhe4v3/Gh1xyr5NATMK6SYqHiZMffy/WKBU7QKdSbbin
CrVbTCCS08VOj1zp5rfcIGs7xTIW074IusIyolCuDzoiT0CEB+RTNSTlJ8rXFHzha2wWRA9OqK0L
J4HOxNL3UtEqt0TDLRqUb6lj9S6cmua6Fo7hfX3C8CPEQuNN6Rzp6tXD6hotdc2vP+Nwy/EgLLhV
nbZ3ZdUnl7cYiAJARDbrOhlxxIEjtA70Teg0EGiuqVvV5BzahPwGxCYTYs8nSNahl8wU1sgejdVE
wui/tqX93/mrKDGHp7v8bzg5Skz6vl9a2v/0/B8tLcopbCAwWMftFEj6V1bltxcrudCg86KKLhN0
/pf5LYariqmjNPmDcTHPb+FiYC9oECgK9+KftLTGH4SL/91yehZ8vHBxnw3lf4XJi2zMjFzFNxO4
G0hZ2zbRQzftdPsNh5/1nE4/8ykNusSGLPHWkanodT/D98F5QZS4eFMcEOwV80UixyCenyL7cMPa
ifgjnTJ0cbf6vHsHqjxID3hkK8jJXWhtDIG+ndRgLZNZAPU4fQo20g7Oc/oE9/kbnCnxoSKOx1G3
IEc4qsA4+nefoJKhEWk7zzXQe37v6vv4/4Wf5d+DAThB+Rz/PEH/eP4vJygSPcKuiHdEODcP8H9g
LvJfOlZsv6UU/jxBZwKRMcsBofj+FgzACYoGFMsTzt5/LO37BnZ+hVy+z9BfNv170PMLwSDQ8hgz
uIA6DnKMqU1oMDS9OzCXuvn4TTNKRF6iKx3i3wkHBIXcuKjdVfrkZBIu5yloex+QfF4kXbiqE5il
EAW7VtgM2nWlGtRaQwdXICGp7macW0M6dlcJCB8qathdMFmTug/l+mRci7dbUaa2cMMUcFSqnaJW
rJhJftFbkXKxgaAudMxVDAsbxri3YLOrxVeZBSujhAowqCLmAtOjLt4usSz2tBbt89iMH9VEh1dl
2xEj2mFgOZIqKK5162eKseo7Bc4QMwND2cQspqMpb9L4WHPXFgrt3Jf1RxFlvinCJBrxzMpaJwSd
vPbvZgHPEH7raG5SmYRqCzNEDf49TMrptYxR4ho4qpmXxhrdSnrqi00nfLX96IyoGwUG/0WP59Tz
1cKxwVgTQ9hT8SZ7CZfZm/Qg4RbQ4CBvfKnVWe43KWZm47AvsXIJ6rdB7VjQgLnD47U9Xgsc1vZt
9mASAdbqRCKwEscWhvXVJSvXsfykh4ErwvMy8rN0Sx2hLr0qv7uCh6QC/fh0pxXJckJVFuOilsmY
zOP0jsCMZk+66t6IKZuVzhppol5wCN20MF9vFRbFg9fPdtI9nQATteI+QZIWMVtSIFCIBqVkdL1E
xYcxdWc9p4jOiuisxbQhLODV2wSb1kgZOQlkLvawsHBvSVj4s2h4TZqOTOFwFZfG0VJzu+rSu0bj
U5y+uhYdjCK4XGyHHKFpC2/kSm6KOXk1+5npyyk2nscWnnKPrmtCIiV3jtrRnV8hniXraBboxLA1
9DeVElwMqeWUN1W6HWTW+Dyq7SkE97CkTdA+D8h28gi7FBqUKncL3g0ZFZFw2JhpprRptV1WSljr
lNtKOppoKOK0JsvzGPdU6cnZlO8TWXZisjSEHHGcjrHq7ZlUTaWgTMPZLKjT1YyelTkUG3ibZZS/
6RU2LWXzUEvNyaLkaxvxsTBMv7Wqp3EKg1chgIuRRfJzMsW40FDrWUX+ZATMFOU8e4t67bpro3Cl
pMbSTKyL2KC6y1V0a7lI83itXsyY01Qr1zdxdiQLgk0gTnv8/3AntlCyB4rhSAZBdgJzrz7yNb2E
SkH7KgIvxZiqNNW7GOI8esvnY4HxWB59dJ2yiucZBY1PbBgUxm2I/UAMazeScz9trGUyXYSoBArM
1+M40CdVgyNY+keMYaVzzQaMSqfMXKhhD4SXietG0FLPGosIHx5ZgRFkdME2y7JTP1Wlm8dd+ZpS
gF0DBdQMpEQvyZ+2ivt/9VomKipRN8pMBKC6+W9rGYvdH2vZn8//uZbBhUONwiAAj4s/1jILSYsk
YaUhWt+57T+XMlPXNJzof6TK/eQksJTJqiLi3mUZrGmy/E9qrblI/H0lMyyM93H8YgUnpfdPcuuY
ZW2n91mx1Hpze6tUqG0GiLngBSRgDyDG5qfMTFVTB+w8rac8qRa/HLrj323S5dkW5PdNgJfx67Gf
y8FfFtNilAUxHgSaWouzv0rG7lhLMOX5pIY7QTSEhdWaD3o5mnZrtNtEKl76KFtJxO1Ueu9dJdQM
QBwMXBZlo61j/Vmv2scc0lUUCasmLQbbTFXGDqmGqX+7vtbVRS2TdcstchEW9xZxLzdBeBd08dxN
zVm/drg75Oc4SRRXnPtwHUyjq9SDVtAmC6F0DrIb4V9Rc7EmFevoThL2ZtP6+pgtyCsAdZuy9TSm
yleCbwRavgnPn48BDkAfYsNj3O4nM/ajComu3lj6QlMIdlRGes18bY1IhnrgYRM38xS7NKMQnm8F
OIvYPDQZ3AYp34VT5hQhTWMB8bebPHW6ureeXLprXGN6GVROUMSPvdz6ibSu+PwajTufiHAXGkh7
E7dSqZxK1s8ug8/LECYjFO+aUVHAqyRbszzG124vNhC3aglTEyUqtnqdr8VoMk5hP270OApR2/T+
pNTbXCnurMSSMYqfdRSDTHC6nqb2ZKBVZllN6SOJQMe5McrwXUWXZ1i0rJH2aKbAGoO8tNT2Lknw
2WzbW+5MSvxQYMEk6eOmnB2nS8Q1OhV5jgIyNnQ7VYAIpMq40Z6OS4vBjdcm8kYLQAcrYRX02DKr
csGrhU6djiuJnJkby300Gp4+xA+hNWA7psG+hr483mhCW3xOSmgfSQ8q0Aa21TPMYkpicgcnh3wv
wTcucMtqx+xSjfpltK6e1qEWpcmowM8lK1qa9bAxc1AnraNBV8d0bSnNY9B/FQ1adO26jiw8XWdm
tmCwj/JWv+EVZ3R+Mipugw9cbmogwUjMWzwkFgnM1YFWOgzr17LgLdLRveWshhnZueY0AJttygAD
vDFFv1NK+xhFeQecFlTxQzvI741KwE8fFrfLGGSNHSrTvBnyogHKKkUSIPUOYwVDje6zNCfZ+VPR
VMBQXf+6qdqm0oEH8zKYMN3NvbrhgzKGm8cBGud6gxZfqbGkjS7/7kWD2zemJoZoIXv8v3WPONr/
vUOn9/7t+T8XDUbZqAUICYW2ps5t+M8GSGXkbGqsAHOP84u3iSL+RRvG3Zz2HD+I3+wXrL9wXaLl
F0kdRU+pq/9k1eDu/B/u2b9sujkz3X65Z2slt9copAHK2+q+kjHugMNPEWllLUoF5d0o/x9357Uc
N5p12RcadMCb20yk92TS3iBEioT3Hk8/C6q/u1IpFjN65u4PdVSpo0TBf+acvddO7gZNmCoMmawi
44UYiDuxQUtKIukpd1nEqmzHa2Q6hSztBs9bFh0myDza+zQuRIUvIRMU9uGKszM6kcyRNt8EBApH
+rm3oAdVGta4xJnqRbkb+nTdlNZajdtpVVChVN4yA8lZbNAD3rbWkyO8VJqwAtF26uSf1shPA1+U
pj8FC90GjPZQNJaeSjON7rh/FEpvpsK0yyNpppHuVdJwQT2TY7NyuxcBO+bQgTqRvF0ElzJhl9I8
eqK0bcvCbs3w2Jv92vK6ZRBksPcouLfeM/PDKW3Z6AgSqEmlR02FClDt3Z1VOLYkaWx10rvGD/BQ
ZbYfpssan4WX6ROR5svgE8God7R81OrBUtQ7U4jOrTbctwJdSuB2DpBEgQQPFhhPcVksXANOrRXb
qomyt0mOcmccsygaE76Cdaz3WOjGhDdj55ig7Bz2Q4PdDzCOCIov0mQhy+UuzwgrE7CulcXRL+SH
LqWs6jT08PoxWWWgdBgSXRdShqW4aKjy0RtKUjmh3ATujy5UU+rdwDIl7ygY4UIpNOLnomNldTs9
K8j70nc9GQBRqZ210F/JjoAxRdxIYfshgfGUqGgKzbBsNEKh6xp2jAGFKlbdTSIan1HA/taqFp0q
0otXPBJCKRNjCkjmbQZnWtTauWpW4rqR0eeP1dWYsTQVR5SfiJQpbryZa6K3J4tUEqxdXwd2Wcgz
NW4WtW4c4h4Rf0oDQzT8sy5QRHbWhanhcCdz2gwpuq5EUqExkHV+tXGwASmlOWP6nHPucwNKXY+p
TaJR16Meiz1jU6nBwkiyc2oEy9SwNmZ+9oJTFEdsvVpawzoVAOrJHZzFEpqoDqeDCHoFl54xMD4r
dBQ9a62wPdP95C3rmEZrtZwEpsb6P+wZ6+UGGxHxN65ARboLngxijDrRncvQGQZ2lgbKNXfcadJq
aI07t2elIiIvNeZmy5KHANCcfm64gYGV5y8mu1drECYiu9na3OW0HQP2uFn46rHj7Xm6KjtgxT8q
sTtP2RdnpBolyVxkt5zo54G9c26ZM0+mE8P24sFjd52goC7ZbYvS+H0/VuW2M/aF/9gXx6RCeEH5
OtOeE3bsbbsXBTr26kbJH6riM8zfRPb3if/gVegsg32QHzJh0Ru8P5TRnRd97N004LNRWlExqITP
ASOH9CwK4E3MRx1/53iIunyOanUSdhgoKEFY0baOyQZO4XvI7yiWp5Jf2zllC9bKTJc8si79acXR
ycklm7GhpdjRAx3SYnkTUARh+3YXUhTxKI5URQxHDYuGWB6NtJsKSsqWVTdfSinOZ/+bJ0oqeRpz
GfPWr33QxRbhi0ohpefr3dUfP//viVL8lw6yi2hS/jkmKlxMlOK/DFRbsANGfthfc+i/t1fmv6hR
fw0BM0m0YTanfmj92pj9VxAw/UrxTaHw9zMHUnA5T5purFiR3yuonk0y/JJn8F3Fs3Iff8qvLfor
GBtIuk+dTTIwvTRrU762i8gOZ/DzsVY3dBUJpGT8hyTvrqRTA4zjFVP1Vjxou/JZPKgHBbO3vyJy
y9bp0GWjP0LfuO/JOrSZfaaf/5Nd+1fd9osNmy7+OflzUTpB6iJoNZxgrHsuL6oMgz53gkZZmEBV
02msEbVpneJR4owQIgIddFTE99yTHw2636gWs3nbvYC1LYSVMKcsw4nds7glsMWcUuOvgCCkk8Mr
4uzUAP2uGbSmyQjslI1MBE9252qrgJYuDTfpPdPsvp+QrD2kL6I29YYt9AXf+2xbAAW2HGJGD4dF
/irgEnehAS0l/RC8e3z0G+OpOEjmJDSmMeV+ugcPGllk/U+uAVsRPnIdZu1mlA5lczOcjdKJ0B6a
fYJTS5+FxB1sY8D4LEUmUrYUka5RmOxImPLvxM8In2JPYNYEW7J13zzLp/gz/qT2IsFyHdVKIrol
b1qe5I/ylE/TqY/tn2rhWjqV1iT4tB7iZ+9T+IGaq0ymEh30YpMGCxPnZ7tK0mXMTLfqx5AH4xjQ
76RYSf/1xd14IB0Y8sVm0i6Se2lDRVLYofnZ6sbMOwzUVPPJ8KTK816jzzdN1xpRPygsSPBc0Rum
2350G7vBOfZUP4vnZoGOBy7Q8s7f1c0K1Hwpz83alrN53r2p3jPJ5P0PxVqYGr4mrOfzupkF5kkU
PpUtKRyKQ0FurveUZlksncrmrENeKdmwqbwncsf2ZJLIR2UZWcxYwVpfoSqhhY5XH54sAWnipHnQ
anBGy452z1t678105xydWvG9hWrP4JwCnFQ26X1hbbPXuHqSsUilb1oKrKHa8fPVDv//A1Y2JNP5
jwwmk9stpVdFTcmGr7R5ONPiU4lWF2FNO1NZmcgzKQFLhEYuxsG18fuUWe8uKxM65px5XgqPTpNu
gkZ4C0OC/CQIoohDfNLi6We/h1t3JR7SZ/m+IOw8nrQvrFYCEjd4UYJpD+DOXZfNTCXypJ2yZk3b
kboAjRqxNGIjtEjQpKqeDdkyVvb9Cxv1LJvJqNzSuWjMAmL8ApuoBcqmA5HDWNQD1F/Zm3pUj8XG
467csaDU/QVhDt6bWC8tomsr9OG44byngtBSVzJX/J9BXpko7DjFIF6l9YmXjfIfpwD7Qjt52tp7
cxdhYEu9Df9JComEXRgxbniiMkkLDW2iepE1GNMJNFTbJ18WPT46jh6N1BgjyHGZhcV7Ii3Un+4i
Rm9FQcCuX+iwIXYBVf0SKQjdcUAgkEFNgXYe756PHuXIdhOluLOU73P8xtOOMFbxFIH83Fr1g4O+
qz9UxVw7dfGn6axd58AuN1zmLLFZzNipu2h0RNyr0CSh48MJGQ+LcjugRi3XSMpLBNNKYM7UbcO+
2h3aQ86N4M2kWoPR31uUvC+NPjO1+OhXuDnzcbtx57QdLXr4jQchZ6qfO/6JNIayLIlLZesNJKhD
F+KdSYBE4dXuTTHb9L4dLIW1tzE3w0P2ADERqOysXpminc4JT7hXn3AkZh+EuOwoIxQMDPq8uHMB
lnZ2tteX6CVonwwf7nuzALch2fCouiC2s1LmbyBYPSNYnu7QRDVSDDLnBsZJc4oQshdwvmtvR/58
LPSk8ZTWIwYV1qLYffCnEEC5BEhNHKtionOXcZMDONObd2lFDpeGf52wMaQEMWTKhrCNM/jtyv/s
+lOYnFLhLA0N6tefESs6vo9lDT7b8XFwwJMI8G1ujfgtNVmdzluLfmuRPwVRsZFNPCLiMFeMH9w6
k1Ka3995i0CLcFi8hSbxE3hTyzECRFJmNWTYopsbOTwnajzn5hg9m/DFAUV6Nd4l5GFsz7C+9lst
q55oV9BXK4/hX1XJ/52GOvBLtCghDyAFxxr3fRmCturvZQh+6I+f//fqSvoXGXyUrikMSyjsL0Nb
JRhLOLZVihG/sA0X2nfQDCKICAoRikE1Xec//Y1fomrBKpB/EgwInuG/KUPQEfm9DHF16jCifl+J
qKoQyypb24XYr4TsGbdVv/iFQd+Hj/IONxturH6JmZRND7+hxlWJlCkzFCk5WrP4J8maC2tZF1vi
DpCLE94g7+Cse5TYsGJI9+kbZmq6/KORjICWYp4Wd2p8JK8ZILs5PPhIvX6R0vF65ZE95j8Qu5Sc
M+NH0GfMgSeVLQCqLnos9/wBHG2o8NEoMDL+zy+B3w/2qGro5oBUZ+pCXYyQV2dm+XQKCc+Qpo1K
RhW6tIpNE/bsRWes9SibR164CfXI1gclmjSIae/hNZVExukrUrGMallDNKnmzTAfWBRO84+mRInH
pLjWPfxt5y7ZRdUUToQkTy112kaMnhvLnyAYQ6ncG5sAEjs9VZis/SZTt1a5EjzbXIiYBd4kFBWE
H/hMCFMRy0o4qc1tDiXmQ32IxHltPSNfZ/NZ+Lbu7PV00zTkR4Fz8CFqnrR7+dXbqtl0kCb6K6uQ
WmL7ZCerUkbhAbvdHjUeuI9x7yE0mzasEc01/cCKBFqSvc1nV1rl0dLQZhnex3ClVLOIVYS6dT6L
n+Ud5nD1EQC3M8ngvEySM8XRUTeST5qfzT3Ef5NnQESfx6pyQsHFPXUEISBnzyfm0drrCGCNGb63
TXdiuyo86FsmbUrziIb11bDUlvn0o5lIe8SOE0SoNYsamEmT6id4yuf2MftZP0TvLtqRnbnSlcmY
sGjEOMyJtToKiOB/oHLHUJ+sgmP/kIe2CHDgCVUxyDBl8mmRIj8TsFN082FurquVssXrhqoFfUs8
YfRVcPs7+P3HkG5M6s+PY0gRMMt84p7yRT55fs5sXrxHdG28Zv4smr+9MulP/Xm2MPm5GGtF/xC8
OwtxLS+cVywFFLlIJ9gYK2FLrtJzizmuZJlq2oBxVukiXfORTPLFeI6kpUniuK6k6RjcU6TfuWsE
/Q/Kpv/gdqK/gwj1gPR55nDvtXDpKS+++inWC4uIYWkRyzbu73wKuoiKWQ7DNLaRn0fm1CUuEQef
Ak9pCv0EvtEAX5gdPeROvK2jjtRpmmkooRisoX6eMLERvjYqLrPyGEv3UJ3cRjxAhzhZPR1mdK9k
dmnKwkEx2E5W4k9yHmYunyI5V4hyAWvJhrkPlFeoYNFGt60fHUpphPX8+ngfMVkf1uyjgufFVgzs
1mjEk/bKaw1W8efovGMJhf0wHu19/A9pMOiC0ZoI9hPnYbsgNfMc528mzhFVWXrulq84OgT2iueU
zQN7/MTzBXxmW3lrgpVUU2hMWZwa9dbK3hXuJ6vimhEhtnYJQmj90UClz4ccIMB3F9DXttG6xvRj
TWP46hoASoMCzAwzGr4MoIcEW43YgNlIjMC3F+zKURo95duvD0nNEpjFSE/B0MdPBjUK8a3oRTO1
0ecjR/E1PBDjsEznySw//jBgNMfxXFfxARKAV/XiVnYPAMrYEJKpgpmP5SHKVu/NmkZvCCRXo+Z6
5Jt1iwQuBHZh3XZBSIxsSpBVNW5icYu8Cg89MW7IQGAwsubZoDPlTw6vIxWST4L+TTRGhPLn6QMN
SLbOY22lKLZY/FjLzUkGJvVZeajYOEUzdJEF+8ppHB8gBSCUrI/gsvr7JiYl2qXQBW5iysEmIwID
ZXa5MDETsjWfiLY7xc85BVvpIgafEXbabD70rXxGNa5OnphHgAW8S9APqjGttD0ArIRimc+rE5BL
1K+iAbSTO//Lk9DjvRxjPhARwLDMhROmwQdAoQHpHEL0E4fQnMvE80fYJ/CdaGp7+pJJCSUOJlLu
BdwCY0FaEb8BHOLDTahJV4ZeBT6WSyV9+Z6zb1l6oxKON/rd/3Ezz/ICtzEWBj4Wa1Of4KDM5Omx
mryrk/Z9VCub9sedl2ERZ3AYGGmN5CVkYpDwy6ARmDj37fz4Fz08M9nUT2IQdjMEQJO3lIFjdGax
0RHCF9LZbBJlEeJKZ0L5bFq148DCjj7+yyBRHGhSrduFtqxP48cAy2TkmdiMzKjhjblkh4xr+Vrb
YuCSqdB18wC23A7SCj3MXdbNc6YIsJ5jlMqOm0AdBdjYr1ySws7s0iJuZPyV/op9g3KaTJp8yQ/L
OxLNApLwSD2HgkqQC0GzY4ZLbjf9jvttLgtawVu4onQVQUnUEfhZuL5TlsETbDR2N23nowKdkMhB
39XZNjyx+ZdJL3JXVH81rGJIVr1lVSxid6ogtfc++YBU3m4KlXqxrHEne+zp3c+y2nT9ghwK+p/e
+vO+fCHvEX9KtCwaLAJ8uv+bi4OyOOI6VeyVyB3kWzLCUT/wu/Tij5//9/JV/tdIPiJ/1SQJ4Pd0
auVftN4UxaCO9dci9VLnOrKI4IpS7VWpcnG8fy9fLX5KQx0LWOi/T2+V/6yjkY6tAVEfQUUUJEdh
xEUTrVL1MqyzMFq+pjRwVliwduUrTp1tvi32sKrvhJ/SLrTdQ3Ry7/8ihvxjFU+CanGluvj94Feq
C00LA7lo2miJZP5eX3R2PwtAOQJOebcW5FFNnb8K1v94xLHb+d0RjfF2XFxuK3KphuTS7lDn2ru/
tA7yjDLYA4WXjUxM8+jc4mt7EmbDgjlj4R+69q/v4h/PYbyjF1ZZyrG/XbQxnuLFKQyD1Hd0xaNl
0gLmAV3UtrmtsSq+KFh/USK9ealXFdJCGUQhMbi5DAcgj4aVvnbheIszHDczc8tqZDIT1u1WmYJS
hXX4/eFvXeVV0VkVq8rs4y5atq5AOwPokr8iNO77gyh8l9/ey/G/X95LejtDnXvjNeafw7xcA4XE
Gfmjea9n7JNmAUGY45Kjf2L//omkbZltuxVlTLJu6azi9rcW6tnfGa8mfBGHDNluul6fvj/LW0/C
vHrptDBC+5T63IuTB7PgCE52ay5qhn9bneeH9Kg+S2RQ5Nt+Oz1ph3IdPNw4gy+fBqPMqGZmfy5f
fWh16mad4lTR0kwHShuUVn3cM6y2JCDu5msq/dBdGLzsgPjvTncsMY+wRNlkVkFSzauHbVZtsQtj
h7GyRWqyzI/96ZD4gMC8FzOtbry8Xz5XxrexoQKRURwHjovnGuuRgyqI55pRQjYXrbjR8pOKMssy
8WR6PlT59q9qyz9+luPn8Mdn+fchpSs1gZ/4guol3KKqZ9VEF7PCgOxJ6WlA/qo4P79/IqPu/LvD
yVdXWMShLshhHS0HBz0B2CczAgWVvZbKW8XGv80fWyCpvjHBuVfV8SzTCmrfx0KQZzfO5MsZ4O8L
/yWNu7jXedarmSsyJHpH/MI73km7nw8/OGxw4xaPb9k3t/j6LZQi2VHd8S2UjLvGPGTinVG+RcbT
9xek3Lq1VwNfpzaWFOkJWj6qGvNyEs+aQ7ehKXPM2Tit9aNyB6toaixYAuMMg3A/MexTsHBtf84u
ZVJjN6PUsEumN8bEL6e7izt9NSY6miSgcmVEFoKHRM/4CP8SLv3jO/ynknKcWy6OcDUeakPYxsFQ
QmRb7M7NmyVOcKmWdrOTS8bA9Mb13LjRytW4VsulE7ZJFC1LA4sgKv083rpEL37/PFXl+9dGufoy
m8zwwqzktWln4Wu4pMklnpyFhfdmO76q5UuwZyBbsxdN3jqg0vEu32lv1qYau1F3E23Bx2xQHGJF
/SQFk3xJhe4OsNW9dtRnLlCUVrxxytKN8UuRuaSLbyqSaTC2Kae8qafei7I11+EeRsG5Yj8OfweH
eXgk/5E9IBKEG9PN1y8B8TcKDEtQturVwau+j3XP4iUI1M+yO+cVgKBiY0lH31MnQ3AwitKWcBwE
3nNrVevvn5by5Ut+cfSrga03S/oVRkFVrASxeByMkpIV/t8MKFiBrjMKN2VGRzLcSsFOzX8oTMM+
CUvUEe0G70A3cqohXOtwsGEZuPgaSHUlKtSxKETh+E/Qo4Z+PRUcYniHbqo5tFxd0BHKnWgdPf/+
xgV9+fpdXNDVNxW7lhCVLbczJ8Cmz2moTSmVLGGIlDPyX47JVN3rxWR3rjbNutiY52Gt7HOAR9pJ
nBPNQemVqt74nL2Tc2OevHGztasvMI4SwVQCzs3HC5aYGxWv7veX//Ua/e/Lv7YZZS4zlaFwCNBU
65I27h3IgV2+8J6GWfTq38upbWy/P+bXC6aLY169wYbWo4yt+XxCDPJ5peIeJ8s0++n4tE2FaA6h
3hKeBOyt+KzohNJGH+ijOqcawyhSmkmtn330zCp9TkkqZ515Voof35/k17eelDb2jaBkxasllSu5
nZiZGbe+1Uc31cQ1vBtPd5wP/pgvzb8PcTWRNVIwiHVIgdlswMmEU3TIkzrGpg1JJzGp+sZv31/T
l2ugiwNeTVCCqYZ8uxxQIuY4kOCmkSXlTvsePkd+Y5r+hxfrP1d33TcpfY9kI5kbGMLy+EGcK6Lk
U/oBqK2ekjJFM5uH7v4FT/7HGfLr/e7fl/jrrC5GZkGRM0kpuUQHf84kxTpPHT06mGvpmGzDtX7G
ybXz3/lqU7tcmcuf39/hL5dAFuZBDceiAdjx94nB7YOuK1Muuk4fJToOlpXZmAMIs5JufLjGl3PQ
xaGuPiIp7wohH1/QDuxpOUP83+TnJjp13l4xlojeh4Acz5mqPQ90daSPLNhjzZnG/XOQbrJqpTln
eAdGsvJKu5QQwEMhTKatuSz7Weg0RDHBEbStipMvnyJj4wJpHBAirpPsoTDe8n6t9PncqvdecO6U
z7R90ogbrRBSasWmbGIoJ/QkktdcCeaSttcahHblfUvAdNglGOJBHcw7SaALFEJenRveydTfKoKv
E3YFQDOKnUIWyaBvnPzQ+fMisREdxKgzCfacVMpJMko7bD+/f35fT64kz2FaRs6F9Oj3BygImhqB
z2QxYgXTsn0zQF2o8nMf38XisWl3IgC54jUro6mkaYsbB/9yqX5x8Ku5tZE7EZ0zYzE37xAu1GAy
2VMtnCvCrZfnq5Hn4kDjyu/iK+lYYuqBl0ZLi/IvbrdyOnr1nk3jxnFGT9OfQ9zFga6GOC0rcy1x
KT/Va2iaqAVehqeU7lF9ojO/RwWCEGCl7Wsgu/lMeUdvTY27uCtQhMIb9tY1TQET7FD16M6/v9mj
3u/bU7saDNMel2ruWuEyqTWsLA60e7pc/kEmyy5Q+FbAg0GdIpFokvnQBmV5IerpQ0/6nwOiuaus
Sdt86tmxlZ6N1lp0UWPH6rOTrcLuOR/1JmkC/UAHG1TyqRDLAq4iUbI7NUetHfEduZ9FcjJkeZnR
K2wHgAsODENmu++vVPpy2P/7IVyvIjQrLZRQZQdYbbs3Y54+OgvhEC61u24d3Rk/RGIyssVP78bb
/Gu7dz29KSL4diz7gO1Gg/XlS1YpUhPIEkNxOpEmlO3HDCJ1IVAMfAbd/Evb4+/CBcLrqbCGZAp5
eRQT3tr4A9D980FfnsfVgy69VvZjlxWrNC8X3n0867banD489SNt8kaKI01mZy1h8Q9WPLyZMH0f
9hL9VjuFf2gdQSgShyLshkfR7ma17e3pVs4BlCzuK7uZQ1I6KqvvH9lYkP7j5bw45+siYhiHOe4d
7l1lD3a3UmfuMlr5e3MBUY0TrGhIT8EI0eIkaX2Gm46VKFVce8xKyemv3ryJN87naljUctdUmpoS
l+nTkko/U/f1+yuWvvocL6/4auyLhAHLaMpLKgAFG9T7Nt+W/kEEb5k9BSlp1jLCtpvGwBvvhnE1
EAadWwa9xLuhTV5H7BZ1VJbB0rO+YMBCgSDsIf0d2i3Kt+diT9QgL2g8dsMnln3rHitfLR4ub8HV
B5Oi88ULj+GFvjqhnbrBv3zE94CB6JseA2SUm4Cl4cy9h2oWLNs5ur172nKAk0rkmXa0tlYiXaWS
bnoxGyCuTaDz33hQX40ml2d5NaR3WdHqFUFTy8Le0XeWJngaqD/jQqaeLtHY9NbBx409rzyum74Z
S4hU+20s8Y2kjMuWW7OBjZvuhi27lZm5WpA+hGVh79xn7LkpHYJtXhg3PsYvC06XVzx+rBezpdIq
amS245Z3Et/5dyNCv//U7hkttuqJDNeFMXklWGBF8vHByqa0NseYYfcY/Ai30USGOReCtXIPwY1H
8eVi9+LErgvPgklEST4O7I6F1ye+S0wB4rwty+Srpg9p+0kQBkjGAXsPTBztqA7LzCd/9pzCUlbv
k+bNw2yhoIr7/h35euin36arqOUl/XrGSZp6aHuTEyOwe0qNtzVfYvNZzF4c90MtqonhvgTiq9ru
quhBjmaSuS6dZRQv1eHZau4aEJFA3IZi6elPBipOsXlU6eZ00o01wFcFLqoohPxwkqOn7fcH21ms
ADVdIJWmmKvBTyd9GdSn72+F9OVH/fcxrKstfKqS3/5r9kEOtGhnbzDBJ3cffMXI6JEBMJ7c+Fa+
HkYujij/flWU7XQnGX1zcA7Ehb7PH0H9lY/VKpqnD8MKmuCJcLK9s2HCmDoHeRueGWGedbvXpvjl
pOVHPwcizELbTvKJs0f8ur9xU774nOlH4iGjH6ubyPR+P0UJq3Aq5ywLnR0wzI0Ln2k+FBP5PdlJ
R/T53x/uV6HyavT47XBXs1cl5IXvOzznxEwPofWUt7teFCauu5VhKspPtYjktUOY0LIjnbQOnqoI
QFm3d5JXOfkog0MNxs+05sngTzVp7bSoumTEexYIVrJ+RykI7EPhBbzDrW/8i3f0t3O/mqGkPpGy
ROFT2gXH7kw6kflYvRXHDKEUoXiP7KpU1iI+vTHvlRjHvbTO9hERaPaNe/jFsP/beVxNTmLaG3oj
0tY0lIfU3eHKEtTHGlkDGfSrUMwYZ4i5BZ0Rt7tIOMjdwgtno1gJgZqBK9hQtWlOBhz4dOveUXai
CyRWEOcW2vcwJkoaTRLOf3sowYgWb6V20k3yL2xLeqmxfw78xdLw/3lzf328FyM7ddQ4KIGGLOVd
Nxfm0Qo39p2ZTSW7DKnwzWbBiWTKE94MgG+TfMsLs6KUuTdn39/dGzf31wr+4jxSIc4EV+F7EDYF
+J3X9ljGU9L8vj/KF0PR5SOUriZRLaT0E6U8wgqFDQU3CGmwPLIbb8pXs9Jvh7kaVcvAGoKAI7Gj
S0gTj1+zl2ZlGBOUm6tuqh9RMO3LTXlECbPzgTcev7/Kr9YKl8f/dX4XN7Oz4qqoddaqmwN0rpm0
affhDxmV4TGazJb9E75FG/zkIeM8bi3cv/xaYXWD20C2bI3G6culAuiyTM9MGpvQKAgWeG+NxzRM
brwt41/yx3B2cZCrIaEz+yLVMgiNblVPTANHENym72/iV2seCSrWfy7kapXnaEMUJhI3sQ4/Q+O5
bbdOfrZquPco+gv1IzBC8AYgMJmUtQGudwjS9EfvfyDSm6ZZM1XDvZwE08yA//PeBfURCaUeIY6F
BOFENU4SsIrKMW70iSw9itajRn5jWj365bPHYvb7y/mVevLdLbt69U0lidOmxgYbrPRpQ/Hvg8wn
MuN9rHD1bjJR1nArsH8grTsHs/tq0W4k5cZJSF+VRC9vqnb1djixLlZ9ytuh1Bsn3DXlyonvyuJR
hqiQ8q3gR8lB/ISwZYf0bOV3IlIGQkwcgA+l/lTku1TFFO2fBB1qNFiIPlxU7Tmmk+sWSCQg/ij9
yqG4mTsHIOcVoA5HtjBEL3O+NIXwOqffRuGqVO+9FLIRu8ty5Vo7P+gnpovhG90jlrQm/lGXVNnz
ldL8DP3PnEjLMdR+Huh3lvOkE7nbLEUIlbF8styl6OBS0XYiYCeCMU2Ekp47qbVDALRJLLZl/WHg
gBGrjzzbuDCAo7GdWL6LkCAttpLtZ1Fv23SjDm8lszLEqCh+UkBUE3Y0KBhQnInULnuBIDTyshxz
W7vH8XJ0bd+7G136WUfCPNZX43cwRnG46sJUsUTLWLtaTDS4U5wR0B3uovKHUS9vvFrjWuWbV2uU
cl1+8rUbhp05finKPUWFLY/hkaf1iab+HuTpHcEbJ2TjeHah1B+RuKoT5SjeWFCN0QLfnsTV7BxL
dVMHFWNuPbABVF8KLEoh9u+Ij6yr5kX/3EDz6JCqooyix1WzvME41uzb5hSOethu7bnPemtuffBZ
SfoWaTBWQdfmCXGRTkIZzL9Rqr91ylcjDOyPoIolPgZfbZYmAFKtgKxQrzGFaWl0Q0l0Y8gkrvO3
h5SkgSe3EUOmJnl2LtNUQqv7/YvwVVOYZHK8qjqeVd0wlN+PERl560gyL4KrE3QkvuXlQ+udFXB0
Vgt5unUmTbPp5d3gP1VdbBv5voOf1nQvWQ30Jb9Lhgjw8M/vz+qX0OSP1/PirK5eTzPSiqoY94h+
Rk4mZaMya3ctTzfHEdBLz1XylDv4B6yGfB7UElT+4bjZDrxcraIEAn+gTEYhcHNIMmjLVjuV8OHr
VbHNiAd1Y/3W7DY+i+sz1kR4JwgkwVONyJPLD8rM4rRW6QostSFZUZ91xApaQrroobpK1O7Sj7p9
NupT0buzPAAAp/wMDWjZ+qcoOrOhfK6JkEkxPvjRMW2eQa9b+NQE+ZTpR1GpFz7QgNBbeaP/EH7f
WfOsmem1k8alzL/Tc/J4rDNNHFBAwSJy9wrrTqlNXzACLWtcm7r5wPblrIjFvjFvSjzG5/Hn1cNA
stg6i/I19URNtY7vmLcIo5GjbAqzs83yhxI6uNDkiaHnU0vjYvHc9oO/6PVhZtAqrJUPKXz//tX5
+jn8fSZX7/PgKk3gRrw58QA1rjyqTTgzBxK+Pfch546a3q1p+ivVFAaz/xzSGveNF0u3RhBLxx2Z
l9k2vwtPxE39qEmuXDuzds03pSH1E5+CG2PDVwPR5UHHAf7ioFSWwCZGDESW9V5p6y7fDmNeOfEZ
N5cAX9V1f7vAqxWA4g6uWhY83WdxijnrNV34C4nYSvFHuGOD1Lcbek3b+gmUyCE4aHPrnnMw2mm9
jB5YFQUbeXlj/volfPvmhbt22vdRVAxyxT13FsoWl6T6od1JyAPfk1O0y28c7avixMUNoHj1+83W
M4X3O+YG1MTTrcpFR+xXOm1WDgBdf1Ydgntq3evokO5U8jj36QPLoWZirUP6x8folVxMWC02KQ7s
uin5xXb5VN46x+8/wb/CcC5eiN5ykyoZX4jNcz4REYGwMJ08+3ftTCcAhCLg5LA6Pr1/DJPji0A2
ywwY9zT64WDskCf3j99/hb/65P/8fAg8/v2OKaErq9koaRaK8mxK0SoLsEe0+t4gL74L6F9QkABL
4LkdRYknpOV20S1unMQX1fnfHts4VlzcEoPdugTVjI0yfcJl9dNcVcWEGJfhlcbW98dSxr/ruwu+
2j/WvI6ZGvBCCvf1Y7dS5lE8lbZUPkgOex3egzOxc9OxB+Is45V8JCqvtbVdf07nRIcu4nOzds7G
Jkkmd8SBqITGPFgv6t33J/mVhOXyhkhXZb0aeC7OVZ4KKTnTEjo5+XeJumIitUnhWHg77zXdxPOp
e1Q3ySJ+orXa3djo/jrGNzdKuZoo68wZqJ5Q1ipTa+qjnM2FzzJeF+IpV5el90ON7mr//0UwdHnl
vx7fxavguWqfw9BBT3qW0KusnVOx8u6zpXbyd8mGEBj/cKuVeOON+CUTvzik7BSt5IkcUpAfO9sF
OafnqyF8VMKnpJrfeLLjtPbNXf3VN744mFGRB18kJndVAu2FYQ9EkZy9GQaLIC540Aa71cSZFaxM
kwJrQvMj86aVgWeoUqZy8BIr5l2PDAJNNqw8mncJ4YlYX8kA+P5Ub9wW9Wq2dEPMP6nC848ltK3x
zrLYFVYrX13EKCm85++PdmNUvJYdJskgt+q4z+kM8gSybZHuE+GWquXWaHetv4iM1oSaxTVpOHk1
36QffgpqENCo6cUnk1BkwC81DTjIzfJLp9xqwn1Vr798va8rOK5uAsltGH308k2Q52JzNzTnrr/3
IxrVFr5n4wxNfmoJJz9qiXPYOs0+15D9Rw/f3++vpCi/ncn4QC5exKFp9EIchxjJWZkErBnaOmk2
WkDchu4tjPxFFmtbKI94fFZafmst9n9Ju67d1pEt+0UEmMMro0hl27ItvxCWA3NORX79LBpz2zps
HRVmLhoNNE43usQKu3btvcKtF9NvViSIi2unj5tJEDIshFYfR2HXjZR77RaQ9I/PW0QvRWaKCZ15
AA9fOfMCry+oi8GD/J1b13vlRVlVTuKCtOjBcHGlvMN26QI7Ki98wFQ/4Gthk3ZaybvhEuyFJ8rM
0w7W/O+vZp7vm6liNCQAzGoAJxY1KR3p6NZ/lOHPs29M3iUrf9O9wq8SipzG/dFpgy+uv5qd4jyT
MC+Nl32z4Dz7uS6+5pQbfV6+O1Fu2aGroVIOTTls8yk0AXqdjohfsMa4/yk3C15Xm2gJLmW7IGDZ
HptI2ONAgWBrCi8wiJr9vq10V5j5drhQhqRMn7TI5hONq8Vi7vUocmTk2qVLEkfpvRKEGAEs6CSH
5ygUrnLgpLONoJ4j0EEUfx2SbYdQLjLnCpIj93/TTyC+N9mLl1RRhGIypZjs5HtAPVp8yrbJOj33
JvfoO9OmjnS+1uEqrJjDO3TnzppdwE+q2PBmbIGl/1qjyfOoAnSSuNK2e2pc9rHcgdQpXqTz/Z9K
y2uWJcp6KOuaDdAjGB1oo2QeGjrJF8oXcAJ+EU12A2Z0uGVs7TC6wNufCzNS8QcJpTZEeQiCIPnn
CUx7yOgFBKtYoC0klt/oB0Ng/JWXDnH5mIU7jtmMcHLS6s8JBYoWXoASLHEgu2Pdnw/aMVlEwWzi
hKiVsHKDyhrjdKg0UHuhuhcwtGg/f9G9PbIIh0kOQ5KhBqwiiOEGJBpJtR3goi2Ctu0pwqsQDzDS
2pW4kYS3ZNrxykbmKEkt7Scswl4zjbIEn3C0+MCnIxmUUyHBiOhzf0qpa7sIcFoWKAypEOC2k4na
brQr970HWpoNKdcaZHe5MMOTeX/Qmy3gq0gkL/J1lVWwpVQMOhj2/i0DmuptWmsP/KBHsJQLV6vH
cPvZ6Wa2zo33ymzMc2wxG82kxYKbcwzJfAWi7DxSicUcy5BrTRkBVa1O2QXQJBihBAnJTMocz1P4
r830O4q0CDgpo5A+rJDDwgsTHX0dT0MV76JsH0qUib3Z7YOw+38+aInyUwdh9OUcHwRPw310FM0K
ZQRo39pPoKF27gjaY+tIZroNXntasLr5Kr0ae3FmBC6cNIZgbLD398FDaGeb9AIZNAc+PC6od7OB
JTQ2IMjFHKoLmP33N9XtZPVq/MViElYYcjC8Mc2vhQXvPuiuetyKwCpTQpMMaNdtSKHf3GxuXk33
jxjkVWqSTlowkXm6ZQfOaZfO6jftKzwa4R9+HG3OgPlcZ6uP01FE52QPGrAl5Pb9z759ln4/W55T
x6vf0GpyCZwydlfx3DmZo5r8IXMgDm/ka4gOwv9rBZ9IDxofMDf3OljsgXqtrVTfAGjBHlaJ6T8w
B0JDSlD2vLwI1URCTTIs8aumR7gTPuX79EV9bR1aekZbdMhL/fH1iZ8Rhk3mcUyw1HTX58FrwAUU
QH4M/nHbbr26P9+3A+bVfC+2WaSlfpPOX9ZYqpND0FeXVhE8lBOobMBc83nYQ/elWVNGpRyuJZVe
GJiA9SHzskrZnVi+aKg0Sf26hXQo75UgePrwTI1oEIV569wJXEv+hMSo0CDuMWgVgzgfJHYbipSI
RdknyzYNyZS27Yd5NrFZgeFZp+9Ad9rBIw3ldDuX+l03ZbEjpRTw53z6Wbc1zP2guRXtyKsGYWYD
okYQBfDg6OeIH6Ib70AUt/MjWtD/5Sou9k6RZUWspfgNZWimB7i3buu1vIeECCScKxov8odLfG/5
5rm/igwlG7cjUyJdivKvUYDyc2+NKTg4wwvPlmZawoYJpYq8OJe9AjDVpzoBBCQD4h/CnMJ/VcLG
lUmDBn1uEqhdE3IsgIeRoK+DDr4B/2zK7Mxn9c7vXQIo1UIWqqDB7AAMrk9QislWzTF4K1/Yxx5S
PYKVPWa53q1DSsvhhyB6b+BF6UblNJ/rQ4TxwehtOFDaMEm3QxvUSAjDcBAByozAg8AL8Cutpeq8
yeuR7RsNnOhaE/YL0M4Ar5l2n9Gmg/9z+Xh5EJNgThsqPNXseK/inducAk+E6BgyNCj/ehpUQU8g
17r3V+L+yAq7SM+ispTgbYVzL9a630Fw0ngP11rs3B/l/tGH3uCf39czjE+4GUXcKWZaWTCy2gmz
7yjjZi/3R6KcBGWJcGQKMoTRHGWEfXZE7a+GClKxzTb+fjgURodcZThI21hvv0AdFfR8A3k4s3fa
LUOZ2dtV4n+iELqqf350WUARBaYkyUpl07WCPmI0ox2V2hABuwz5SR/B7I7HXI8ZWjy4xTyB9cR/
kkNl2e0JObkWSzipgf4zQY8FIlCr6iTugS91FeccOZXLuNyBhoumLfOcg19FIb7tpTaEyxXuSzwb
q22wFfE23EW8JdEmd94xfz/HyrI5IypiV/chlnkAAzzkdOB1PHUveYKlnTUabfb+jQzvyj+/q01C
0kbsPJiVwp52DVz3YXqpWR1USkinZbDvhmG5C80+q3kaLgwl76PcZwq7uEsUvktKkcNqskbr+qgC
RLsEaBZUBJBoTg54BzFSPgTNPfcZvuH+3gwQC7t/sG5XRa+21Lz4V4vLwvEoqRhMQghoUdgUK9iY
mVK7quD0w6W2Gj35QJtWQ+REENOvo8P98e+/35Rl36eqNaYQ5/y7jaDUxwPHLa8L7uO/G2QRp5Si
V7qmxTcywkbkBp1R1xJ5vT/G7b7v70T+TPTVRFawUeRiCTCLFIYVWu8x2kuS7aLyyAC9lUYvAWAP
FVCvTZpT7pk577lzaH4y7KuRtSgkE6Rs8H5AfZeH9IkOfRRYcFE+kHKn/BQnr4Zp5JhLghbDRIB5
dqvoIZt03xQP1UZdCwbEFI1+Ndr8iiabQfu8RfhhmSqOMxGKlEnJOUkP7wfebP3O6lRatkzbjIsE
E7aLDCxksE9AsdXEh7Ga1RJ7ymrNp/rfqwVZIZgVyLgzF6+9oeWjlq9xaTJ7ydfjF+3YbCQDRRrK
cs330L1xFtFtaNqGqBPGgdB0swp0V3esTQKy5SsPVihlsNsz989HLTHCTTqNml+jvghbNei0RAY/
vQcoZWqlq3QPYwLmcrjqEc2Ho8Sds+QJR173/cv9n/GXiPr7MxZzmypAAFUJWjwQR+NNkPI/IaTq
lWt1H23EfQlBfpkz1UuKhwP3OAbwaW9PtNTrJnYQ0nj/WWB+EdZHLlUnKUC3gz3Wm84JoMtf7snj
pE+b3IaZcf7yJXiZOVyaNdlKRv88l6VzC2bmEEWkhNcfDPqdXbBUVuk7vyXyzByK3e1TuO9mQZiP
7KQ0uo+/0sCIt8Ujqjn7iLIlbkeLf2bhh8l8FS34HDSAft5+WmNBcFxidcDE+sxrJtpGp+y9H+j1
1Uhi3RAtkPGJjQdZCfYbfnMv9SnYEVX3n5oO5chpV2xoeeC8le5N7CJWFFMIh9BmZsH6olFOKdS9
KLv5dtr1O4OLfcTBxTQSCUqsIvSCd8GbK7x9aFADoAX2v5Qc/xlo9mO5TgEUtGITbsAdHMtgR0KW
dhI+xPpzyCHMDfhF3hks/x2kH2zEmoJc23ONFTI6kKEZDKXhsItCnRUZY4o/x4Ym/0f7dcu6SZjh
UQk9eoR/nUPCa3OsGWbbwg0nXXOb59CNt/MBqlahVx6HfbMpzvejyi3SPbLuf+ZnWUQhwOlo8vzM
STcT5L73LjpgR/gK2AHkegE4cyGiMAPgwVj0iid2DWy+3Xmqg7bOLN0rHMDD1j4ZWkGJsu+XnGZA
IJhSrHFb8dvwE7RDtB71ZAfdrvX0TRw/0nsnsYP/8rQtyz2wy5ULeZwjvSF60TpLLFbWsxNUaZEG
iJdxI+OdCU2w+2tAuTSVRWAXKijaxAq+FdaHuiI4crXL+l7P0ichAEO2oRU//1KT/V3zefKvgkrd
wFBTinH4nt8yCxq6sZkZB+hi7SALAjVpXdatx9RIDUAWQDr8hgoaRNHiLeSrnPtffrvne7X7FoEG
OP2oKecwIOzVb2XVrqf1uAvzua4BYfRj8QmxP8oiU79+kTtMSqFxfY+I8Na88Rb6qdlD3KMmXm4A
wV8BCo/yNPSwH+NnzYEepi24tQ11KZOF/zM6QHb7kDqUHXATDn59ChfhMBYyP+wKpIGpeuqkwiGw
cYnLxoaNp8dD5Ydt2ZU/EbuUYMU3e5RBIrsEP0r+YMpcZ8SNAmUOlnsPsifKClGuuh9lmau9UoZy
EWc84oN/LA8a/EdwFlWTRTRAyQtqF1ttI65YcEBVSir5A565cwkt621JwZbFpOIwQgnC6tcghpn9
WXiEFozFreCMox/672ALoaUSuviZkaBRJ12KU7JVnFwv9twpP/HrR3QTZm2/LXmFicdmJu7F3rym
lGminOElErsrpwZmj+jIyl7pzsRLh2wUO9vWEHjTjp3bmRvoluDhTWvC/6XF8M9hVvk/D3PBdEWa
zWXUctOAyu1VANV5jJW/C86MTNaLT1pCTInN6pycX20JuZTrghFxgAJg+tHa0TN+VSHhvD+llAxB
XURFTeALCaq1KGBM0MgGvGCA7UGzZfM9J7m+CH9Hgaag9peG2e9cLgJjWfiBVs3ZLQQdjqNHzGTH
QhIYjmj7zGW2s3S8aOboFUL23CjWNK0z2icvouEkMsEYzFAiVph9bWwGxKVg/jtwu/Ddj9cDQ8FO
/ADx7h2yZTDkYi1oI2R6MOCEpElsoLKIJLN334BiVq3aFOzCqxwV/PM3aNrp51kn87RSXB6M8MfR
zPUPBo5wDf6h1EvcGDSA9V9KD79rsgiNAxEi2EPiihgdFt5xcBPwMvhDrytfB9COMh+3Mfe/F9KS
5V+mcsMCdDCLZvab/Jy7whP54LcX2FyceDfZtN+a4Z+Z5zkEsrCYgkKChQxR22if8TZ71Cjp2V+K
olDqnY1rJHjz/nnW4JSqDMV81uBM0vM6yHugQJNDC7OGFkr65IHfs401bMrM7FxaU2o+Yv/eHL+D
L/ZjzINnTOaOR1HtlN6HwSyNVH1Lbwfp5+8Qi/0nsPmQDiKGiCM98erVtD5EBllFDpSRV5rNIWKj
NW4nJwHvW1AV99O2Pakr7hlaj3B7KU7qQXqYPNxHLyWrc5gb6GgzcDmDf4tBzske/mautqkdVM5p
HYK/VMt/f/xia2pckRRMhcVR9qFojO8a3DM0Q8Wr7F2jvHVv3y+/Q82h4yrmTtnQBlLNJ6tRA2Yi
8V1wnJLsS4nObUCsRFMpWdK8tHeWflnz6EqBUzMGBb8ggl+cXvtWnugFR7vjKaMs7q5GqSA3XMwT
ODxygWROA0sZ4TZE93eDLbWVhSn3iTzDLjKgwd+Yh8yQIT8AnJg5d8oSGxcJDhU8i1/uX1+0k/vT
9LlaMT/oMwBW8W2jh+fdg2R2L+ttoQtr8jJux88KRBUTNmpflGFv1/3/2Sg/aitXwyopM1Qxh3Sg
sYodAw+bxuFdNtc5RKyn1qGMRtmWP+Wiq9FYtRB5ZuZgKbDZiG3oEMCXRobswUNleqEX2EfFZHef
lFFv35P/fONPhn81apBoqchPmNoebkQx9MEeM8/3YB63n1bZBunfA7eF/45X7Ts3p3Rj54B052As
BYi5HGqk/dxXEbfFe78PtvX7+HT/+yhnb1ld6qdikrO5Ft0EdiOwVqbuUY+zYR9yf5xbivnXwfeH
f3U1j2nXTnwyYSAtekgUL5GeguR1lufgFBiRn9kCImgaUh2/1Qe0dYmKohosEAQo3fGCaqkBp5d9
Z/jDppPh55UeQwYOipwnlW4qo+8THCQG5pLCDmookECGsyVoxewzNFqNNJ5R8LOPaa8X02fHnnp4
+d3/vr+kc7/7ZHG5hGXMlNH80oP4/0F5hN6RB6SIamhmvGkMWYC5Y7iTTdjPcDrjxA+03sVfcvPf
H7C4IIIqCloyb9QIbFBoBwRbYKeD7bghzkyX878KWgpL256Le6IYpLCVZCzp1LpBD9n21CxY2NRy
+6p+vD+9f4Ea/fN1S/JLHAyIuwq+DtbpRwKuG5zdNqL1IIMeCyw+zLLDBxoU/S/p4O+gi3aXLEYD
J474QNZIn2COBt+s5hEK0OGa0Z6xOSmFKEqoWRJZJlL1YhHhuLNH+O0QmORKXgEBSppu2F8qAL/f
NediV2exa9X/7RVCk2/UL9xmsLKX6J39llaARm6iJ9UsNF19HV2ectXTbqole6PORrnjflgsb6jG
Fs+qrEMNStg0QN0Y5W6A7Z03p/iSN7jUCtD8WLwTT8XlGS1EVpFZbKJJ0+sN72RrbgNsQW+odpEZ
4XP9XDr39y0tLCxhtYqPukI8g/LQpDKV/VvvgoqXrjVII9ar1GR24+vwlDuCG5j11n+/P/q8jve+
d3FApxJnxp/Tgjx5a2DukGWv9wf4S035n520ZGuQuuYLvhZRS2qdOIV3Ies7AynAF2Z1sbYyET7c
tY9WvB0ogSFGhTUonCnABDDr1inPwBvsua0+mrKA9EdFowT+Bc30+/MWBzjRxC5K5t2m6BXsGFC2
sULUH6dVs52xuDAF68zRPNUGaGmn0EognXhEP9Q4ovZmflP1TucU8856LCkgdVU0kMhBmUHeNt/D
bjxl28ipv4cNYGQv+en+2lCi8xJqzWhxzas9dh4wU8HadwMUFSrKE/Y2V+o3412CrDnCgAsx33pg
Tcs77bF0hy1ZiQIeTO3KP9Qr3wwv/cp3Kw/G1Y0tm8hJV+Tbf6ht/gUuCHb5UDq1aDIr/iGktaFp
AVxaHHjIcQt8N99QUFWAlLhX2uTyAa/nh3qXUaaCOtbi/o36YRiaCGNVmQyL7hVXnyWWIJF5GQEm
HMbClFMQNuvCzkqariHtepQWJ50TArnOZjRl6E42GOlmZDGWCsavhNIpLBnN1KCBmSjBZQn41vgp
GyG9hnwj5Ow8Skymp+SMtK+SF0+2nqn4vp3jtf/WfEdraSWsuZcCnkWQZjbGi2onJo3gM9c47hzR
ZYWzUiIu8OcrP6gM8SuFt3ZCeyVSXk3LkqbSC9BZEDAE76RPxTHZ+IcKBRV/LX3ejwC06Lwsa+ak
n7Iuxq7gndzlrQnendlXtc2OAarYKC+is/UlYcNMB/SaDtSSBSXcqYt60uizaQDOMp5Om/oJohmW
6JJjbfEbdq2CNfVE+VpK+qQuKki+kCgkYLEhOfQnuqqF9GHuSu1Z7i5J4bExWj5+7RQAvWjchw+N
p5KIq5ip4Af6wkMRKge8SCgOIRRECv+jHU6phuxLVXRGgYWk+MnmiiUIR5kLnXGk5Le0374IVETK
mlrIcVFF8Sskx4p8L2U7yf8Kxy+gyeT/j6jx9Wts9ra+zgCVUsjSYO7EQoOzN0K7XveWyOu1l59o
WRftEl6WOUmstVkmYCzyMb1GuxSlQ8CuV8BbV7tuW2xYV0J9UTPyRwX1b2ktGxdigrQymeq53LHo
FR6TJ16yhtX9DUN7MS0VUP08GaPen28HuKKxMADWDgCDrmITdrvVhn2lrDHtOC5FZMRWhsu4NF+W
MC2WoNAd7Aok3pMZvhYOv08fZHgGBc7w0W1orniUZEBbRFJJYcnICDgbA2R6BjscdQLqMNRVaVU2
2jX441p+9bbwVbaQmp8eXmkk9SHw5M961agr8jy8FNBkpmQ5txR9Ofipq1DJlUUBovR/7mQ+ZqXJ
Z4T52v1qGcYO0a9n49JgqnUHNnbD5yumdaJhW3aSJY+vfMKvVQIBhF4wlFw7FkGvh9p2UCDXXF4Q
MtckvqhtZNTxhwLH4BrCSvf33c0r5uoXzxfr1QxhdoqiGhEWW20fFq/KTCiJKcHw5npfjbEIvcEY
CmzAYb2rSe8ns0IncheIbkJLAmjjLGIuW0mJSFLk/1zx1E16fOHHg/AOBNb9KbsZHq8+ZxEe25Ek
mdzi5Cj7bpdtAczwxNW4rigP8Dnq/evyvxpmERULVitUbcKsKa/8M5I2zis+xzVNHoW2/otcrRUa
dop89N8HuA6H8HoOZZNHT+X+lN1Onn4/Zlm45FKGJFKEOZP2qHaFBnwWHwaUoczyMX0WN4Kojyu0
LuL/3yvnauDFiZzkMamSudD+Wj3Dxt2D41fbGMEn2Z7iN0oMn8/Kv1dMFDgN5x9jLsYSGXVgKhan
PxjeR0jQp5jS+/N4e+spiiSps/PKkvBdhFFearPqCrQktY8BbudQPRBMJrMqOw0oLMrbn/M72OI4
dbBvEZoZmpFPz2K34tGFu/81N8u9/O8Ai4MECVy5Y0rMlxi3jsL0sG+vYSpPrICPaBtwnvt/r83v
WIvTFMai3yX8PFZ/qhII8oel0cG3XJDhF9DC8gi1H4DSHH98SMcziSjSk7eP2e/wi2PGhhNHOg4L
N07bKc8MUo76wL7cn8/boKLfCZXnZP8qmIeqSnwtRwDkt70t2d1DdZTP4eWjMrMzu47flPP9AX9U
z/41q1A9mceEjZO2jOzDIIokRNIyKAfk13oP3cMm/UBj3RKnyNYieIM0F6EChb2Gfwnc4mT2ZQpq
p+9epk61Ci7Towj8njQx8uyYoM4+KAREbLjTE1+Hhh7M2P31UB9ShltF016YNiEZVnmjGHKY6G19
FsX9IKamrKIFw496Xl0YpoLfXGzF/XcNa6sRymgFXPPG8Vlqa0PjM92vtxI8arRHSIEyImsEyKvb
6oUbCysQVKOEoyuTwf6TDeCnh5M2OFWCklwKwCvzOMItgI8AJSeun5/7vjRUfh8Fx4rFNc3Bsl3I
zXxErb2E+UWEDi6qmkz2EDSnsH0VAF9tclg6x8wlrb6FSXK0FKLPQadPqnBg+mgT94Ln19UqDl1S
DnZZuVX6dH/dbm+Uq3VbHG1FLqUAkI/Zq4FN9TdcltURttcbX4cEbQehe3lN07S7eZ0JKisLqHPA
yntxAKdEJVLIcrORkMWls9Vuq3N5oI9C5gyAWpKBVnO6XVm+GnJx6BJf7AF4AMSj80ZHQp/uMiui
KSwIwZ1Z66dQf4aWgWbS+E4385DfcZfFiDLXGHAOcCqYNRfBfVN1xw9Cu9luzifEs2G9gLuAX6a2
bd0GfD4rDyXPkDiWIdtiGONjQTXGpY2zOOIZ5LtkbGWwJ3ho3oYERoddowuQZm2457j5mngIQ0Dr
uB6IwXXofXVvrCQ4EtpgBUntaOT0JsOVrxLK7fHvkAq3ebjHIdFW4Z2xnAAxkgSh5RDR40aC3tiz
PHiqRktcaIMsvp6V+0hDNxBxW1oHHL4udqvg/563/vkli9MoD0rTa02Ho5HBN2kc9ST+4up3DR3G
MZcpFR/txssPw8F2ZLaVgGnjTxn16pYoSV5mUdDMQVsyWNTGByBcJDVxenkfAS1SwGeObbdxEhip
z9hkmNyMJHbV7aNJNGW50mOfMfqCsSTo1Wuy+pCqoECMwjlXJ12ERG6VsBDeuXSl5nJxaklxpavo
lWZBo0u5+Db20JyQddh5hUNrSA28kiqkS00Hc6u2tfiKcdS2QPv0LGSvIifvCqExYeNuMpN4Ljli
hgXYL4VgjhF4PCoTmYKSrgOsi1Szts8AuzSWO4md1mla2VxEXooWrFwCA8wsbJ28ix7ECI9Olwwy
6p8DhPI0BAiVwJwVctnDxNpjPzgkFNbjkO7DluwatdXFGFpTZHgq/PYNBn12kVbruJPeBT57TKfk
gS0UR4ajg8wMcHVoDb/SvAjujX4OW846Up5brf9SMig+MFy5xVvQmdrkMdOmC5GGC6kEVU/Zbtf0
itdPyRcsjI8aGWZFH27vk9gmTL+OmeiTVJJiIHE/9gpIGEJvgaaDmmduVFEWGirk9RKt0SemtQMA
gmoNEuZjkpthc8Fu+EhD7pjVygchuM6ECqhurlEjL8m0bp8pWFMO/NcBNOpEyuFAU0D7PHxgOtnV
as6RcmnNa72Zwg2ciIwzzILmY7xNYY6TxbzV80BU14zFaZ+875s19yzwuVtoGnwvMIEK81RprdtJ
wlqSWCdIN2M5i58rTtXwtthl74D7OERO3tOId/kKtyujT9yK5997yQZC0Q4hqVSekhqS+oB3jgcW
4seJopjiIG6lUvJS8sHlKInlmZ2JtRHDlHHQjkHWGAP5FnmiK0TwknIy4btjDOCH8sUEXDGMNfgv
YZr0oUQ2natGn3R60l46fzATKTAluXmvBGBmxsGTRt+pOZCBq1gfuX7DJ2CZs8VG7PwVy7crIfyq
ZcTEaNPzJVgUX03CmImqWVO2i/HugUI0yv9F2Vl1L7hClxolBF1Dp+2BfA5XNYz14BxsZsJzl4KM
ALs9P8UPy6EQIvs24PJmmX8VLdELNK5IcOoKzomZta+gKNWjRMzIehHDfzpVYU87vKc+Maoh0MN+
I8BcuJFU/K8TPaozsyo/S+KBHKenDao9faYLItZuhFhyNugqzIWQoptQSaxQu9DqSwZTPzyy9UKt
TDavzFKIHb/8jP3Qq7vIIhmcPCHOryWpHUfQ0n/JCLgL3UmtX3iNGELO29EsxhyZUwgsAET6OzlH
fWujFdDsgGpfyahWOvJ6X75FvKALEuZPdDMNGZso62y3HrjJrph3CUlXBS3qkG0M0rPwJHQzf0Vk
OOXEgxuAMZFPbwnormX6GbcXwb9MVbACsMsMqmPaqBDGRP+nbm21lfQa6xtxwj7AJDV4BXRdZkIT
lO13abgvh8ji5TcFDlYR/BC01qqmZ6BHdJYVzRYOUmis1FB4niSUyXKIfleTq0FWX5nVsvPCYEEL
LSD+GimtnbQ8SlzbQt7CGVGPcqR8cHeCzzqsRVEutkousbnZX4fdyJWol8Kh5oWNlONoqYCgjZEz
TJBzJY9c2npd/y35jspD4BMeJQmetNV7ze2HbB+zD+EISk8MUc6Cs0ZBMZuwh6VMCZx8YoQowjTl
mfUVnfNDM8bEBrlopgOAnqOrVapBuNKJEMkJDxMIJjN9iNNkLLcS1Ld6wFUbPIh9acviiygdufSQ
p6bPHgrAESLfkGCaklVmnMMXGjs3by9cDR/5b3kAqzRB5jWhnh0diiE18+ibjG8SllATiNHBHRuv
F6uNobnPf8gV0ZshQpdKNghY91kuHJn2jW+8wD/J/jmP1jxU2kUZ1wYrIuabmgR4crDv8qe6HE2z
I7WdsKwep5A/DlJbns4+bLNFqd8iq4CDZWJE8HkN+lemPYkR3B9UyIKWsD4UtlpzLuEkHXDfVUPW
ff4NUUs5wM2C1mAS220TO9CwN6VG1NXhxMpbTXYTJM6avAlhBB1mxO7Ld86XDb7b5eI3x6VGj0I+
V7wy8S5BLOULH1Y/p9nkq/W/eDQgouK5GM8lC6sPF+Yztpp9o4MHompqhvkzkUejggNsWzitAooW
LMyz4DJWgcEUnSGVzwmf20wMinf1WhffTYJmZsCC381ZSpXjK8+hgpnyeWOKTtx4ktR9DsMzAdKs
ctMZbY8eDENsoRx0GRFZDeEQN8J2VII7Fv7jzJzaUQ9kxuAZiJ2lidmyqdUC9F8pxykLdhXPrIWU
N9QAxn+I2XCyHccQx0qxQKATVcVo5iS1x1YIXsT+ueNjR4RNBRt5GVS3tEiyJfG5Ur8YxiAMcOfR
9wQd9Rhi3uVU60h0nbTn4GqhQgTFQUama1JsSmSfpkSPpM7QYLUhKD3Un3FpCamd5YnBD+0mbvmv
BssXt4kxKIUdqJURK6ndxx/lCNwF/8Wnr2PwFna5wct2z7/7Mosw+DXw7Y8vRieua3jHiIpk93io
KuUXIkxcbeDli3uvDSpLyTm9RRYVCmjqNsBqd+D/ZhBKqQ/NzJVVoYTZVXaERpeCZye2QeCBQwyB
+l3aeBPjz0WcUHab4jkrUZ1SEiPhOr3Ao5nIcAjpToP6KTR7kvG6DpC8GVafcEbQm+K9HdYCb6b4
qTOyDMmUHjGiTlr4LmaCE5aQ0mFtwSfrrlGcuGDX4EvANf4E7ZCIMLrUEJ33A0OBaBHpPCnhzVBN
LUaTEXygnzrGeFIPes4kZs48lHxmxuSoFIPTC4ORprsoAKAU8yOINtD0ttQDDC8WBmkkE6o+esHD
J6YsTRWxjRUhxAKCRiIiZfHXqggt4Lg2lQhWNwSaO6iU1VDJ9kWzWOPC696bOAITUTOmVLbE/Kue
PkMUB/lhV+UwYZG+GRjCJhOvC9Vjq6zhGIPqDbZCjF3GRzgnlz6CWOQY24zcrKquNuNxMFXoXHN9
YIe4OUs0cYio4N1UeHU0WgGaxo0kWUyOlFT5ahPJKRvG4Eoo3Mm7vGo3fehjmlKDxKCIwaxWlK2G
6xHjNNOPJRQuntnQgbqC7keZk0HoLcghVqk4o8YY+YS8gvS6z8Dsh0epqQQigSC/7A6EmZ3dv+BC
o4Nfos8lhECBEFgm22HF6V0w6n0EQ9Mqc5W4NoLyKwTuPm/B3MrB0oqcmLz6khNJIEWnnJkAVxI/
9wGygAnXZwUbQcEjJWBGHFjiLITIcl7XWGiKoN4K0lWQ7Xs4Wgtjr7O4lhT1UJePGjvpdfHe5AI8
HwQbb1BgBgYUNJHNzoDvJofUfGOoDcodgPIoPYyrO7Pz4YDQPiUNr8eEg/6zZHTRVhofWBjLRCMP
XCRaagPn1MUpDyaQWjC3XHVIskrnhNcx3eZNa2qdqo917nTIy6VoW0AsDo7aog8ppAoe3GTDdG/z
ZyUVgLcEN1Via9yXwKE9WgwG6UKLg2NPwP0Pd+e1XDeSpetXmah7aOBNxPRcwG1PctOTNwg6wXuP
p58P6qpTEkundHrOXYdYKtFsYsNk5sr1O6wt1NbPgmqvS2uIEg82yTJ45ujxQ1kSWcsYEubAUdvI
niTLTq3bKeBLOlV9rHAiuCwxQOL5OmrMbd5cK7q4U6eU/2AKteFBE4iapQjMtdQONcmXVQj8WsRa
j6mc8DLUCNLrJ7FrbSutftGb/bHFYKqmKVuiZUmUGZaxesf82Omrql7pzYktY8101SyZ3y07ZWnc
WfmIf4dv/vOHuPj2v/+Lz9/Kam7iMOo+ffrft2XOx3+tr/k/P/PfP37KS37/le5L9/LDJ17Rxd18
7j+a+fqj7bPu28HCj3L9yf/Xb/7Hx7ffcjtXH//4rSrb7iVzyveP337/+u79H7+xaZBMFcmIKuMZ
KfFY0vL5z+8P9vsPX7zk/BJFtdaO5j9/7//19R8vbfeP3wRT/IIRs2Joik7eF+0GGiXjxx/fUkD9
+KOTaEMWC3ejKJsu+sdvsvFFMmRdM9mGy6YprjyAtux//5ZI+rlhybKyap1BhP94p1RLc1gW/7wJ
XKbfP/+Pos+vyrjo2n/89hnqXM8c4IEmjC4q6/Z+bYB/t6uHbJAH5jgxIBbDKbOLKJaRSq7lE6GM
iZg7IL5+v04u47wt1V+FhMrfzKe+6wV/vvSf9dQh7LY+EdppsyQzaQup3bPx7OmtO8KsWp4wYas0
EABQK89kt9DcFSeSSqRou8jSySKIIImLTRsSuSctAZLwWEkdzZSfp6hlP27cJOR2perT0GrbIIeL
Oof7nOGb1TeKyUxWYILR9IJ0KBT13mQ70kb51WJmnYsr+CHHVzGIBGfUDScnEUKidhP73FM16lxs
ExbjTs5fZzm4moyKDtehFHZtZD6MS+VbKT3bjiEmXWZj+VJUhZ9Vx3mKNoQig70sj3Jr2OSaZ/1Z
U9mg9FCusFRqWJjSAPZ4Lt+S0kr7wYmnHm83gQhNVvYxuW9NxV1kRxGKl2C9JF16qkaiipMnfSoj
16RgWhK8WNLIIQMtKfvzUEkPJgTunJk1rbTLoTs0zD+LpPu6KFDYtrK0I4XiAnsIV+mW+4K5uu7i
Y4Y1r4rRqTpixT8FZzMtnSCmZpYkrx+My3EJTxaRRabV7wWl3gsy20AC1AI8xwurolwd2XFetpb1
UVtfpTl0A5J+yjBw6uS9ylrVDbsHQCtCDhRxF5NwoFhXU1f4Rp5uCGx2lFWuI4lPk1meajFh95sc
8sjwmvxFZLfErsNR62SrZ4o7ZZGTQcHVQuF6nrqdpTQHS72t8ldJfkIE4YdV4koN5kpD8JKr+pUm
j5R2up9ag5dE474r1iBS616M00e9zbdilRaUEpMndVrlWd3trGlPoyo9CGww/BY7RXtp+9s5NAMv
NFrrItesixAbp1PW1LIXmYqjC8LlIHVXQ4TXR4IssGMjJ+gSqRpVdZyE4tyyJQ5kIT43ensquqNY
Vx5rQeoVge4jrcNzQbr/Nl/9O07NqmVKokLan0xeMD4SK/3xb6ZmWV/JFd9NzT97/R9Ts/xF1+iE
owVh6oczDZL5x9SsfCFYWQKOVTkqSkJ+6R9Ts/VFMziKRRyZYYqyofw5NVtf+HnRMnVdURRRJEj7
X5iaOUT13cT47Y2LkrwuNnSqOfVPM3MrFGkkh/lWFvUNkOpamNHXaV/04Vc98Z8J80SRZcAgqVmX
LeMT5MHg1ajCBOInzHSfkPBVNBrhuyaFN3IafMiyKXHYgZLb+CsHpB9LEq4/9/e7Q39WretmFEiB
wKHJ3XSU3PKUodvnlr6fdfGi/5UaaT2RzxdV0kVZ1XWJwkv/BCeFcz9XgWViXyy/KzW6yUi3zbn/
GtDRARbZGFlj6/3X757Bnyyya1X1dwf9dHVlFIedHHBQgWK7Sm+1QXbaIf4FsPGzC/ndqRmfUFxJ
rkJjaoJsWz0tmJxbeAnl7UH+lUXvz09GIVhaMyGlf4YBxJnk4GA0uF8GeS2Kq4ofo/AroPEn6JEo
URX9cZD1TXxXlbT1rCmGxUEefZKr9qnpsVilp96X6XLeCU+sL8/69WrYqbz/b+6VIUFi0yXZ/Gyq
aPaymaSTRYzvcqEmJAU00KfMXyaxrKT9vz4Sfx5mHfzfnSB1nFmVM4e5Twrf34Q7ZZ+/kV95Etz/
xfkYoqapmqJJsNx/PBAp8hXVnJpty1bBeK639YiFvPvFVftcRn4bxdJ3h/l0w/JcUqM84zDhfX8h
bdNNszW80JFd8ZcuVus7/sul++5Qny4d8IlI45JDJRiztQsCjfpX9OafJdqK35/OOta+uz15bAQj
NnMYCzj6/jS42PfYmj/d5tt0Lz1sIvdKJZUsoet72+z11+YEye7/7759mqhqK1sMK+EdrJu1FP9S
sCs4qL9A9X62xkgGaYiiJpqW9jluKgijVl0KjhIpldfWgp3MNFwLUifKX0Xe/HTmXXcysqqxFfrs
12w1hVl3pHBiykvn5JLWL9Is8WH4lV7mZ5wxNjV/HujTvdPKKrba9d6pJyJWRWbc7egTdLfRj8Xo
dh5xvr6l2MOv7thPn8vvjvvpjmEETTN8krJtpn4I01s0PP/9E/GzCyhrOuPYXEuiz/P7MJvN0Ogz
I3mqPVhVzizf9MiUIuVuaS+GWqKSfPz7Q7IS/4To/3359Vm+UBTNIqhLD0SyYJxDFwBA1HDjbPAU
qd6Zy7WhsouablXjpklUe41HlhWcqHEyD84FmN6S3rfYTJcamZokLQfdkzKbhNKL21oKbaEy7ka+
PJlPUXTOgmDb15EjhcJWqh+7tngZhmmjgfDNs+JLIH4LfeaxP4Lsb1izD3pD31u0bku8NAvwQqPM
d0V5r4AiytZ70If+CLZYgDFqpMC0dXZSLRrvcbSdsD+QDR4IUz9UkrxZAgNULbnWwS6DysQkSISs
U+JgDrqZrDCnuAKe8gp9jisImkfB2xQrZ2sM3y39dQIrVTTynUdFsNET+SmXoi3peiWcUQ7OGmmL
H2ijB5fcq9T+bCWB4QxS9j6C0OZy6hetcllJcDb7VDoLFi1BncbbpLUXVrfg8JT1r3k1vc7Avw0w
cAAcrK+4cAtATDvxvldVzU2AjvFY2Fsm+DiQsi7MGwmIueUOmW13bYGHVEDQYyP54TA+B8p8qwBR
i2waEd9eTEDXmWQdMuKvg16+TYLAXiyii7khEzyRpdQ2y9y6PIo3SOcvlDS9oOO6J6qZDRiMIFq1
pZqelTHYtGO06fNuG+WoA9P+1MbdVpjZmAlYMgc4xKsDBsmis4TkdOhwpCL9WZ7zzdBVN/OYbJJW
1HeVNeibIjmOoWU5nbxshVb0eraVWYY575xdBRj0a5Wwi4Zul9bVie38YTCnm1YfS6fTSjccSp1j
GG7TFRdScJY53SLSTqG0PpudXYx0s7WlF9BMJOLGTPUbZOQ7KTRsSvBtQve7hScmR4UTdEAJZfCo
FIIbGaTHBqrdV1+B0+1MX1wpLg5TCYJiJnemMRxqbXLGpfHBpJxyXEANcrDEhmY+821HulWTR9te
tjyrV+0kfBVqBdys51uVNwqsOJO8kescHw8he7bkwtElzZeT5EaopYuyCJ/7oX0rRHqrdR/eSo35
UtJtVEpQUFIkSI2PHvLcOmiz9C7G3RUixxDUpHlt52oFptMOq5zgaIp0XMYK46UGVfpceH3QXI6V
dK8Dkpay4cAh5+jxSRz2YXGZDwpp4fVdVvV+1GXHMj9bBKsHVm8nenqWFunKUkvwz+gtHcSNoGP7
yS1ae+FKHF3peuSpAjvnTjnmubqfm5nurrEdm3zbfaM5aHDs+2Dm7WrQOuKFosW0Nm070shpCkCB
sfWVsAo9qVZkP00BaLKqTFwxaHpfAUM2hpaddp+WuzJua7tbLmWB/LPsrMgJINEKRgUrCi6XtZ+o
cnM2I7U5CvFQXaRz2OPdY1HQuGqB9UWYvIa1jyhuZwSdN8YT2EFxAIl7MQGjzTL0mdquKxQ1DtSH
rVhbzvrA5GJ8zJtwH/SKZkdJBqxyk4/aLhoByWJ5orisD/NUbIRU3dI3bGhKhztIwqrfZN1Wr+XU
rmrJUxaMosK0PoQEHYYztCg1ROEMTiJN3TFK5b2SNa4QWvt2ZUCmIm7jyW6auqt0CQGYzeC9HCVH
No2tRQBCYC17fMMPvVIcwil8M8361JvPknw/h/Uu7hdftN6SSt4vSkssnbyp9PLQxeZFQ1hjrn6E
CS2SPGhVEIToUNfidTh3XtG3u9gChQgyESiiwpLdzDepVsr2wkqQyo2XiQa9967m3FOnr0u7GDSn
CsZ7IQBEtQhfNqtbejG2ZpDbEMdvMKG9bjbdcQBl0tIPQwG8VyS3VOLbDgBB7+djIoLRVUmw2LR8
LioWYBtD9r1Rd5mTyppbq5Onl6CBpZVs27k+JfH4VRT6zaL2oILSZtAsF5bcVQe+V8TKRVSJI3hE
/c6dP4qL+YxvV+8Vbeo1UYBhjsU6lnhoOe56Q3fEivlOk8O7UEGekAwbvSUwJmkPglLd9SNcCzUh
JEdud5XRnaV+3OtpDBEErH6Y7/TQfDc78VoMgqtW7495Kz1kbQz1JkVcq6qebmALkTb7fmawzJVn
qo9YzfsDwYRQR+ch8uTiecUITfEiEh/7nrw8tYQfnNlL9czNakPFKcP50szTKyu9y1gzct3cxclX
CxBTFNklwpoOdOL/DC8D+LIkxSn0ByuUNnAR3cW4aCPVWxJpu6TWSTErZ9IHt5nx94N9mqXAOGV+
koi4b5TJlsbB6wmYN5fYDQhNVfG+w37AkQzjQJqq35bCs4GCdoprHEKHu0B+U1aGI8Eu6NmC6mvY
xl4PzSOoR6eiOVvmnd+wvsmwCMYCL4EBlmkruJV+ipfYMyIy3hs7S+Br8UOF6OnK7AZdA9C3PuXz
hoxtJ42sTWMk26w24bzjui32hJPwLA5fU7071AuGldNMXEew1ftxp8elPzGCrB4MGURK6MyLfNxn
jJ16VjeVEsJEaXJbJjajCS9CZVfH1kZYifXE1KSCZusSvIOFRABITxkDKgiB2nsWoPmk677Whtg7
37cjGCTyzIok9UW7q/raHi3lsGgcXT0tYQf4HrnLdCdVtbcEFEyd6oiJ6M1yCGqteInYP0STTCIQ
MwewfC5srVF60o29DrRDRbGJRL+vVHeYrUMCn7mPzK/KLO4NaMRtQlxVKTItQ5rJGi8tYsdg7C1Z
50nTwRL6fWUFdgos3RvQkevWa6f5VWks2HbDVQjFb2Y5VeLQpcLxxbnZACSA+M52GzV2Dw8/p2Is
CqcRWE30xsnGyVvrPC2rNoKMXQGTOiW803dEG7Wxncho7yfRMzP2dBymULi2RnEQlskJxMnP4vZG
7IVXcTGuS7weO7ihaps/dkXjKfLgQo3bqKs6X1O5kIhfcv1Kp3U9LK07DHCzMzbXFXQu8t9yFpqg
okCrHmOxcOFipXniNpAa8I9zxlTZCETt5pColAC7vom0lIBCQN3IXeEBOHaS4asorxrhuFj9S5RK
HqSp7cofEg15D939xFAdhmJTpAmIIpR90sfrQrShZsJdJPJaptWMXS7YbD/hOZiqhh1KeA/JgsO6
fVo5AVMOo6sRXmMW6RYimip8LNVbBueyAFbNl3vMXm286OxKGtkDQBrBP3pObcj8rqSdxiBxh2Af
loYbxBEt8ti1smPREVKjqHbM/EcUo1PCHIX/5k+S7KQ55r1B6+QNpThcqxC2YAY3UktOEvQ2FYrn
yu+iMnJC5ax0ZAUzuMP+oMx3ihrAXMu9TAtheOavZW/6VqHtcrgPdOMY7lx+4ZgRmExOnF1G4O6F
36uxW4hsFqirxaA9Lrps5wrR5dq0i+EH5ZngKV17iDtpOzQ9TKzJjwbrui4yBxt/SAiwDAgqjx+M
GiPYPvAl1kE9Ip9aMDdRn+w6k/ZphZMZVslTgnEChWaU9M5gPujpRZ63rt4/KSJObcEuI1InSaBD
Zsc26h0jyx6y6DZoJ3dORchzTB2DdZcbH1YRvAeWekp6C9ICASfdZTdRIMtnUd21PYkC8Vufqy3c
dAnA/VA0j7nV+KwYR0bxuSyh0IW3Cz6FWdJepg0dyKp2pby1h+6tjuXVYNnEsHSgqCSk1x2hSMOc
yiUGajJCrDv3ANpkM4tCRInduemk+JVuuIuwQLzJgUxwRw656U3BhF27SMGJH9WcCSjFWp6i+WSw
t7AwbQhf5rzd5Pll2quOFcbuWDyk6U0Ffi7gUloHbp2VSDNSJ6F9BOelTyDrBeFmwbKohtggF5Ud
yC+JfrtE3P7k61C/DmJL/eKX0mMUA/Y3y8ma97D97El5WxebAF5vKIz+IuW4aFxbzG5G/soId+r6
yqq3bXUZg4zNCpuZ7ijVxq6AvZMguBDgcqQhPL4MtIzSlErbgughRcZRhVSiR5kbWnD0qzuDVM8K
0oUqhk7L3qlsnnH6cRLhPZCuTOj1abf4JdRFrpdtGZdq2Dhijw+6clfQaekG5m+IxnJCGLL8tWUi
6BQiDajY4/KJrRH3NuLmN44RPFqmxTUxt6ylajjC4YPlUlR+XT8UGXcwTGxZ4yGCcwz73hk1xR1X
nmQEJy69qytuv7rVWbT/fu/+yZlxxfpVk+0AgIRsAFbIn1pygtVKi5mzc4dY/dK/mLMtvcEGzY69
R5/HNV0VbaB+E0I/etT2vQ+Gt5uc1agT7iFpa+LBcn/xln5sN/31LX1q3Y35oqbCwFtSLptdc6k9
1GdIW166CY9XizNj3K0/5PjPMkvwJu5PhL7Zgm9c/f3b+LGD/dd38alBFM6q2asZ76KpzzW7GxOH
CxHy5d8f5ZOR3l8P86kfFAyClcklh5Gd2slpeTEh2xvDmXCz8ES0O7Bs7F9pAj559fx+VF2UUDgo
5BuIn7CGYKHbB0mYLtF9c2VdlluYKvCSB1va2pvsguLhPOxJx7ytww2ejwfh9/7bvye2SASERfSG
vJqFcmGA8v4eW+Qe/oAt/vX1f2CLyhdRo1zWkHODL6Jx+wFbtIAd6eGt6KG6Nl3/xBZ1WrHsZmXF
ghmxCuP+oH0AO5oiv1PUMD2ALyL/K9jiXxV4n975p8mhCqs5LuYg3yqCukF8vrGM9DhS2KdRuEUe
444SBZZSbPtA2RkqFNKu3BeqeR3BxJW7+S3u2e4HTb43xuh1ai4nIWjsypJghCXO0GgX3aLdqqrk
lQmhy2VPJ0bVhSM1mZ2O8PDl1MSwnEUyGZiZklYiEsJQu/uqSo5G2DymIxuvtIzybVVIz2WQzTvD
hN9oLNnXxWT7kqXDu1AizIuXa6VZtpZgwQwX86Noqv4chjfyYFL1qtrTEkAsodKldDjlBVYMMa3F
AOOQUFHcpDEujDCCaQEpom5czJqh/2fXI8yIXFyeQmoOse83ppbG3kiVqnVW5Mx5cGrE4RwmiR9p
jafH4zPyrdlry2gbRXjjAfebtfw4y3dmTL85fNTCvQkbhXhCQSg+5EivERGokKvHUnGqXMA9Pijk
J1JXfw8K//cckaYsm+qKurMrNC2V5/JvR+TqoffDiPzr6/8YkdIXBjtWLayKCrSpdT38A+2Xv4Dn
w/9SZJ3dkbQ6QP05Ig0VipSJaBru0qcRqULSwmiZrGFZ5qX/yojUVt7AJ1zrh1P/3GlPknjIzLiL
t+WATdBSfIVx6URNDC3/Xp1Mt6abIoBoqPJTD2vISLKbRcaJdRb2i7ggdApOWojlPnXS2A++kCkb
PPKfOmjCbWlsTXYAyggrVsgO45g+lJSUak1TvSXUVmIHVZ879cpsUdSWoZ0jgl3YVV5rwUWZv7c9
itpeoyhGUkLzdIIVrm+XaRcZvde2a2H6MizqIYdtnazWmwh9IEg6cSV6cWhtFtgwGGkoYrQvrdq2
+najAl2EaIHEyHRqS7Bz4yDTKpsZ41Xz2ELAmWrbaJ5N4ykZM1uKk40sEDUyxkdTp0kz0ZwV7ywj
tpsi8/ti2c89DpFBeQBB2cHz9WL02fmkOLUWHvWi2IfmcIDu/6xZs92tQiGN/Dr51aDY7+dwWyjF
hSq0W4PYAIVmlUjK4JUOO3nL6VrOWGWnKkNVUcMbXyLjzcqFkjJSSKFmcdZtcrJSpqxUPE7QswAM
3DpSSruFbr5k6KgKeddYEYnjrRepkytgVZOGT7IgXQe0vJdR9WGhe+XITsxcjmJp+trUHaQEaQ12
IE1W7jvppiZCLMqQ5tCPVvUKLU1HaY6RFFOquhq+Z8bsNgaF/HKbpf1RIfImycjYjKJ7ii8bVP0l
Za9s0l2AHnahpnVCVItBMxtK77vc5n4H8Ve18kc9NraLMJ2WpLsOoYLZUUPPO2y3ar68dCHyuoAo
Aaj/StFelBmzY5O5lfSQaivfncJXSpGJYEk9yPYsS0/hMt/2lFsLdNxgUO2wro/WMLiWSLtwrnwp
eGpo1mrT8Ka0NZqnfqvSbMzC+6BfT666MIJTUloHMwZvod1a1IZrzPk7tGe/pKOIwM4ZcpxTp1cL
frM1vUbrjenYGGXI65Z0QCdY7KKgdIioVXdFK5JsnxsvPT1wA3mjG0chS8YU3E0aEuOqTd6DefAW
9TnKoRaKVU2WZPSqLMYlYg53Lt70Kb1qZ7o0VvpRTDlxAnONKpD90HKjB5WXZLlizzlWyjTGFYHX
pMZDOSP6EI2IjV6uPk7BSP8bv+g5lfaN2ezSoEHNVW8EI7pORfXaEuETKsFBtAZS6pX2QJAragU1
vl6m8HKuu57NSOMMhXSOunwTJvJbi6W2YqkHi7Aa5JNF6/emkXtKiXxSWwbS/Y5WUd6MZn1XJIW3
NPl1x14omK1jMHPNZIKuVV2BjkO7YYnZIvWBNWwHERnCNIbifrGmaKtrPVYc0/AyVcKzoEUEsUzJ
uZ/qUxehJYirfo9X4GXeVXYdFidApbe4LfeBFL32y0qElmMfZOlyMIZT3IaXxoz/Sr9sdXO5GFsI
H2Wv02durUszY96bmuKgqh0EQJj6kbhKT6TLBMCtzuezak6IMdhWGSZ3IUiSU0OjTEi7sxbX1UZU
F8eQ35cKeZ7UnXqxQ0hTT06LlrCNB3aBkkdyxuVSKV6QF5YdNj1qLgWx02jamoYZjLGgr1KBJ+Ud
FqeJLba3ggxbr0huqzjwjGyIbEkQkSQqbK6kfhdH0bFlw5Vq4l6vLF83al+Rl4jhVgmXgWAQl2eG
h4K2hSjczfAoexAofVIEL2vmq3Aw/VaXum0TkakzRg07SnFKqGKmh2WA1GpV2lYNsIEPUmWLUURu
R2ruD3oM5lrP91bepcjy5RLRASPQavJDbEFUD0c0UgO8V0TC8daqkf4ZX+fsbESxIwSL01q38dic
x6y+N1RISm1BB0nrLpsI6HykzaTTkNJxLYBG2x1VLdlVcn0hd/llI1duEHRuOxBVrtw03TFQw20a
1b48RTupQi2cx8x92S6je5YbT1OT06jIa29iDdIjzaVVf1EtM5Mnvkvpuc40uxctFL8gRupJRpsV
NjeaQaMOCVqOJUQy2Xla0o0DOpKmW0xO6ESL7lTGzI7xVo6nPeIBDxcN9uBPRqxtlyZxIqi08cQK
VcjbpSw2tZpse+FumcH35vdEearFYacMzSkug3NKx0LiOLr01Ju3pfGWFx8KvbDZwCm/oh0TYDwy
976hIQYxSRxg9SQgyq1wch7EJnSC5q7ORifPQ1wsoTdbGpRbk47Ts8DLBKs6NpC0rN6gtypuJRkx
m0kXLmA3vuoYmmcpa5FbYTAp2Wa/55i+qeNAkrR2GAxoZrNrOU0F8jLpaKXiphA1B1a5N9PPC7p4
nwCRG0t7Xw3tey3NLOpccHUdlx8W9hR5Kr2IRmPY2mzdS8rNUPe2hO451Vmbpw813gmsMSG8v4UG
FNyEkyluFy1evTJQgn015eqUaOUxnynO0/JCsRh/TCZVd150Y2tIRyUobwWzRHOGiAVpzdKIu0pP
fVnH0LHPXLmOWNa/fqsE/x2LXjZ6WFuYUBJXEQA8VBoSf1P0KlSjPxS9P3v9n0WvZiBPMsD3cFrR
18r2j6JX+qLzqyh4LUv+UXxgfhEh9pmwaAwLxYgJee2PXajxhd/CK9CRSGuh/C+JD6zPVhuf3vm3
mvx7nlXTdmDXZqdvhAOL7K7zM5ZZjealV3+d3vrGPpnP8jk6Vo/zWbppKweQKtJp3Lj8o92XXk9q
d525WuDzNTnzguq1Nxx8wuetJbrqyVBfK1eJnhEmtURrY1hc+ChLq36rxZ6+nIN7JTqYH7Fhq/lF
wEYN3Zuf9Tv+7saN1Oyt1h3VA0tYSVjLNZ+lh45xOF5iG1C2V9VwkG5bZhIXTF/3gvvmqZx3cFES
uzI/Is2h5/iouEp4zy81w0vtOF7zL7jml2x2WVhDVFMc4npy3lT7DQfprQh66+kaUsHTeLVs8n4n
fGgezUeSAgSPXrab+ZmruNUTYoGouIMUE+KQQ1Kw6hXWXl3OAs0s2TN7f26wGO89qLzukvDWlecu
AxKUyXS400DE0/w9t0abFLWGuN95i9yvKfZl6AIlM5NYeAou51KjFPaC5WX91PLEmgF8WYVuFjxz
flwlnQlHvbP81s780NMel535IQ7PonkyHOlCvJnfrRf9uFyIu2JbbEEVvN4lut5VoAe2OOIj/V42
LTJuwLv1+o6bZKQ/YCdMQJnHPQPsrsHWDmVz5P/FAR7I/J5R0zogRvM7wfeJYY/1lvKMD2heHMR6
QWIFCdZ6yRF6WU6EKBHI0kAS7EzXZURqijRYm/gYzxfDVY1KDArfgK5wAn0SmJGszo9ANRZg7zfT
H3ctf1iMt5ajHxuU3AZ792Lb+vEOuNUBRrVBhOhbBoe5JmHhLN2h7fTw8MEphkR5Ot2NM5/z9+4i
2hr7evZHyS1yj/ar+Ubv2qjtGUNYYBLEIHaxb5xib47+9Ayw2uwxa9+nTxbu4tfJVvGirbVPrwYK
YwccEckjGkX7+BDv4viOYpg5H5Ni2bjrTiw4fMwpVTcPqTMiKyndD1Hys8GvAhdz0EFy2CEmYMB2
fF4eCkSHkZ1d9h/xvh89PsoUraWTP4+kURv7/oMej3bOj83sCc/A75xASyt5uAnup/d/3imTYBfF
bR2KbxdrLMSZ+FR/fBDpvIl8MgJz3VkdS4T1b0Hy+BslrR/RHkVdG9sWpvEd9FGgczt2ioNy0rz1
SvO4my84Pu7TAxtPZw1cetRsnpPhBmll9Tjuo112nB4xisV4800hhdOCzuIIkp3eazct4UyVW3uV
Cx7Lv1CbutKVfkF545jXwUVwLVwVd/MDy9k5vWzu8pvoHF+utw/NigMZyTHxH2av6JAf5PQeKtmL
6La8ty5hFO0r2uqnzkXC7Xf8mS7bfbsXDku+TRDjUuovH8FrdpLeF+k9OEs+XCF32Y3X6YFHmg+G
L3Sj9XP923WbwPE9ZjE22wkYVuoqleoxxZ/qfosyi0AWidYYzAaauOPGeuEL1ktD2TTajJ7YcBLO
Pf2QK4hHkUhIIIJhjFKY6Phg3mFCXIfYt5+G85laLl9J5K05wLL4Np4qe35HXMp4YTPPB4Npxle8
8Sodo6qduYbsOVhCyGTDxN58A3/EXA5xvWt09IQe3x8bDxSP7sCEnUrm8YN5vwUfZnahsoNpVcwu
O2pymnbL4BLdWGXXeX64XIeh5feJp/T+BM5uIPN5q3aWP+2UQ3aZnuOz9JDv83N+zm7aO+O1fK4u
xw8FBPoSS/QJuayNTEmK/dH06DymCC0z97LOvFLwhWdxB59bVLz6sdCwH3GLyyFw2uCrqUOrfJbY
+jPR+0N5AlV0c4+p3UGL+QwIDhchZ5RDUKwcBBLzZeBXh3CjvqM5nZ8sb31u9Z15JVyj/28RT5D2
G/BYmy4y6+SGazv2TFjGnQLWxwhnOmToRxAH2fhfRVug0f/h7syWHMWydP1ElIkZbpmR0Cz5dIPJ
J5DEJARI8PTnI/rUSU+vbHdrO3dtlplVFuERQrBZe+1//YN9P7S7gzBtQ/xepsfn2rTPz5f3epPY
DWwDK2PkdEdXT9CJw7QUjd6sxWJglr/xWO4vUmEdn9SPmjttdS83/Bw+6vWQ2BNOCQzIKkdTD1gZ
jFpxiPTF9D6eH15FeUZiaymbM2yYSswRTsyFhg+h8oShs64TBwn/DUZk9hC/ntFSU/xn12cWh7Sb
EARQBONWlQj0o8H1mf9FtTXnd9GRSLvYGRYDSxmrLjt9bHRv8nrc9kE/QQnh1mdGsjaTUEzZzpxI
+EUcLPhHXShlIA1vdTptqqubZCTmsSqMDnmGtBG1sPdrr+4Elz3/pJdhPjDjPzO2f8vYUjJc2FCj
i6dZbywm0hr0C17GrLp1wSX28IUQFDmo1ow+lebx/FSO7TRo9E3bGwk0spt3pd3Wtke6CnkGaUsz
PUWfltpSmuuF1TxDWma8ikuOGePJ4N5bN3viCN5vKue+MgPNJSbBSX3YXh+6Y4bmKpvLSSB24385
gl2ZisY2v+q3M/1ZfU732iJ/lTbq+2Qhhtf/0vz+b+yEkRFMmFoxBGB+Bbiq0Xn+0Amj1uUH/g7/
/sef/3cnLP1rVHnBdEfpO0prv3TC0r9k2UTLQs6LocO1g9n9Bf4VCZEzmeHQRhvSX53wKAPjwwyE
XhqjVl3/n6C/mGj9B/r79yvn8r52wnIWl3eB6NBgcn2oRcG7AQKbI0aAD7CwlEbcQAVAIHnYg0zh
T+QE158RYGjCOi6gyNHu1SpsBMJeKkAvSC3q7tjp4/BZZoITaOAXUIp5JUdEY4Q27vd4lhKeSiK8
4p4NLGBqCe8MypWYRwZ7ftxjppiBl0zATbriXQRF0UY4BbBjfR3xFXAWWYZfkZnggDhhvdRgMR3c
BSD1ZTZJXaAHrOw0GK0KJeMM5eTSIhqF5mjfajagWxOr76ccWtxZfTkaRjZvhrNTjrPytJ+db3rx
UJoyFbnM3jMFsXoW9x6ERrctjMZp2OALhihRJ2iC1UxkzzjHqnOXLqpXNBBmFPVD0ePHuFHA9pgq
y/iM5IZ3utynJwzRT3dsPQrOquw1WaZY5qWDBZDzNxHubFKapYZw25sUaJXywKDqjVHxKh4073IX
w0mjQzBrMLeLMyidKXlvcX5bQL16MSGrlcbRuzCBukwG+9xg3aCjY22zhyN8D6nRobQygb/f7TMm
ZY2Ad7OBP8ZHHGO+gAiWlClb7zR0eGzjkHOauLeGAuRcpU3DwWaSfqgC1WWYdq3U+wJjKusSZ55a
XPeTizGZtlmyVUcsqQFUugMu/a89Xo9FZaKiVpuYKjJ3hqe/FRV+4FtR+f7n/yoqqoSPIoMjxlXM
cnmr/328lv6lU0v4aHREBlOnvxUVE2mbwlXpuFpOFM77/z5fm//SuETTNJHjS7pI1M7/QEEqfeMg
jOLKv331PxyRLzqm0xl/gU5GdNOW6JBlA57kHea6JiSbo2i2bpoyeYnvxaiCBAv10mwyVRPWXdVn
hgVsVQOWTVQnNrX3ESq83XFyMkvS49LSOfYYOZpEZpm5r8h5gyFZ8nDS9TNnI+hlOTRIQQxL4/Ru
orephxGzzNoAncw7zeyyq6G5wpi6lImvT85RleUPrWzgg3SyBWbK5TzuILbW+L5MJhm9WjllSnxg
bPDS55PUqVUI/aKRuObJfBjuBoZYSXjs1GpOLsCrEdeqk2Kd1JxB+THJj/IUEbiAT3XfJ/GhuOBF
lff4DKWWijaoeFOTdS4O1BRsuAYsFC8TSI4TLDrk6eUuuIpIF4VmXBTEAw5tHJogol5uUVbhosV0
MZzcpNVQ3gCTMROhpUcuAw/v2owhDTV2SzpXgq3eed5cEAKcTk7T9v61Pc1RpQOzthNfuXYwHZnh
UZRRGnze+vus6nrnLKow5IVZ2bQnW2kNwSfUKxTzNIKKWuNEcjBPp/DKzc6xdkokDZS+EgW7lW7v
ooBzTpp65fHmmgreJxPjSnOMhWNWCdDm64DZJqgxZFHxeLWuVR3V5+MOCrBzMV5LVX0UsIJC1EJv
e4lDxC042N1gV0uRolBvZE4eI2VZtBDNMZKp/FTUlucKbvFpdB3LlkNchcJN9Iy4mLOYohMkQesM
XFMbz8feeO0S+UXJL35+xmOxL5a39AY9q2rg+JINqlb+AK5sqK9HE7bu+R7IQD/aYDw1DONbXYGl
qdklB/j6yiTuXCxjKdWttGrtPJHw1cnnhkRwz1EEnJawXBNUQosyLMcUCnbW37yRFHzs4VQmGDxD
/0xmsOwWuizg3MNGFr+fkkmQ3YvSb0VzYmn6lnFgA6uy9WMVP9Ps7pXQfi/X9tAn+8skbz+7gdlZ
M8C1rgc5aFQTLyGwdPt/cw2WRPolCak94cP6bwYrFK7vNfg//vxfNRgtPoLu/1swv9VgQ1ZxDzAM
/F6/1WBq+qitR4MrGqJGef53DTb+BSJKyTYVcUKRls3/SQ3+DnHyTSSRRhVbAFwDwN3Hsf+XEpzB
ALuYYnMKUMCE5ebuSWgXXGwnI71yhbn4eV4xKY5Oi9I7bvVfqG5/kiP+Lpb9+6ePbeeXTx9QP5id
yadLc8XHSIvDSW2poeLXUUMk8oB3YQtIpyzVTe6GPtIK+o5fLuIfxMF/v4hvve2gV+Yx61suQvTv
WFSewnolxlBvOWc+VYsUuPMX3/R/Mqv9213/xvGD+Hg1ChjAwQSLUsdctrDVtQBcyCzXI+XvUMcM
p72rcyoXhfp0gxrhlO+X1eXxS/Ow+q87/dVfR4GP8p3V8fVC5FEI/uUBnCQKzyXrTkEODTzH0NOe
LG4A1+lUn1au9HT2Jr7mG6ktO8cXcUGygXurrGM4LIwQ6cVrZFUjlOgkq9Z7w9lmCglkpTvO/+dl
ctD522U2GV7R3fUUVM6wxFlzW4ONicvcwnVyDY38IL+ffGbavWu+tQ9qjmzPMpaZJU/75/5NeWqd
K2TbJfhq6+ThW0KoLD7ZR6cPfr5QbXxw/7mgmWnQO9EdTL5dKMQrLTWxzyIRooiMubmsvQEyLYt6
FwPCNRFusktlCkg3O28vMwdPLb90USWlu/rKKQlE5mjjZepny+aRjajBvXSmzk0/9hQnfk58CXuw
jTo/Il0Pr+T6XEPILsnuNEZ1ePmqdnlTV4WbvZRXu51KayDB2fGXVfPHROGnb/mtaHSXZsjrI49j
0tskkQbN2/Cm+e2iRX5pmSxqwWuejMM4hmZd4PDXBEmou/m0hGAKumUs2yXRML760iReAhTx81P4
b8rKX0/hW1npk7w46kOF7Q4YYggPxLDVbWufN8cACG6fCQRDMsCHKdc6WnSNytXi+q5c/n8v4xuL
sZel/iZc6hOO6Zp/X2Ln+iDMTnNtzxs17ecqqiFbsaS3Jrg94wfZPcDF/i1o/B8S2cfq9te9+Fbd
ytisWgOuSICFk4W0PdIG6/jAidczl114cy/uxF36/VMZEUC/P20vbwpzTwsiJKI5W1pxNP3QgMhx
2JxpoRbxUPGphbteXOzGzpk+Z7YcHrfxQllcJoefn6Q8rqSfVtr4vn2pT1Il5GJf8z410Rk7A5IQ
9v3UWJczQoCTkNzhg+JJkWbRe00TN/bKlT6NI1gYD9oS/PKw71/Vnbw1FsP25ytTx0/+6croCL5e
WRtr99v5zH1F7T5NPvPDeYFh5+oSYMO9kRZIaWI72cqhtr8EtXPNHZWxWDkfQvXxauMW7UIuxXgQ
7yl0xpawR232MuqtbXF2W+GXG53w8HLTA2z0KWOgHZMHI2KOb0tvxxBgNXZ//kLieME/faFv1Oxb
2kHl6NiLa6fkTSZdIEA1lNo3xhOKi2ZDC5H3GUAtD0oQb3759D/M7x8+/s8u/eVJd4ZYnvsYhOlp
4t4+usjYQw93AWFnT+GV6dPiFBbMT7SpEEhTzb3ODDd5yDf5NNsm/nGqe9q09gi7tTvvyDR1Efun
nQoimizqXf2cr48+IcZ7xKAB6h5tm73eN9VjtqxfYby6NUbqdO+W9gEHb1E8mNOSsMDr6rhLmA0J
B722Jo96qC7lpwExhnWbTWZAHeX27kueBMkCAhxrUHtDS/TY+BTnoCZ++n4ghHp/isznejH+kXb2
y37z3zQS/+/tFr/tNyr5E3dIXVQ6zZn0rMTXcl4Hl3k9G9ayb2IqYckv6ebiNX62N99/fmjy+Lf/
9My+7QPoOuD05Hz65EUlcrayZBj92vq4gZ19nWdvk89h1c7u3s0vS9vct4p7X9BWYXTbbYxlFTDj
DkfRspUGUpD9YkihjeX1p6v7tguIZ+WcSVfKr4IKE72xTVrKAaKg/nRnGHd56N6ErfSp2Ev5ZBeL
04Lp+0zbScB/o5fP82AzlvWIV11Jb9jiR7F3nqsLxFiFK9vGW441OmKJs608xVvhUw+FIKd1ShYS
8+xPc8coJ6giRr6PsLPKbTcvf0nSEsdTyY9f8Nv+Yp7Fk5iofMEeGhq1PfYvQG+Ly2zWTg2bhefK
qzIoHxMsXG3DP2+4EXV4XSQBokFYThbd/iZn9LC5MpuyewJ621ntm2EdplvJFd6um2qnLwVP88tF
tiXNUrAmoemiBi0/5Fk5pyi0e8uvHkT7ULsrAIYNFABfcK/PTOing99KluhXDGweBdOB9LRKHXWG
0jDbnmdJcPOXmLwHZTj4/ABqcGt3D8/zMy/WlGIT4MlhhJarzM6eaufR4OZLzFTDuepkPur0R80z
AvDIxaiTesAMhxapeJAiw5I3jZsF+/v85DMLQQpVrOQnUAzuwSM8KTx/wAzu87tfLO4LErEdNXdJ
R36HMmRsDJsUn6tVLy40V3iG/PLO/LKj/Unv/lLnhE5PjLLioaGPPG+axsrXE5dVeVrdXNHJ90Q1
TmHisbDSpR6k2ybIrL60kudiva8tMK6wcLVZ/ijMzvov12b8sqf92SK+XJumnq7tUeV9LsLb3tPs
4/o2x5rkqV0Aceyr6DpjuwsBJtqgDwSvRFE/L3Z6oBywaNyiRfMyLw5ODUyL+HmCmH6q2XXYrHAF
XjLWRNh46D31s39qppJ3n2qWbqubcp675qIBdPGNiCiD+SWKd/17EhaZ1S0wT1JXPBchVHfvtHMp
oSvhfXV7rHwcbi9LVrqLybVTYQnwy+34Yy/0QwH5I2b6cjvkIsX01xybD28sIbuM0Z1zWhqFffWM
SF8UC5wUEkgwiUuYiGbH0bn37g+Ze1zGLuP17SUwn4mDGrvi1MfeWN11T5dZNf0tB0wdj2k/XelY
qL9cKeZW/bEhbgTl2uVhMi1nJB/AmQ/EkAgLmCNYfqBHnGW+xgRP3p5dZL3K6ujzls3OdgJ/Yqrb
KdaUuFc4Smhu7qG+rJcx8tjImt5eMS042ng4ULht1dcC5RVfiV/2shFD+c8voSs6gzUDqz+Ajb99
iSI1EHvjcUkDMnEv08vieASzdXH3FJeNJ8wkrp27ORNDMzCDNJLmlUP1asg0TVxjfXtFBH8lfuk5
OeSb2/QJH422euds1V7s+LPfJ1MiDS3hhRbG5ECGrGdBIuhrHbRv10jbjXarpoeDxemQHRJElkiB
5k3gyxsBHZ7lD1OJ5jINJlG/MTYntzKxR4ET6h7n9Zb7mb0Ps1tm53P9Mf08GyG0yAomwYv0eH6t
SnpXNBHOvbB/rifSL3ftzwn/y6M/H/GA0c7cNbOwQFCK6JJZ0rS30QphL+U3jhoNThZ6+MVY56jf
Mb1R3kdT8Qhicc3E7BV9+28hVf+MK/z1LMdB6NcFqQq1fJnInMDgxC6uD0QU0Lpj2e9MFr2fhfla
sREfVCt0Tzc/eSkCsl6CPCIEY84Jt3eQU8G34Nbme3mtrxXJyqbaXpoly8r/rfNVx0bgP96eLxf7
7e1pB1NuRYJPAnUL+tUfaNZJDzg5NHrZSkdXvskeOzuZCwt1ni0KuGHKsnViD4YQkSP+fRZH2vgy
gQtHlyiJigPOM4+G47/lYf9qslCHt9I1NpLfPetL2dJDaS6u2skv9Ur9RzDny/f41g9ok6QTJJGl
kO00v/eV9dUt3uXoXkK9EzG++gBP2KpeukNKTrDC4ORzuuKrbX1Eh8sqXnJQh3Err48fCnt5Y0Wf
4uoyk1dmeJvVc020dTxLTt7ksXqJZ7+9/n+GPT89hW8H1VxtGhKYOADMsvDsylEVJRuGuDX9gbRU
HH1Rclh/jj24ZY/jFk7SDbPbEJ4zpAfoc/51+UtF+lNxfrqkb6fPPrmnkzznkiQ/WWRRHRrrIkJ3
JFhFRD/ZRPrVSb2xh0l28OM9dS0vhPnZnrxVAQ4Q92k1k54uTjETp/dDthbCeN95w7Z9/bkGiL89
+LFGfK0BQydJ6cCD1xU37wje02i/VZeDvIoJIJEp6vPPnyj/AQZ/ujXfijV09nPcy3wksi6vjkbH
SwH3CPvU2KVPCJdLXiihWwfiHrzKUYLrrgZ34MFpLj3V5NFcSX4+HQLObb7+1trCMn0eQ2EhsYXD
NubXJi/6U+XV0Bi9KihecdOvAiAT1wTJIXtmPc8XRVTO0twWt2Tv7k9T2R3c2j9u0/ltxrsr4NDA
pietay/mOKtN471M9x9UUMcOl70Z25J7m8fTY5Du2GrIzInaDT81ncy1sFgKJGcf1wh/ruQaWuJG
XN8/td2dXaD8AAS50/UgMPLyD7RvkfKODiqoZ2lQHbJN73S+wZFh+DSWjeUG78clXNKQZBfnGJ5w
ZlzcnqAOXmyrfb74SohrU+LnfrvpvHp3feCVnbUeklNW1BRaJ1SwmAT7AWG08iQt0wNRijvkc0vB
rxfGksPnQwEHbqq7UCYPOeaWtNjxqn5leMiMqJv2nhHCtn8vrEPpSMERefdCuFnVh2RJPBBpWnBQ
GZ6lGMqEhdrl6eg0cEZvS/lis08Ws9NnsrpF0Gk/qo/R43vKJuvcnx/IjfL0t3LTrQQ+MbX1cGzn
90LYkxFk4c27SBbjIfxm3VdDCKkwNMMqyhfQL/1ul67o5KdtY5GoENEedQta/MidFh96FK81nIUY
RaAhgqiqwiHNHvKVvc5n+KmHqubcvHhJaoY4NfdlmC3wyit3cD5Yb3TW18B4Oe37mfB5Zs7rVY1X
8dd3fvBLifjnA/hfNfdPZ/bl1Ttqciy3CSXCKN5IEoQPAT7li07i6gsixyoIosVjcnabmZFaaJ4g
M3Pbf3OvVP7xVPHlMr5tYVcpl9Lj2AVokNBRUb3Wq+JZjM6LfjpfsgaiYdM9tvPLgaUcPwsLzdG2
eaiEnZ2HHMdVWiMKljrXQHaS1/QjQ8r4mH1Ijwpvamzrzs/1wxyv54fyoX5DDhiW1pNJwfUi4SGG
0LA5lW7uO5Mda8UvVRE60wcT4wpAs/tr7NF0Ouny6AsLUlCfWWizeHV7yRdXu382nu+2uLl/3p6F
kStczWKH/FG/XSlBGmCl/FltqsU1wmNlkS3u7HTlauKNwJrG7yYrJJOddRHBjYjrIv/x8zo9HujY
kawsVWdP8tFMn54dInJYXCxS//IIMkWQPWKyX1bTn8Don27Ltx38nNz0Y3pjNbUP41l0yqM0t1SI
1fB4f5VCEJ11vEvg2bjwyzEpnXgQqF7VVbXH4GatkNYNYUL8ZUA20tp+fFjfdmYxiWu8nHIWV+Zi
siUhBdUCNd2ob32GUdo43kBdz9MydG84sQ8bLg5UzDGMpySQXMUm7ckhas+u3A74sjx7zJJ2nO6T
OfMNSGHtx8Bk5uTotBhUWwdCLRgLafGQ1vF3hM6ODRb9dE0ebbWEkpshFR3sQfIvsp1NL9ufV+cf
75EfHsOfG/Llpe61UjpW42M4bohSsqEr2fc32WsgOs1AGbbgfNDcET/Ag/DOEbkqzR63DDVsp5gh
/nwx8j/CWH+92t+F1y0eXBJ8Fs52EeGjs84jNWeuu3Avgs6No3Kfr28b1FhW/4aVmO30M/0BAmuY
eOs5MKqfvB7ZHSfBbw3bP2PzXy7s2ztMrNMlvR65sNNOaFw9yLxy/wZUQSf8bmxlEJXGTR+POKrZ
8lScX5bn5S1gaHeodsg5wjMJOzuK/9EhYvm3EzET9p8X7ThB/9oTXRvjnqY9V+eUlugAds2ZuRzo
fKWdEqZLkbPiRniqdlSbImorW0fqAZeb0BxOkAP+sSG2nnTOUKGdboX7kWZjjXXdv+W7txPOaLMk
6uAZMVCU11gVYXwYAm6h/9jWq36fOsnsqUeoa2lvcXSMblthVb4m27NHXEmkeOmm/jyGqmuEkxWs
jH3ykS3OOMpasBXZdK/R0Vd9KThF2RyS/dbwsoM+j62SmbQ9m+PoFIJI6LJNkXpCNHJQcbK+BWcH
KlXYrfeSdYRh6AQPY8XSftv0RgbYfxYEQ53g9wtNQfpzEPnyfhh31JiiSEHoek/3ZNjM9FrwC73j
x32GohPC9DJ+b27YZ4WJ6d+800JbXhx5kU3CcoXg5Zl2wxPf5/N8SrQePMtPcav5mKi6c2mRLIXG
yZhc8pbXIJQ/v0/iP71PWDzrOp7jEN++W6hfGvSak3HZZuBRotOdTra8REFlLnwEL8056K4ocR72
IBzuzx8tQbj5hzv3hWhifCuleYfuU5xw51ICHf/8o1d47TAhjTfnYVPd7HVjYjyCsZh7OyDll6rV
iZSV8AjCFhHL6WtzCGMmL41gXRNrWI7Y0o6wwKs4zRGcL3WBlD1otOJzet9yH6am/FmR2DbpyZ5F
Y8Jkx725x0UXwdN3FPseInnkLcQc2ZE3qCPpOxmHIFwWHpU9vfJEnrYHgkIPLcwmpfDxQ9HflGaj
DfNrcbfUlDMwLRw/j+MpalhxrqBKOEVyNc8i9RThUNb1s4SAT9mGYCujw3zrop6xd8pRvrnbymZ8
3g2piE55nhqy3zP0Fnw+LScF5/mOmwJhc/PsCdGuc4q6NyNzzoJbdH6P1tYzhxlevUO9lu+PmoSh
BM+QtzxZ9/HiLK3P1QoghHD66rIUCULL7Liy5S6AstdZBZIG7ExzXAAnYUMnaxEjxoVr+MJWc4k+
g05c2J7vzqn1O3LTc78cQhHvfRKqc6fLkLLatFwFM7Nqxt90v8+UCUyEmKDMW4QM7ZK7EEp4oEO1
Hoqogf0M//7qYEMjnVACssNP0AZ0GOzN22olq5s0dSq6SJVS4GIoOjwpa2mDlRjOL9prHw5zysIZ
e0wrf2xZCSTQiVNDnJ5KS97dsbTULTMqXWWBfybOqvxK8sj+BOPxganjgjRFkZNpTN6hRQnBTxQh
ErYYmWrjLN2dCH9zO9HDkyYBNkre7kRCouCpdS+5PLV3T0CdXdknOnOoBhdjRuY6KwTmcWLd1+Xx
5UZhrY7hitZu/LUJ/GrRXI0/hUWneic15oJbaGjoh5jfTkKcHiPUWp/JzlhKT2TMO7fFfSfTVFQI
k1g6ORobW+LoxHZB/KBkFbtip5r75GhfgbJu2Mc599Y+dciDrGPu8NA49l0+a8VFqsk7fu6tVsXn
wjJoKnICUVtrJkqCdxE78s+simDGbsyBVt3mmrKwomSgEUwUuyxWnCR4Cu01mnvXwrsDlU6JOVok
89OrMFhd68FeNt6r1+Pe3MTP0fBYYzuUMhPvANvQjQGz4UzC2yFyKs59c6OywRShKged+SyMaaDD
00na1xd/o4CSH/0JMh3cGOXTjsHkJsHSeI2VA6YZZbmHS+4o7+krgpU1YhO9D4Y19/xkDZtEhHo/
zR4vNxgXGcYStlbYANSP2q59NompOpAIhZPHrim5X+55bi7qK2GHax3GJnos+MYcD+OdEd1W4osm
u4pzX8PxieJI3SDdJ14Fx2JSE3uqTrOEYNPgOJGe58QKpfjEpVM8QIzMIyqQcoCSCgk7in5izEv5
XdemEB0GaWpcQ51X13y4HKdCxkj5RUeIeqUDrwz3025egGUL7k4R4AK2Nxqkg/MWcAeSQf7coClC
Do4SMDXtSZQBHfDWT7BNcbsyRM7TnMOa2Y0DuVdZhnnp+WjD8B45g3bPmvd2sNB4u63us2o45+7v
O7IEnP49RpyHiFC4LbltE3QCZXBcyxe/GHUJTyKwXnR9ksZBpfBSxOTf2nTforuxbDeo5kfn6Fxe
i/19n9h3v3vAbG9k6j/Q0wwXu39LH4QPaHTwUHpbrxbCwnwR9izBbnZ9yz4nz51bT4WVhtFU6tCF
qOFxyR1t9rWPxXdhOOLnyZ2slcXwfstxyENkCNkJm4V9Nc023HTt0dgwC5/g924rncNv5ct2VTPx
BSRYXlaw/JdsC6Q02WmIGf1CfAJYWSkzYYfJBCdWdSeu2Eh0NnIid+f14+1t8nREsLuRZ+Jr5XXL
7NkEnQUqYAbCQ4+uU4VhAlqtGHwZztrxoX7SQ4ZBBbInfcn0d6nu2tfL60CWATRtzDSZ38+Gu2Vw
4GKGIP3Bn6ca+Ygzyq7LygInrz/Uh/MKacVtd6M5E+wGbgyjpA9lIb0kyTy9htgxyCiq9e2wQt7c
sPux51D4alxMJi7qCTKydesh3sf+5IHh5fiN1giRF6fdeXFaHQ07naP+MIPiKTkjyHIzm7kI89n7
vPFvrx3Gg3Ntlm7Sg/BwfWaVXz/+nJdNGLvLZKo8kxU+RVPYMhlso+NK5jsDXqh2QGjq/rwdDtVC
nBYPwtycD5srIRyvgj5q/XiBz7CSBWs11La0O+L2Jax6nHYWDPvCabk6rpRljAiZnt6aYDRjYxKz
wRtePQFE28WrODsyHyWKFvsvwf442jXUkA4dtYyxKcw25d1KItRskeZEUwx2ZyC3fLuH1Modjmb+
My0r2O6EOEpsre3k5XqzGXDc12S7iP45TLDT3dWH7nNgemARpfcqhCcXM3NH8vKjhVhZe+clxj20
eUym+Fv6uZ0xjZQ6i6aViZfHEjR3xgYStWuuHh46hyX5KYzIWyA9wjhPp70lr4onrDL9bK5goIl6
snZw60hRozw3n01t9U9yYqmFA2kdHtt9tLGEiORKlZ/lz2aDETNqQCMYuRZ8qfXEyb10XeyNRWup
zpmkNzxLSatunPa8nsyU4Bgiuy4uoKGqfZxf53qQz5kRo4jurftnGbUs88/iIOyxyC+ssWTiJApx
Z5XPy+i06Z82zcgmCsp56+NvbOfWS72iS+HLQ00VDv1SXqO6CeoXfZf6xfwzAyKAz2ZtBwTX7n2a
Ljo7+zy6eCyuFee2QshABWTrYBhjxZDiKBpY+uzuSBvZR2kXemSDDra02ZQ3Yt3AXReIreUJBEev
AX8rXehEJQBms6UHgp5DHHfGQl01vuB8om5K6e04GFymBrFYHUF3Dla+3MfmQ4DRgOTzA27/sfPg
HhkMzDDuFtIHpfZupzCpPXa7pAZANmeltL4ybeYh7y9IJqeQ5o6zbKVN05XCHLqiFNsUrIQUCNHu
w2zdPU/W581IIaYm8JYh+jdn9euxdW4f9azwxNxWZ5dFfIApFkgkPyP2WBYcaKJhhTM6guCK27dD
IkoBVYl44eBV7C6HxLCbHc4++vb8SMvUv+LL0+0V7+ycV8bj0RGicgBqcDtUoxP+j50+UxI4t+Gt
xU5OC5USTE/8Lmboq+SpRLtmle/54Midex4c/f0WniPxpXrl9eC+bzmM3umF7EHnQCN+6niJoQbb
9dH1HbSbg/a0Mx0srpz+LXlnAEzmEwvROfnqMl2lfubH4EV9FFO6YP476rrk/Jcu4i0b07CQKgJi
repxXOgUMB7AJ4HdyqHdMH8U1+YLAaGzy/q81zcpkSRc0GO5Pz2YuLEeTi/ao75ql32IPZDfBrdP
meaQeQQLHiNSMCxkDUPAsNxLfd4wnK44CcBlMJ7wsiX4viEnc310s3flk3JS7WiMa/gcNGeYIuUU
p026MN7unzLN0lsKz+WBafaMOlg/qrgNW+WeI8qnsrrO0TlsWgNzcRgaV5LRx0oEkkOVg4yaLvpR
sRd2ZBVz62PM8H2+/N3W/vzbe6ep7gQT/74ySLa1GemLOAwIVvfRIq9wBvS5H/Fju0rXqNLxFgOU
49wCs3ijP7Yb+almcEku+b6FccwdAkAalRC0WHgRvJYMhdAbcoyjvVyfp/U7UzzLnPccqJjCPh/n
yrvmQAjmnNDbWBjYdNLLy7N2dXPqJIP7WcX9HOxY9YiGdwr/JHmsyNNuCC93IkCdunNNXrqnpHAQ
+GkbtpDiA1w3ye3r040IXnrSmUBxCWnB8dJS8fq1tQ2e/162uWTecc7acYivpAELCjIMQIiHzzM9
wabkDCYibHIE+FrR5bPCMG+jky/ODEPlsNG7lAIcfEbv7Xdpz9wApP/yoYzdMfgbY5DYmnDFGIN/
npm7pisibXq7r+whLDC/ZLkN2GbZCVYiMxyhYnyngyZgqeKshBOlo31QOxrJMUwsfuyC2xQZHorE
0j5m8+Hun9zLcjSkWnP4ApbXw5z4ZAfnthgKOVrwzwJv3hURM9d+PNTEax6utjd3F2YsN5fxEGim
6Nwdkkankn8NbsFpPzyraPQzB3OqWcJrjV3crrZYzFskSjaTertZJ8+V9Zwt2IraUA8ni0FxYKy/
t7SmBqgtu0sa9HTwDwnmEsbJv5QHsXfGzbaxcQSnEyw+L/H0SnllL++tFQp4wDM3OmPuw8wDnYyl
WREsND3qOTVRtGSnwxj3qVm0RGdTYQiLwJMJtid3m/qquB+yr8zQnRvcX/90gWRheODMo2BzyqD7
pe3HGpne8SubIsTRxJF2cB08AHViPnb4D4rL+7ZBu87YAt22Z27vEW8krtxOPIZD4bmkR1U4l/8P
d+e13DbWrul7mXN0IYepmhMkZlKiRKUTlCISkYl49fuB9/a0rFbZ1TNnf8llW6IkBGKt9a3vTbIb
vjc76z58Hh7G9/SYsbxWduTaaMPsIFximKBD3j/TQ13VD9a2Z+u3yVaIRF3VxkfZg0AFYsX/8SvE
F8aJH7s7+cEgTRvwKLQXjWUzbuSlmjjYGvbLcdGvJ1zZHCweEMEX9aLjhmMpcN1sdB9oKBev+97O
3isIPksVbaiIUbLabZQPpFb1+1g7LRomjkkaPZZzy2Qf4aa9ljeCC3Y3nCYWpweG/Plp6DwN2Wvh
VoQo2XQzqvtqpKJzBtlunwXZHTVnuq1rdycs2cGRjct5hB9abGvwaK+6A5ngD5rP9vylC+hCue21
fje8xh8a7m/vYXpLWkvjKuZttqgkaju8J7HHukB3o7R6Gp65PJKv5RemR/BvxiEbyecQQ3IAO/mK
hl6PFs10VOYUGibsEwSMzPA84eGIVykhRit1y8kOLtx7rEKienG5Cj7UH0sI863MXvK+UqkAnejZ
uEYnHbR2/xqgL+vdIMTSwaGa9LjZTuzKiGRpeuejU2xzfTPK85zSrip/pKHjWqxhfrWzXjQmHNfK
oGeNJMleWdc4GWCFHwWOvoKmjR0e0wPLlmVfPmrEkpVT3eZPFg7pS/E2hKV5qgkck93qlTIk8uHt
P12W+GNpexrxL2jW6pEmLtFQp/RkPTO3Wsf+qlopd+dF6kvr9pYOxKl4lAw3OeLxgkMmfOUgd2LZ
L4nVZeyeXWnJesZ6Sk2TvvOo0CntdABZZ97jHVVsHRja/nVvX+O4Dh83nxdaWHkhDiXKa/ghJB6T
HFYfC2Z3W0BeDtPHY99xM46uuYd0DtkFLtNVsqF0Y9WbB/JrhkYFzC0TbOWuYIV/Z5c6TUAEJYaL
uR8HzmV+THH8debuCupCA8/DpWTthG1JfPt6Ontrx1t0ErLNpbCwTCdovJSOuwAjkUOc2UudZOZw
yHHAMCfqtSRb4zKnI22s3vSH8K0i8scJK9fqnW6n3idP40vIIvCoXA2PJekswB3sm6wb4zAjJvJj
LiG3vJ/rk7uAingbNBg74a33Wk9ku9spj6DRPeuCz8rLbU3Xend82fmrxXYW3VMHG2wS82Eua2cx
+yubEhruu9Gy5QP95xD4xcIZ1YbDdBEd0ozCp+QGF9/L7bDNdtChHujpNBArUq8/DeBgmt2PfokS
CAUhDbH3pbovlucF5i1+IHsFnjOJh7EHlESSovBZZBNKGRC5yke2LT1l3/owrWGaZrj+8KDlT9lB
ph1yJ35cFFpNPk2jA0tvYdmKgePLKes3+TMTEf3EA2TVl983XfXvoMbPLdcvJA61KjSrLOlHla81
D+P+smqeILFcwe1lKzNdkwrzCCz1xkraUtdxuwHbV+XysjZdvfCta4O2p2IXu9fsCoFyyESjLS77
m8w3jzMICHBNR3v78ZFt+vu6tyXU9vvmA8KPF1lgCSwLltPAV1P+gMtJ8neo7+dL+8L7aKo2D4P+
DAF48BoYv4PqYX9ETS3ne+vAdErraKKtsM3a42CeLlgzjvcUEXgwRtZBZxfZU1bcCtNWdV7OLj3f
ub+VOlflh+ZdQW1mTZxrNuwO7JE20YKmhh17sTfZoUd8kAF+0WGn8qqst539PtjHA3PTwMokeO/m
m3zF2uAKOrar1yl5VteyZM+lJU132oGLEh8sQDwHqsO1esA3yxPA/sB6PWJeqBUlqrOL1/jY967O
06ojKgA+EFuXsHf1EXqbj23vFF2bGaijy7wsCoiNCU7yQ9nRynetekvarSXsJ/O/G/n/qZ4ls7gU
72gsAGRcSz4NH/f58vw/XgL75+z9//wvvmsWEH2xF/j68z+lraRQY1kyW8QbsojbCLjxT3sB5S9F
lfEqmb1SDDz+eOlvzxLdRNVqan/7y/+Utlp/4VgiE6zzQ/Iq6v/Kvu8bipKIsJZLxkIExw59xmI+
oVQtUTNdWI3wCm0yALE0vhlmHPDp9n1UWOvw4Vsqi87RD4n9RgdM2F78t5Ps5uyXXu/3N/0fgFz5
n8ATTgsSVw27VZdwNvz1fMpxaHtMkPEKo6Y9yOvBhVu9SddYRu2C2+pBW/TubIVE9cOzHx3LNRJF
X97/j+PO6/C/w/fi6r9x7F9En//AoLCamN0dcJsBvLO+nIc2yKJckWG/LKFVWvptHP1B3jo/U1/w
wV+P8GVeQqkZWwZUXu488IjDtnARuAOolR+4V5Q9TJhxAakw/AOtRPrnhMiBUXFbmqFq8j/ikUcC
xrpzGOfLu8qjJl43zpHK9H5/slagDZ9Gxje3cb5Nv5IEOJapqwaPmEmi65d1JSafW8qDCJVZmF8L
0/OYvArsIGNcfn9/IPmfoOGvR/pyOwXc90eyPznSlhCbG9idDrBC0NPOxnZuJfMurqpN7pCT+1Tv
Lq/p4fcn8Kcr/cL1U2TNqJOA44s6jUkWAmIEvFIEyoj+sKR9++D8fU9/EB0/DdksSpI+D3j/TICJ
kW1rVZDiDQO815ZnoLPfX9f3N9b6YauEr4klfmEwSHWd6sbEW5jZ8bN8Hd9XgKMhRIvUM13LOd/D
SN6R2Iqk9rJ4+/3BvzM/sRh8s6fTj4N/ISgUslDHcsPBQfsATGxoxANMn8rd6n606RbClYaSOvuD
amj+rf94aj8ddZ6kPt1hrSikVk95L0vxI9YkvCT/8BZ+g6/ztH46wpenNcnP2aRrXJe8w//PloBd
MgfIkQ3i4plIVFq1v7+T37CmWGhE5jJmeUWTjS8jUa7jYGxEsrSkB+nQA03uRXof+tqAixD5wzFb
6W66o8/qPmr7mgLlvvSiY+ZOu2IWZ43b/uUPb+53a88vp/TlJtRxXRmdRIAJ7IYjGzLbcO/YivgU
zC5Tf7zsj3REl5j/UQBRJGcq5KjF9ux9GG5Ood3+vzzqn+6R+WUx7MMplvqAE1J3ADBO5YQeSSk4
B1bX7P9bV1qE/C27cz/6T2zhbxa+zzdjLgY+P3NmOomjpgrZUpA/+tK3NFoDmKD8/in49rn7fIXy
r0chHlUtxIErFCAJx0u0Fjb2kA4KK8MT/fNyTzu2/MOj9+1K9/mg83D7NJy6XAjD6GJlyzvYBOX2
fPbr1fkxebzNnFe4v6QgH6oV3aOP31/s/Gu/juLPh/0yinGSE8VJ5FoVmseXCzYZ3cPvj/Dt9PT5
EF+qhMS8xPVZ5hDWjUmbcYvj5e58gPX8iNZl62iVzXKDJ+n/52G/jGU9GupLXXDY8mHwn9L1BTPC
FTKxXec9Q21lV4347E9v47yA/eZ2Wl8e0HaMoNgVvIs9MsnGSQ6G12yzQ7P8w8XNv+d3x/nyiMq1
khJzz0RVuyMKpznlrHPox3g4+Cx+f6zv1uxPb5/1ZWkrg5x8lnYeDXpAj3QvpquxXYbC6feH+UZ6
wNz7w4zb1PC8+DFAPg0Azaz0XFa1bNlJ2zgrvAJv/DI9lPE6FnDtEl8FMAKBZtPvj/vt0v35uF8m
2E7qldLqVUaATd97nsk8H3DaSTeSvXqfe3jShwy7nLC4P7yL39UoODsS1YnLuIZR2q9DPjdrq28r
jlyxUxDlTdA/WKR+0uoNEuUPl/ltQYs7D/lfWE+qov71yVSaUjESDnYuHgX5aI6pF9eK3YmVo5SC
YxlgWRpm+uRopnjs6edHDd+y399r6dvZ5tNJfJkKzKrrskumZJiaFHsfxmICJ8MrTuHifJd7CHC0
5A/X/e2K8emIX2aBgWDibGp1jgiFjMZVra5N0O7fX5dlfDseP+2NvzxELdN3dwlE3krAggSjFrWL
vUbYmxMdx5XcvLNL0aXxbuhZS/L0PhO1NWljQIMq7ip1HF7FXU+4cbCxDGBwGUKNTPw2mXZJ1fhF
RAhmM9T6h6EEtDC6rvMI43amDuNx3SIHleAuVYdbQZCXNZo465g3BjQvI2/cvEQpliW3SmbtA6H1
DLXSZafMu+4hMdtj1GEGZkbwSnpkUQrI6STDDINjgd0dzInz8zk5l36pKDBLssCrypL0R1Bw7aXK
zVVf1HurrRqAcHzbCeEgUMaJDBJYC/Uhbvpdx/VLoeIbfbGQ5RKYbDJO9RSXznjOzt5Qm4tpSN/1
qdxbnXk1xGcnzhCLiIB8kkqWbt94IpnASkUfkZDOTTPIbipOZMGGMxBbD3CpNUz5hEwxVCAt0K3h
YuBnVwtXNX7ZfJufXiLy03CNPuvj5lzRaT6r99o0vvSwPbLsSe7bRWjWS70w/EIK6NOqCHXHm7hc
FTpGGdMrcZseESiYOdMOF8OVFl6c2Dw15b1Qa3dyvpMMEOL4KqdURMxeBNxUda9fzl4qnDLQMbHD
XEK6a/pgMSrQB8RpHQJWC/SJdWUVjXBy9HtJztze2OlQlYb+1ewfL/UrHps49oquBMMuq7AB6N/z
80poIPrlvdfKhmdBuYzwfr4Q9X7WgQ3HNwsUUVRugv4J02C7Sm+UaSn0jwVftqJNnoCnTMnOUDzd
utamPRlZTtS+GefbFI5mvTHDW0Enmzp+iYvcDTHx1YGbzzqNXwLuL4RiEF/l6kCICmYZUefn9fNF
rPdFvAv6N2u66oRjHi3MygsHFUKHL182My0avp+wVbTHAEqWNtCiiBpAUMyE1Y2YgWclm2E4EQGS
S4mbWdg+j6+aMC2KrFtNFlwrrbWzmRz4EEi3I1Bx2bHbUSAtVLSF5X0UHIziuddKfJDoAJZXMRRA
7BN6XEghCfT1ZZWIsVeg49eChnCrVYX+gP6G05sPmn4yDLg/QuMYZDx1KBUnGLX9Pu0tF0cT+pa+
ZH7EJRnvs/17sG617QVOWA6371JsTdKaleElg2SoF/uKeF89uRl4REfiP9LsMYPbWqf0i4znwnqS
KAsA2waYLciToUH1NPpVa5GICXQC2uwJ3eQefF8HuzACHg5SioyBjo9f69BPIUYX7Agq5BHSutJW
fb5J1dpJtNcqwCFmOC9EC9aYjvWAWa7aBkaTKfid8BqUtRsI0qLKbgxoiGXwLuBnMJ2lpcy0oMlk
fuHlDZ0xhs7cYVFtklcrzqSfHjCCRnf0lF4+tC7hmgHomFJViDiNaEvoGGuUWxqqigT2eIYvIwQR
OXivpdxW+hIfbBzgKzcdX1LjrkZ2FjyoKjVFfQoNL+k2MCYjYMgMAD4QWQvMaJ0m97pQ3raReJBj
djYVHAM9tLvqaE3o0eUrhZipbGOk5qI0yJvWyPP50GGzxjVJ3gg9H9oMO+xjFBxNYreC5ym7vsCk
03r8JV+IeIK6atgqtr/F/A7j0iIwNxKcVSXItwsvbQ4x8Ma0E9pDCSWhIdZFVl8M4VkcDkiPnAD0
rgDpNBnLY1bflc1BnFoeyGrZd8qqBbQd+l1svQRSSs6AfmOVGw339zy9C8ty1WijW5rqwsS0Ikx1
vMER9cpb0XjqATEidWFMd8LlPYfoc1YLd1IXc2a8LFzJ1nJqd1pf2UpDITsE3hTfkAvoDCW1xGVX
RkTJXWA5J5Nb6StNYozCvNPCEVoUPHUGn8T/W/OqujxXiuSEwGIMdt5RCDIEkCjNeYf7McPSmS5v
afjQiy9SU2wN+CLnQ1WddLP2LtqNOKm+1cG6wN4YfCPOlhlvc0heRXGrN1CDTfhDsNTAzgvztomx
L4aJEUzwhrPeabinQ/I01PeTJLiXYY6GfmhAO7K6heF73XUAfvXzpF88Ncd607oz+3u1ZpcZj35s
YKmf3RNSRGDx4IeB4ikAmG1+pXarZqzdqMUFYriJE7jcUADLrVFD6jrfhooGghfYEU9xcsn8Ptqm
0GhItSKtDvWN/lLqriRtyQxxqlJBR9HC/5XsMOHewCMW9GPUT5san7tLHa8lstPMLvRyAWweKhC/
Im2umV9p2ZBARWAGFCQxDzdVSeSvCYTbkiPR1Ewgt4n5fI7eI5w+IaIIxk0VbVUBDyrMxBjb4pw8
oIZuj4tF1gP0GnY4kuvuydyioL4RrH0ToBImF/CCNcGl8KMaYlYGl2+ATwRwjakpuDwTjcaedXpv
eM7E+ilFV1qXdhui6AOJgfxVx8ts2MaIUVgo4isB2tJA8KHB4yJAkpv8uIHkil8SpHrz1QBWnZ50
7lvTW1AHFD/ARrcjxuX8bk2dE0UwfbJHQ1jFWu0M2o06bnTSuPGdsjaRsB3DdQzTWmRp7RPW7CcJ
2WkGE06Eg9Xfde0qTa4uMgK+lajd84xU+cLqrgc6adqrYmx7oOnpQiJI/izhhGWuxmydG4vMHB0d
OIhtbDeR6HgraKdQabxGZVG+PsMisKpbESZTjcpmiJ8m+UMZTinC30bclyHeefUddrq2ApWlJa8D
bWpHHPmtClqfYE5+JqtulbZvxXmtyqTX7BKJvPRrsX3URj80b2PFbdXlRfcLfVmld2Z1i3+u2NkT
iopyOyHqzV8mFatsPH4uka1wk/uOLL/qNLVeN9wYGIVHyjvzeE12ChcrL+r5/dGIH1xpOBXqS9Qd
hVjasxQiWPNQa82xN28VpnvzIwFmxPwyhdVPvZEBzd6ZEAos7HuhmOvLBpZrfVvm2xgJ3XPTP44g
mBNembNrd/M6DCIJGOSK2T36Ycio0qJDXUN+/aV4jbu7CH53RDRLre4znJOl4CPUqQWJGtFgZ5Ce
FZH4etudnxLWPmIT0+j2nO2A2AZje45PxfScGy8qWHws7qSWGEq0GOU20P3RusmA7fR7KD/qmQR1
WAqvaXlsTHdq6Q7At01PXXejCMuJaU0NHyZhU8uHOjkivjFJNOgvJG8uYpEQtAX6kRH5ZnGbZHCa
di03OophbqV3keFrhCyJtWuEu1TZVw361njXIwjvYbEpLUkugeAQKIgB8k6Uj2fYZJhBp1ZlN4jM
5zCHo5KtJSDd8TXFM7k1Xy793QRvISZKLz0S7jOMBu/3Y8QXxGSjAmxPOS5rFHSXOzXYxfVDWagU
pSrDjGYdVUKwKyWPmVurV63uNCqkodpaJjzl9aK4dM4gbVLoSTG8aAzw4TZet/G6b25kZZfOqoT6
TdVv85IxLvij8ihCbS0PhKYaKOJb044hOqvOlF6lF1aOfh9HkEZhHVMgGb5F7VJHD1K8IWmjKO4q
yrn6YyL3XY1WWfeYWcygrAhhuhVF/yI8nlvFSUpIXC2bBcyilVOX3LcW3JqHbjy7BgMz1Fal5DIO
zcZP+k2Sbs/tTq8WoWVX8QaMlSSiEhqmELKBeayK6+y8xsi9gVVcYI/12rT2JVmk1msJg63uFknx
iAzH0Pyi3TT1ze+3bt/uwXVNE3Vd1VXM03/dg9N0MOpzRcRMo8quQW2n4WoY1LU3UVIqyf84Af0n
4r2I8kQsz1VRm7FZsh/odf0mowJwlE7wJ7z3u5//ifdKfwF2sX0D7/k1oJisNkueG++GOFvDWzQQ
fqK9+l+qTOMCsaCpiOIPIPgn2qv/Jct4U4KHavQ2MJv6F17yX1keX0/7K6iZFhrponk0LSTEZEJM
FkFaQA+i3rLURRISdDTGImRsAZM/q9XtOJC3FqbjVWfOmYe7SO6ob5hiTUt4qi6dMC0vXQOGKOJ8
lEoMJkWZIj/XpJCuFrtcRMltryR+NeJ3QW5CgiymVC9wDlM8VUwPV+XWbyaC0CK8NIuxlhSvzHTE
dV0or4q2Uu6qKhOgR+Jcz2om6ncYqO9HxTUDw77I+UJL3+m4PfZRTlCMUO+6BI/v7HIzDih+i5SY
J8stLPHyLKWthcxaPPem3ZgUUHL4IFXaOgyD3P/xePyHjgQICCLsA5WgA4ng7N+OBEXU6EL9OhL+
8fM/R4JIIjcbTHV+smWID3RXfzIfeMnSZkdvka6oqX0eCxrphJIGzkgkBqixxaz2cyzwksyINRlE
UDVmKsW/GAzKV4Euo+GXU/9hCvupKysMeVrFWX4hhSiNVxRboXitnxfyTj0zVa5Yfmy0EpA776LQ
q311x4t8S5N+nIEr0KwIGz5l8NyQIjSze5/RRquTjU6JCpU/09v0RqULbYK/g2c29GgdKUjlHQpr
6Qb94a58bdfBgEanImbL4X9YombQ3GDMhh9q5dfD/mLR1oOsZrPjYZk5u2f8J1BOooS5mYM6ocQu
NXOXiVwHv0OdHiH6jO1dc6+4/XHchzBSLVjF8Xp8KkT+0gdbirbTKkb+TsSifzF3JYFZ2TIdV3q0
wvWez1LN7pR556rRnrm1THv+FyGU6E70nNAMvrKeU50vSmLi0Nxo2/Nrey2cD+xY+CXmu9wfxrM3
x54hCie9DWYi3F5yGuvHgT6Oz1/t9biHYa14MnaJ1+KuP/LN1bo0FoJpJw98wh/aATW6TMMJR+fc
bRJr3R1k7vANL6Rn19KW4i6YFnOg43My+NOqYStPnDdw+LFFzBiRenM7vBH9mDwYnL1xqNgAyWRD
+MMNSWUGar8425ytNTXwj4MGdxy+rvi99aOp+Hxi+fVje23BK63WYtqv6jL2zIuMXnjVQmRjv9Is
xomd1PhWMe/UCH7aBMqXgZYXqspN+qqdhOmWcvgaqvvFyb1ukUMPJGUtzg79QYZkLrIrWuqd7kla
Bql4h+fXIb0Rn5Aj4+BI8zReNzSuSaKbG13TgsgrxY6SdehAN3dVTz1xqdwp1UOmzVscU6vxsQrt
42p1DO2rK90lhnGduaThkZ5J2oRIQ5yTDtj37woPiafZ3qTFdUrKoU7zWkTLgFXLwKm0+qrKb03b
YEc43ZIEPDjD2YvsNU5gfuifUIxU7qWDyzjEJH4jY12PATKLhYwDHQSdebDAGjxB/C9cBQfEgMwN
LLxVAgy3yin3/qMnYKJjDThGzIfEWzFL/qYUYRb9Rykiff35vydg6WvF8WkChuylaorJBC1z5L+L
EY3QG8oRc6bt/ChiPk/AhsZJiiIBEIpKlfNvJmAWg1+RvnkC/nTqmvEFMhFarS/LCwlumX13B1HG
ZXoDpqI5OnWLYH3ovVo4GeGmvMpj+kPOoTqqDuLO3lM/ZE/K/IIOpEmHFQEXXTH4PrMGDwbOjfVs
vjMM+spnSkg38xwV3DHEkQ20nctcVK27KyjvzDIMlaS3u8OI31JEf/1Nf1f50oO2JSfbQ+s23sGJ
tuFOLxFs2IoLO4DBli11h5mBeYnphOmR6YzxF3b3xStU6zj06NZM+1fSCWu2/vRVN/Mu5to4Tfvh
KO2JLp3NmUqv9oIlhrDv4Xa8Go5weray4oF9XCqOTXSUzZ69eCD4Hf9rbBf5zFatdeU2vnWSK1fk
IvzzBtZ4sCxep3F33ijqRprsKwxk5Ft+kYlmj4kBnXjlTuiXmK0GWH1kYOW08tBDOMrZQ868LV4B
EQrXACBbYmp1Mt4RcfY3/QHVAbqkRWLcNKguPHMjyiSkJiwrOs19h894nZdqcc2n0o7duMSkV/gA
L8MC9IKRr/iAATWC2oqNK1tT5hYWQiPwSaMtMASHV8sbNTqdsSCSSxiuwnt5L2wUVFPdfaS99LRT
drRbX+P72QxfNG9H0w+UFf2jfAXFmC263Tcbwl5HyVs2Lwi7jJjOxrtxRU9Vk3zL1R7PizNG3YFT
tFdTsj/T7fFRuCG9/Q+efSQqLAotjezqOSiaeeB3s48us2v5pfz758//nH3kvxjg5LYYoq6phHax
x/o5+/CSqisqc8//jdz6uRUy/2JOMEyTXAjCIZTZyfNn+UekNV+RLJK64IWKkDH+RflHEszX2YdT
N5kgDYlfa8HP+3V73MTtYClTESwQXLkMowS9pq3fWrT2Z+Upf+ibahmWJ5HbLUNMUY/85x70psDh
gD4wnK3bCfYU/esD6+ISbOcgLdl2vAuwsmluJfRcMRDwsarZkffMR3yd+LeID905VBdP3110GDZH
6FcbOOJYcnX34KqPHYGjFHaCk77THFpK+Uqnk7jAieFEgfgiHLt7+jrBY3YKkP52XnSTnfD0yt6z
U3jd4THHfCY5ZNcryPsu2gLJjxkuLdMXSiCGJ0FZ0tRcUNlABcjOZFjhREKRRrXzXD7m4Sux2HQI
dITaSMYRbdNyR5+cIyZzpZ5muSc2gGW2YC2b6JYEC3VN2Kp51J9fiMGWcsRe4WF4mxuxF6z8lZjq
hBmJCNkjJvEEpcJHCG4t40Mtnoqz7MROcqe7yYtxah/V1fvxJXcvB/396Qm9j0ffdda2+hge+viT
Y4dd3qjpXsOUQEOZgMuAYTMN9rv8FetU5o4LeIc31zMzPgoC9tQw0d6Ua1zllpjVurTMkPjUC3H5
42MjrIRHISHhE/niedfeB0cQblzMiMxlKXIH1AGlvdT3GhSUq+7iqvUGlqw6updVAUEsc/OXfKPK
G/FDpLP0rPnqHdVmhnO1y32s1Zf4vNJxHufmof45Aw4K7rQ0r8CcAzYZZGLpL9k7nTxZtcn+uNaW
yrJYF+vZ5cPalC67h9rtfMw5PDSKZBab2CtIj43hCqGLIJAGI5oWNhU9esF2jg/bdLwxXrtILF+/
Ehz9KjsZdHwXJiDrXvLL1ZxD6MrOjonbVvxwqWHIT8CFzIdCpLHi6iTZ6M/zv9pWc6cb2oPBs2js
S2sdoujJB587mybrnvpaeqsSdF7uJXTxGsYjpHTUnbDJNmx39BO7IAAXA/uHzNZ8VoHOFgBt93nn
CA+E1HLo/rzkS0CLSEXr22o/YDS14ft4yRD3fI+AWjt3TThcK0vm/DBnfSyvLrc+3pnVERCXpX9o
XFb/3kLwtOkn0FjsrGK0jbcs7AkbC96KeFxqW3YnCvHkUb82om3JWbNSkR1uPlMTxKh+kjVR7OwK
eLd4lokuhyqje5TV9WMDykMwyEAD5IbgeXFXFtd8LSeXfUXwPP92V8lAAD3JRGS4s/cI7rIl4wQ0
whTHq0nrAZWICi5wG0UnnAUszqDPRYoizdzq26DGKcChfY8iUw1Q8r4P13WNEoSWuB31Pg3SZlyU
oEA8aLh0erM91zXYioRYECddTKkJcDtmYDRy9IYvgkFnBmhyo8ZuMAEVboXQb9ulGZ5CNqw47OR4
AE4eHjLRMt93LwUKMtr7BDWkXno9LbMFjegzxpnEEUSELz1pHtYLTE6JX/rjU7vodyGUkAdlejrf
VSDBkJhUHwGx/voYvJrhgmiOff86ztQFJ1gJ3lixl8qucvwzRC8UF0wG7Rz2ngr2cCS6WRK9IPY6
W2FrzK7yCNiRbzRoBjb/4ztrOtmFhyDmPXa17hBRUlR+y7y7FDoX3UyKJjl3xKt8Y5xwGXYRDW9q
BDTaNTlHeNIAoSDVwf2QxGVEA5t6XcIF10X7hnT19IADR3pgjL7jxIB6cF24CfkeIAN14VxMp55A
fh1C37G9vr6kO4PNLejvNXyUwJNf8eyY1vjcbYUTukV8DZANLSYnf1aVZc7qcQW6fJM8lSFir8uO
Ig3JEAWW6A7NqfDlxE+J5T4vMHSI6RIvRDxGGwq3gU68XeNqXy4GsFsTnthefSlRZBtryfTqnST7
8FJgky3EDZmlcnNDauNok09zDRyEPVgjjTyz/rhE4tPmhBwv5HucY17Ka+W9vVkPi6JdSpc3UsNk
2aEHCGLXXVvvAjWjkrvQAXLfeq/X8ybUXFITmkva3XwrOmPxVXwNbs53ekA6n70tthHMew+dP+re
cl34ponHwKJeG++UlSH8m92ZsrFep4PP/rDw6ZMn9fFCFS3Tc6jHnXV+q9h+QowY+Mi9mVZhT09E
czg9poJbgIW5+cep9Ida2bW4PFiK311r8bIWnRJ4Hult9qj7ZBQuh9iJoXZ41oLsLUysFKc8dva+
Pp4x7TidUK9COu0zP6geR+MorIlDrB41ol2Ra1lLSffj3uZMRfazki0Trq2Tn2i3xloOXJk2Q3o4
o1t+UdLFWC5T2hjGgW9nOx2zG+ASkvQDseIsfpaP3FSNxVvdTDt2/+pGOZ2zDWc9vbXyYYaNS2Eh
qgE2UtbCSnld9Mt4nthvgRXH7lUSK0KrrdizuORLEb011iYf0ew24kIeXjTd67Dm+I8tZInoEyUa
jaStGhq50xptw98UsmRHs8/+VMh+9/N/F7KUoQS60svUJePHXvnvQlaFxm9YCj3UHz3Ov7fR1l8o
mESJ0EJs9FRTpLz8Wcj+CIgVdQpvKMjs/P9d7LT4DTH386XPYMZnenVpRmYtNhPYqHxlFfkt6aJ+
m7Owl8Gq60hRPucfpRRQdk4nlcLRvJR+Klr1WkMHWSuwQkHcOwDt0dAXvZxs46RZj4LyKtIEqyP4
NZZ8lwTnZRIgU1crE8sCfkrsiEyWUvnpoqzMjBbjNMXdMjU7vzCMbq/JsbjV4wF9tZG+KcE1/THR
VZtynefKVcioqAaTBVxI1s0AXUOMSZTpxdspkJ9aMl5tQRLYHhbidXkOVlKQfoya2Kx1K85Rh6cU
PI1MkmejxW6aZHfqhHTbMqN9ZsYfajc3s8r8RS4fxPatFd+j9i5NUGiWsK8aQ7rKKu2UJNLy3LcD
JKRuMWjl6nIRNmpJ8TzI6yJpw1UfKKAZKYJW7p8bmzjcRZddrZT+JIJehIaCvwguGrKFE2UjTYs8
6ttDY0q925n4OCWZZ+IpFpcNvMcUE8hIXwV55ZpFLbgQ/uFUXIjrsFrajG0BCt6jYW+xvDYb/b/l
Sf+JmARjUZ47TCa5nowOtIl/GMs6g/3XsfyPn/97LEsmkj6ebBHGsDZLUj6NZVpiiOLmHPlf8TkG
rAzyIUqapiuz0PPzWJ5TQUH0yICWLEuW/82mVJm301/I77+c+lfMNpsmHtNBiJdSq60upvlU9nSz
xwjmQtuK6iaepJLy1rxXLrsI+ld2GPDAuIzWRof1Z0WPitavsiBZTxmtLgV/WRHf8Iu0MOV0r6RU
UlFYHMNw8Caa6JaO7gO/QrPeaxioaDBX2yaSedovtHUC6l6RCEC6XHLtGBOqe+yomsszMCZ8GdWv
2JbmWbgM09P8pVasQ8fS8STTzz6NP/Y7uEsIdxE/JSsGBhmRG1P1qFhLyMpbX7115q2ePw4KOUgc
JSmCa7Wrd7XYEWvzJIxvio6zQwNsSL4brpJaLi//i7vzWo7cyNLwE2EC3twWgPKGRU/eIGjhvcfT
74ee1TSb4pIxO3cTkkJSF1kJJBKZx/xGN5FdQDivE6mghdparh4UgGioiwNRHbaaHq7HPLQFCe9j
Cy0uabhW9Wzt5Yi0MY4c3LO3OBZheVBdyXW51NTDEAeuXCLyQXCSxGcvhlI3AV6r06MRaM4IHlVO
S3eskG/NjAfKHnaoktWloRsQSSvUw5OgXAqqD3lnXyhXImAj2WydbiqddohPlpEf8xpHOrMCqS1S
LNDjZpFJmi2ELYo6FSQYwzEBVi+GpLzVe+JL6zpCb8ZEuGxKzjmxGOg4J7R8duQI26MeXcTI8lJ0
pdNdXHdICPU6wKasR31DFG9VqVBcTTUcvQdq2Q7qOjcJ2AqLYHTAbCrshrtKHGhYDUOxrOmsAkaJ
+nWgKs1ax4FeD7NlpyokUmoQr81pq+NVPwVvZYdIB9YoI93jAhGSET3qlDYBrQtSOTR8RiQdutDJ
9ebQm4ixhZe1pyAZSntL0RdCcVUMwpOl9m4CNqcSMW4mOi5MaK9Er2rbPKZ1e9R9QL8zqH/Rycaj
RF5fDdJGmPSlJQ4XcQdOq1BvLXZwpYnBg/ogvsRkH6Nfrs1qSdiTWU3oxujMKCqiDIaMfVTxNgip
HQWUeQrBUYJ+3aTVe9mj4ZmFV402HpqIZEBU2+5i0hHPk6oHKeyx0MDxHP2oJFb2dSTKC7lBNT4m
/Jc7j+dS4d0AiaSqprugwtwmQVUPxOwkFMJi9M1kESTl1jKi2zpBfx9lq26almZDj0UN43WmhU+D
4fM4W+sKeZ6umhZBirpZJyTXJcWmOkDji1JMi91CJlIQ0LdZSCo0xeomFhAHsrByzaH7l7WtoFbm
5bWyNsb83RCih2loUP9riscySUXHjIqVEJMuZAU0Sk9AQ12J0mXXkZl74U4hH/XiYK1UKMQgQ2ul
z2FP6zESVrHcCI5g5lTbETAxNWzka8er6qXs4+mY627B26anR0GldoyoT4f+xzQSW4vtZqy58rTd
VLG2j9R2nQPIGQNslIwny0cRxBK2idrQBRw2GmlA7TectSnIHCtA9KZi21BqfRYuQ1JGNAE7m8H5
vznSlSwVvL8Gn1riBPkeu0KplB/483T82+//Ph1V1A9M9J6VX/31Dx17GfQKhVyTzryiaNZsA/ZX
ydb6hyEbIjICMMrNGb7y8XSkq2Uo1GqVX32mf8+G+wu63R+XrnN9HyPdtJW8cQSTvlaM55EDIEBq
RUzeBroJInGbDJA8QrulA7jZGGczMq4raWBV+29WUt20ib6UGvBgun4Nl4WKkJbaRtPsLGVTyoZn
J34JCiuud6nBfqvJ1kFuwbublbQMZgRdVqe3jUDP1cqoNJlDi3VMKYKqk+maG5k7ITTTjNNFJR+z
UtkZE+KA+oVZEOvmLUC7ZrBoe7SluQ+C6LpIJNXO+PGxkSzXKO/MxH+vxYRrSp6F1nD8KtxFpd5s
40yZdqNodpdyiVyogQD0VIFK98FJ0jCUX6tIy9whyc6cxoeGynYEwURpXU3wL/tMcGSTENYrROGk
6wjHtbOZveXBQxvj0yB21E09VVmFRY7esmHVSz9K+3PAXSdptu5MulBljSJUk/ecLXC4SiEUl13T
PPddvhS1FsSrdCSad8o4PxFjQ56VauNmQCNNU2Rjb7QRlnZNQtQhBdfgz9f9ZFxiHfeYG9QYO2od
hXSbGpR9JyRhKrgYfdG5NeqIgmDt/RxV6f/aF/5Xm1QiT+TdmhErKpnkN6kt7MLPPRrarJ9+/68X
XvwHLzM+3Bbvva7pcw/kr3CYj0zIe786Lf/85K/3nQYxXPz5amjGzJvB7/edj1As4ReRJZnlTv6d
YJgm0Z/B8J83TsD+KbHV095Mh8SkgPRCd8/28GpaydhMSJtIWPRnmoYGRlPCWrlSTj32PBGGwf5R
XakYutEltm/p87oW7mqUOtF+QEVzZfDveleu810AXKY/Q4NG8peqPl/sH41F60bX5qrHsWNTybjk
TPKi2z+KtmgL9KafS8RzESJ3YJbsDPJke7rqQZqupY1B/4XSlrqTS6yc6m1rXL3OyLgbZeE4bE0H
BfRHfhaCfQAHNLoCytPCcAMLch9ivofXg4Tcu6Jv+nMsrrhRvpBvQXO55h+sY8HeyDZfwii4L0Tl
vW4cvewFsFDxqx9xGEjW6QjEaMYVL4HkoC7KN4f9o3njv/PJhMWQahwVpJzHFU5PN3xfu2US6Zjw
s9IVXy7sGv8GYI2ForHq0g6n8j0eqcvPmB3+F+csl44RtXOQOdUDXSIK6/QJFFJb5NbMt/Fx2iQv
IG3W0AnW0wZkDp0g44rv+WUO4e0lKolvmrhXhgvq74ifPkyNPR6pzjfb4arQFtYTTfPadzwAR48R
Ki+do2FaLT1OKOoh1aU9+76bv9Adp7WtHNJ72CCPfAC9ZpbjJnfKKODR2uY7dOD0iO1Tgp/r6uMJ
TXoQKIiLQXoYbfrg0XDqL8xZTikJN6rDcP4eEb/7WSc4LTfiJghA/BOmr3FrxWEPSE+DyQ5V7gvx
ig/mb7n0jBMXW1tbEMUggfhj64nOer/IX5RyaaVHLg2JxWJcM67msjFeGjf8lOby/1x5kbBDcyPi
hq/rjRU9/BpFwuFS95b1Q2iLV9xxht8fesYBLXJ7OjISVX0Z5yf6NVCp3Pohm93ahVu+ry0AQXC/
fJDeC7f8LMfZcMnHtOG4EC6Wv/njDqAP8eKvQfoLVH72/Dl/wjXOtwWAIL3P1gouacmOWqqNwNWJ
L2fep84Z8Q7neouthnazDIi/vql9lOa0gFrowsDDJHmge3ZOOameWOssXDm4G8HXAZcrq0tWdPGC
69WZJVymr/IjySyAAKBtvBXSVeHIiQsQIOSOV5i9ajGhs91fUeu96c6ZO4tPr9rlZD/YtnkHOGKJ
1rvKjc8z7SaLl365eMLCb3F3B8lj0S1SG8tcmrXIXCAROCdUjoqWu/4qPgDSki79Pef1fTKnRgv5
3nuBnWa9K3a/gYuxK/AN0u+QET3pd8NNeaJjtkgdCJ0E8bGxuolKqICL6CxcWBfJITrQTrzJ3jC4
Xo2ICZdXEtdcbcuL7LLfP2Dk7PSnAv9EpNjt2a2kXdwaTrDicC930UrYm5gSK5tZUi5ft/+9VV0q
LspccMXmFEwoqIDvY11Vno+QD7HuV7//19E3wxM0aPmIoQBGoGr8++jjI+JZ/FWJc+c//+vgM/4B
/hUAFvgn05S5qt8Hn/EPTjtCZ77IUOG9/1vIKOkXY/2DBsJ83boJcgL3lfnL5hj/Y6DbaYFqViZg
GBnXasHtMZ3d1+naIAwEfnQT7yYH/U6UesktOaEsDrsaBXA769bWddA4VeTCZ24eFBqXkjN6rua7
ReBAK7IAK76r8Yp3NnnmVZe0RWQ4GpTNnlckgkC6AHitXHblMxJ55jtVYPkkq7sgclV0WQZCwWmT
Z689B1eSAFNypCv5IKx3u8cDOinb8Uipk1OiRtIKtp6rcma5p811Yi7LBrkgv6AFoq6C9r2jy54p
j2j7o22prjV/2W8kN3cqu1ymiivdVOdkW1/lp+wcyzakPrCLy8ClVIM+arGa/4s+HTzc/KpZ0UBz
JLfdPCHqy1831Yxk8u18qa+lt6YkAnWaA3Y5j5Nr0JbUbHk93pWniXp2hj+m7CiusB3mbpfsvIpw
U36g0RNxfQ5m/lzKn7UmjLqx9FH0ZgMf3BQNyhJrbdyZK0uxfe9Y8BTRVk4d4Q4sW1WCtXDF2ySz
1diprvAKKqmRlCih1dQDaPOS8R9RDTaIBFLbu4WWLSHZg1mpuoh9eKoLCh1Uk1gfFp6Go03NKyQk
Cm2pcKPnqZk7sopIb34JHyZ9G4naYaw49lyGqhy0MOl0Fhwfcxd6Gt0YoRgEjrHCIQMoZv3EUXP4
D2hVyTh3qNGvyAFe+PsifhmTc6WbNDdXJSqYBnrxjnSjqrM4MKxShLhG6Im09nTyDKjNdsiGHa8g
mgqvOlq83UVBIZ2d3DZgFKPvdIbc9iEkvvjni/RR3E2SPxupft4ZfqGDPoC/+6nv6qkT9BUS7zjU
BBtVwvkhQEcVVO0DTK6mtYvWrt9JZtJH/cIAQI3EAi6Fi3CDf9d0ifQ5jXfiHulOw8Iru1LP8dqK
7Bm5o61q3Z525ZuVO8n4akK2yrNnD/XRWNnpe+V57uIDpDilb+iv4e/n4qGyqcC94IGz6d8MsC7T
Es67h1tBhgg/Lr/Ic2MnAHjB3Ja33uOw1A8Th0h41zeIESPRhOENimM2PUn6xt38vpi7alj3xmlQ
MSSZnAmV2lKwi96VvYcsdixuV/C3+XP0Zu2ll/FWWZbHEoijhqkFN+pvcQMQdp6A2GfZOtFV/ibi
10KSyHK7Gy8SyGLaU+Q/lnB/g5VA86KG9HGLbt/Kf+rus2tjh2buheFS69kMZ+myeAgewmMe2GS6
2/Co7EEcQTiz25fmOYLPpdtddpiwDN5G9/WRQvVOWWKS9KBptkh+3jhlv1euQezpj/U7Qf4ZfENq
U9Um6ydLBcA1N48rW5Jc2V8Hp3gr7aRddoLJftLQrIltXJvwLhHVKyVccg/FXnGe+0NzMWIyYOJc
Dq7UUfB5uRCOwal7Dob3qRkoiF9m7S4RrnliOJ9q6+i+wBiktoU3C6QIGfGwEG+i++oELOQk3hL2
1mfsKFaF629iAo9nAwl/8zBuq734Dhl1Zz5YgEkp5b9D+zOvZd4r9gRqqo1xEAwC/2dkeoktzsba
eu6BqGh3yi4+l4f0sX5j6Uy7DIdyGAWn/qamWgdQfj3hyuPq1ZJdIX2ft/7oRiWejmmzOwmgWryk
r7n4S29t3CTvA3S4RTe61iPYjrBxWd6ZN6NCTUrSmMw/m5gqcEESAsV1sNXBr0beNTIY9ao9tNYe
5FYmImtrKLZe3ghvSKM/V+mhbp0NW83YH+J1dR2gzQ64JLBV6IbyrpnChTysArUGDDorMNexWyi3
GlLHwfXoCqB/IcuuYvT38a1ZzOKqcLe1eFtbAh6CgHzQKruUXYFgfqVr+WF8a2/AxVA1lGE1PMvX
BiLYyRMEabldpUBABp6+GrvIBe+L62RjXLW/zPRmfBiU4CMuXLV8zUlqvrcHqXRruo3XQoYY2r49
o9UhBwnGm/6x0NbqxruW7iKBFr2bUPHt3DJ6Yb8ND2RzS+q0hnaaNsZzCIgKA4HHYsbBvbPJDs8g
yxZcFO2SN/bhLbxJ1I1ZCriQm2cP14L78nZyUBsmsEbxV+y5bR37QiXbse9PqBlTPF8mWP9GBLOD
PQ7XyDgQI2r5EuokWDByDFpCi/rmUtpFCKh5aCd7jxomk+JzXjjiuihRV1MW/mV77q5YLe28j4zv
RA8ySgGx7FIRcoBGP5W35W3dosHQA47d9sKjhKkFrqJ7Oseh+4zLg5shdLUPg6Ui3prRevLd8Cm4
8HctRsRmCst9573iOABz3A9DF89bLACQcmJMlDqrm7zA70F1yORGPHIhrt+T15rTTox3EecKPhy4
duYrVp15MlZYkpJikdP3CwUlHXmdnYfVlrR3hVgzHsfGGoPrynQNCuZl6ZIi7oygdEBkBrGr3uqH
PFGc8k6Y7YsRjUDBjQhGczJzYUa7Co4bMM6bbse2C7Isd0G2rYA2o3HYLJVTfquvRjzYNx1X0+Zu
V2yx5aL9K3bHgn1kx6J2BPtZdA3koBfpMUb0V22dpF+q43YCielXNjgq2xr2I4/KdCPBLuUl+WvJ
VnktNAtcgwzJ6ZkNnD45v8lEXmWk+VjOoe6ApZSekU9CUsAa92l8rMwlZ7FgS88KTrVsEF48A76D
0R19MjJoKSt4HaSnvNqKnV/Sf9kC/vOCq7K+8RFsxK9q47uxaywjmkwYbW+xeVVWbfiMBBa+xMBk
wOmAbkk3/opsXDkoWBwg6m3l64Cu/l2NonfpFiRCmMy6+iFqnfSUZc5wAJUk3WImko4gYl/V25IT
BFE0YKy+nR60gxLeIWwA8RACPZk7KAIiPySu6f1TN91oSw0MaXAeNrK5m677kgKqE4DAwf6aFvuR
VpSJ8XR3zLx9bwHjIpYAJ4464wXLN7+KbBHYVLAdbvrnuTCjS5jMAL084RkBWgxfpiu2zDdv46Fq
HVzhNbwxNxNotmFtkhL2S3EZX6MRMuNws1/nAMZcR4MjMduglXP0d+na3zUXOaC4HrLA+BSuw135
qK093Y7d2T8M9QnAw3dkxbEF+p9kHZHnS/BAW5kIA9voeq1tgDbARwaY2t0/hmugtP6aoMFJ0Qqf
sItWOyZo6W11W7Xr81xwIbvGHQCHUDARd+xq23TbH6orPHgCxR1e2YS2KUyqAeO64jQL+4skutvg
yjrOjaF34dTeosOypsv3Nt35EBCsR+8UEd3VrCoEHks7mhbg20D/Nbj+vBPdIEWma5cV7u2TDarM
JjZf4JrnKgtEelzqXLiq4rgNoQjyA9BSFGtnoyN0XOz8QnFnCFjuwOJEi67egU9bJ+TnybE5GuS5
OCvdjy8dKmTlNkb69rY/To6ylO3ZjhluBX95W38tLSewqaAysAm9LCdbim7kATYdebYPzBVVhNFJ
wG5jHJ++i0TR3f86UCSZI8SbwF+C7ir8pYyr+OwVtYpfzLUNQ2Ema09vAftuElyr1YOo2hKqNChw
KgsVS+OnWF7UimM9TBftVb1B5AB41nTLbNWv7VV4Xz2KsuPWr/VF96g+Y2mLFER8goS+H84lM3Sp
b6RninbVaXgeD+NBv8BZifrHJvOXXr2xRPVFkVZVekWZBvV6edtkO8+8qYrj07hH+eW2pCNnOHl/
F2uXarKkTWrKMzTUCt4EfxNKi/zkKy7mL6/JtACQ1x0AjLL4b0wiL7wGRpWgDPqJREwj4W6krLUH
+BERuxPiFMFDJi9hzyp0rkn2YL8REqrEHuB2wG9eeJYjpwCcLxvhVfV2IZYx5nUiIM/QnRNatMUo
YwiC5aV6CnRbJH7V4L9fVxTysRRht8fYmAzPN/tV1DVLT9UJvR7pKGpmu4vv/X7bXmTprk1n3fz2
WkFOSQV/eW2gywBMUY/PPkdNFh/x+aTfWELDRwpA6DcjqPhx28g7WbxEeEaLL/JpHxOdJT58wDB0
MhUcJNCEGsMyJwRYiRkkUkitM83+NRKnMMXRR7nZ9dEkoZCC7NU4n8WjI/PvKqZvPKb/vdUWcDdQ
uxACh31BseUnVrxMC+CPastXv/+72mLJ9BkkCGcz33duH/7VaEAFHYiPKeqiIsqGotK9+KvgAoYO
WhwGsQihz0WaPzqLMtA6i+uFTy/Sefx3Wg3S11IJpmVBheFaPmeDYjqUcddSW9FT18cMZFMvTgPM
2LW/mhVxBxd1nJiQhrzqJvrnCvk/lcZlykafMD+UoZjtvwan4vSx2FPIgz9E8EbXnAz+hH/RQu0d
c4W/DTr/8d5FpYgcm+BpgzHaisLkclycPSqH3yfFf4ce/XkZn9h4llyoeqVyGRE2hOw5wE9/GEGa
y1YfylozyPLDnfJY/7zTpAsi32iY5tpt9sqytjeeQ0SjOvunwMVUam1tcNVbCnCvf7i3T1TDv408
t5o+pPsiCM9eMBkZe0Oi/C0GI6ZNJ2WJe3CzCcjVn60XSAe9a55LYkLEkBuCyWDdokV3Qc0CMI8d
FK60Alu95JgUlxXuHjwXzsTvr3V+3H+bJHiWkJ8gZurafCsfL9UaU9EbOoKNpLioQ28jNzjWh8nl
98N8ueQ/DPPpWQQ08XQj7tO1iD8d5Ad8j1o63CCdfrgfXtJv7+fT8g7UQfeGukFbItmkJJm6tEur
s9DuVH2tKz/pVUpfvk0f7uvTMm6KpmuCiftK5P1jDk8Lr0h9DV95NmrEQl13v5/H+fu+eVy/SK4f
HtfQjeHUNIxXtzg6k1JL5l0L96UT3r4f6IcHpn+6MYS2oj5U2nTtFTUEHjIfMY93WRUfuyS7CpJh
8/14X76svydyBll+XIfgaMchVFmHIRJEbXZZE4gZCCL00iGncJcjd+YDvv1+0C8XP9YWeF+AAEU7
4s9BRyGw8mmg1B0p0l0jjS8D2jxF5a/+s2HmvfDDQwvLaBKCaq6oK6+StjeC3m5/ksCV5j3lbyuD
Q0rkZgw6959e5L7Sc8BRBbLXOdl9tgxghWAG6tBJXfwwbV/t3ZzeCP2YdOSBqH66H10sMk1kKD32
Fs0cEgXCD1vol8fUxzHm9/zDnIHWznxfLWf959aFAOLOouhUQOsbDKFtY+XbNMUcyb5rnWJxgxme
igjMDy/blyfIx4v41BgZfWGo8pAbJaFHznFZ14tfKemwm5lM1RYp2iW2VCv1hXYpXfd/f9n8Hl39
/ESLVtGUvGL0hDR5UpSFWa8F9Sdd3692lI+jzOvqw0SbQM+jXs7SdStTiatrVwtapxz8Y4yE1fc3
9NNQn163VpiKWqeyt0bIhdzF2/adf+gzyZVwpf5+qO+XqCrOb/6HuzKSuNKEjuVTBc8R3traTw4g
X50zH6ft0zswCkMQKH6FHDKkdSijyo2U7tABa5O97P1wpsmfujm/4omPg33aHLGUmjKpmO9mqZ3A
atW3o0txAjcFsv1Dtg73mCPmi+iy32h2d6y2wg9v/Fcb5ccL+Pw2ekGpSd785ADH9LwFzcsUXXz/
yGY0/N92sA+D/NK8/vDMJL0uEqFnkF1ynR5Hm2ApwWIPMfHxPTzqZ2+V36jUVoOT/pqTE5+1Cwz5
9uOVugwRHtx07zTRf1iyP6yjXw4HH67JqoJQHeZr6hMFJcDLKEx/2GR+erjSp5XUiaIXpPNrLh98
nqe6yU7RaUCfslmNm+h8PnTghYDMyOgXXrS7YBsuf5j4r99LjTPD1CFBzKJLH18W3R/EqBBS6KPO
AXK4dQy3wanCCUO9xaN0Xdx5m+wK58HVA7AjByvzp5Ba+brfawdvqS91KiDtAjfVNxAFt9b/a+n9
vrhP01OURQCTgOkZadpk9ym6k8Pb9xPwfxw2v8f49H51ph7GQ8oeiPrFE3VCiiSOcn1PI3R6LrQV
ErovyeIYP9BSPODmg0XIsqLi8kOYIP/0HD69ZX4zGEU2zlsxRGCB3s+w8S+Dl3Bx6WIGbry3S38l
rfS9v710qQ+ly+wQ33UKEKzv5+PrRf97Oj4de75ijMFgcB2JealYu4iGxfcDyF8lSJb5rxE+h7Fh
7I+CnsBbT/YSjaAWl3taF6Cz/dmXeg3PNLLNy/EuXmI2NNxARR1/MN2BKvPVbvP7Ej5lJKoYoqT7
a7IJMDrHWz1S1rXNh82LttIOT1sP8Q6Qougm1bufAgvlp8HnJ/BhW8GZQNIalRkez9G+39IVll7g
a28mMEOrZnFHpZ5ibmpfvu2PsFsX+wZQUUGHz1zAE70PftqDflh5n6PvSK/yxh+4nm7ZKHZykQDn
2tGQpdKMIADF15v+Ljog/bRUl0d0i8NFvX94Akf0/br4sjLycV18egNCv2whAnMd+ZOcLKITnS17
2A6YcSA1+qDZ1iq4gyW/MPbfD/z1isf/TjdRpqMo9efzyBKIsK2fwEbu0dZCVMBT2uX3Q3w9xb+H
mD//8MhNpe3NrGST9UPrpRvSlcIQ7UQfOZPolP9ng33e0DypzLFCI7Ex9AulUcFBCLaMlJcA+vn7
oX4dy58TD7Rc/jV3n56ZHrey1crMXQU0lTMssHfGelgjA6I6HqoML9Ot9kOo8GXaTQXLAqYMBxdg
1Z+T2ReBOCn5fGLNoh0lTqBMYfGsOp3b1WA5akxPN9/f55fP7/eQ0qf8KlfKuOisCN26SUQHo+42
YgHOVAGsqent+/eDzevtb3P6YbBPm1NqJXqsmAwmZSfFvwjQia27/3CMeY/6sCCrEaYapB/m0EKk
lXZunwibqJB+iKB+Tcx39/Ip6h/FaoyDgWc1FtNrL5vLQlbOOAggxT/Je6UswF9JruF3To4W3/fz
+Cs++27wTxut3+TRlHTzix0j1eQP3cbQ4HoVfYTuYHEoO7ScIgWV7wTJAh9XO3yHliiN34dluKnN
7laJtR822y/3mg/P9tNeMxStJEjzQmoK73pA9h4Z0+zm+/ue3+8/b5tgTrQkjbL5TK/5tFjDqPcz
vYEzlsPCq9MrKQL61bb2oI8k7dffD/b3xfrnYJ8WayPBk1Egdq2lCBmj3ug3tRpdwsX+oSbw0019
WrBY2Emx4oVAEgcaUZqB96ywE1u6vBJCYAAgvr+ted/6bg4/rVurjRsdAjf7miEcEtk6yngmZLDE
a0xwavwgRgSnvx/yp5n8tFrjSRWMqQkIAGkKxmgm9xRKs6H+YSJ/Gmb+/MObX0YGb5zMRGZ8/eBt
6nbTAlH4/l6+nL7f7R3r0xGUSEZv5SjCr2F02pUl/YL0dXAiLAy3x9bWxefvB0Sd+IsH9mHET4dC
KSha5RmM6Pc3cCpwfXNMBNgekkW+UdfJpfciItRR4nu4bTfBD4/ul8TC39fLv4ZHjOHPWdWCILek
geFNvVuYQnDszO4haIa1IQfrhEqB2Pd70fPP8SBfFmkOTnHK3FCKtmLbb3OjOddyvVEiegE9NTVY
Mc78BgdKswsjQFx1v+olNA1k/yY20SJsZWDzoXaTaeBoRbSIAu/OqBMXS0Hyh0R4jPpqnyK1Uk9w
VH3LcI0M9ToDOKsiXvSaBcFSWgkV7IW8R49/fBfL+uDnydrI4ZLQnHFrCVBIP8DEENNtI4LWlRDb
kmQQ7IqUM8U1jj2CdtCsl5DGd9YD0kAiua9CJ5kiNxlo9Uu5gU1OfS3i8OsLNMO9/jan+dqa+WJs
ElsU0MERgVSJ+At06rBKtBzgsJmuhAjgbKfAKsnIyUIluR8b+VIXQ1qyqDBCQnpOauzLO3QNY7w3
jMTxDGWVje1xqqfzmI7PQ3HrFXstMrahilWPXMKU1qudYE3bAj0jRAHWRY89txi8JZOfQgTrLhTa
+X0quRUiMp5vbaOodvAQ3mpZt9fxq9F8bR2MqCMGGCUEMRD6jm1P7wLVyQdTXSrd7IHdosQQN2nu
9CnGDH5c7v2+AzSWKCc104+h6WFXJMf7LhI9VH8TeL+GcRdJTKGRAcXMYyVdFEG6hGfripIf2laP
7tZYS9LWH8JqWVgN9trN8NCUwgTdocV+rCuQvmqxvbfQmkbVugFkrfcpU+W/yZV2TkyqpIbp9xDn
k7s6GMVFIvmvkxykruQB/i/Lp8CU3yUvWBVqlJ6V1nyiznWKZKjOpSnddugl2+EUFw5Nj9o1cG5x
u7KA89KXt500xXYuJBuZktskYewwFSmkQyTDxnHEY6PAX76UtaUeJi91bApODo16YfThIxz2Y98K
14FqHQmnwmXvTSZmOig5yepZTsW6DuzaUPFV0fF/ALWs18CmBz1wMN3Bycru9Qbet6rFdmYKLwaO
KUuhxW4ia63Oxh0G0yWfvsyk1a+hGaSx25t6r64rJTXxZSn71eT7VPL8rSlYKjxuJMAXVg8iMdNl
KlBjo7t51o6bhHUKEYmSgS3lNWBhkWxu6fGVdiD0AubmBGuNoe2KWoF1qR8ScGZViOeKEGA/BO0a
1dwA7j/dG2UbVMa7hJlJJCsrOZhqm2hXekAFQdtWWauu9GQcbPp2qzGpwkUYCCtzDNe5JQBfDPRx
0aj0SEI0lQWyabAZou8h19X64Mlmv7O06FJ6t0l0zifsbrIm9u8MoQYequWr0WuPVTY9KVZwX6jp
TR7jYDFY14b1mOsimAyAQp0JHA5kJvvNMN6IgBrba5QgDBCkEoKF6bBsZPTSlZnjjXyWOK4wZFtk
JAEEA1yYeumjzyzBHzcNfZELklOrmPOUKhLE91L7HER3o7FthrvSak+eZV2pIDtKqTsZHXiN7kbI
nxORPCK41uITs59pLGDloo8Sp/cDR8zRYMoAkw90kPvMHU2y5fS1odzra48RaDF9tjsYZr8y1COs
pZFCpaf5SI9bEXXMcUCfoenXqe++VQFeTXD/2c9zaqR3UqA7w4Dfk+A5EiDTIqgXI45dajZjJ1F8
7pEsnq7YpnZtht/BNDlGk6xUOXebAS4pvOAKfGVdwVeDG2cNJPFITPgaOhUwZwux3/rWJtLgjM1e
aluEC5ww67aFWXCRxnLKn/vquZlOjSGgqZDZoyIv03g/Ktljp1nnHmvrvgXSWiBFAEg6lx5a9Bs1
ROruuxqmXBldpk25TgfhNHTv5VAexJICAraogRw5XVsuDQ2xsz5y9Tx1fKU5Vl65HDFDC3iYUU+a
k79H4aXGNObXhXiLcIOdoW6aUxSAumTAbIZ3RniNYwaO4hHyb0jNIeyz6Ew8r6bEEec0XnswTbDS
6rOMnUpcvzUo1WhZsZCGDvUb6CTI9bV96JANo3qAJFq9SoBVWeldI6sLPz1p7bUm3CoTpwm7NvDC
uGaVU23EhitGyE7ShBvovn77JgrXEYw77nOTGr2dTMmqbeGCgByGJljFy1SvHMUz0Zuu3Coq3ZKz
Ko0L11Av5YxuGdyByQMYieyWSHAESqfmDVSaxjXREOiEs19Itpq+B56E56CBbRKJp7qWeIL6Y6dW
yJPAhWD9DUD7k/6hK29b+VINr2N0QqTioPbTskErNqgAzQrPXS9xsQ1Y59IJZVQ/+DqzfVP1foUJ
3VGfHkrpsq2grID4NDlC5aBySxF5Q7RCaw0BRBFqhPCSg+nUlWIVqQ9+cFNWHfK272V9KQxnTplN
ad72UYVZykMlFHbTrttasmUFTDilnDbM8QNLlrWfo0V5TooNyf6i5rWSBuq6HoKI8DcyStJZcdCi
mc3RHurxzRy0kxTESz1/U+snEaimouOfB3A4w0bHkx46BLg7WIN9sFX7dw+klNgUzDa6e3CDdK1e
JCGq5uzsCgqXQ3khegrGK8+lIdpG/VqVwC7LbRVfqewvIlj6lAVTy4MdKldDK60w/VwUU7sMvG4V
9MlSmVbW2NIy7nDrAhY9gv0ewJMScRY4cYoQzj3xOY9o2U3FwqOuCJZSrxQkilPbNNsNOisL/3+4
O4/lxrFsa79Lz1EBbwZ3QoAArUhKImUmCKWkhPceT/9/yOrqNNV/ddS04mbczkqJIkUC5+yz91rr
G/YiuvEasbMMaGnelpiB5mqyG1CqobElXgkE4U1T9qNF/FoXeEJ0P0KamFDTo8eUDHaRaK1JjV1D
g9CICNTZMzWgdaVgsQGRiOwjsjEGp8J3og2ECvePIw7BJiNfIE9IMEaia3aEupKDwYGqitfKnG61
8FkxGrsIB0cr3tSxWRf6q1gFjJwYfS7lQoPDIgcI3CAraiISaCxbxP0StIkt9Xs9IBhnzPjcg5z4
kkMhuXWfgmbZF92jnLwHJsE29XNFAGpCwMmUka4a+LzXTzMkyJYXVndA0elET4vivuPCxbvY5Rdz
eFKkE0F/rHyr2bwvhxPUu4a0wp7gx/ooTluRX2+wnsBc0StCVNk6gwU2oCHXtPkYmmFVtzc8eSsx
OQfjTci8Nki8ZqAAy/AzYDEZH1L9XhBYuZudJiSuZPY7QbjTixxXV+ZY1tcwR1DCkhuq77V0Hwf7
kAsyHz751FhtOUk9Du1r7xOa1aJxv5e4QAp0nmJcY8opLzl3N7rHMTLIIloRSYSP7RrhGdBRSInK
WcZ6w41qSyrm7O5UZ7s+J54htlvsD9Gh6Y+JMaw0a1rX0/uAfrZelhH9miXXWLhK+mnwM3sYN3K1
YZI3O6VA9YQFTCFrOg0vGkllqYDn6VHSKicnbDa5FEV6iFjaixe1fvp2VvqH5nNJTAUNA2UDISTk
2P1wLHTe2rd/WzDv3rLP//sXYc0mB/UfXJmLTvDXx3/XCRpEPPOIJV5e/EknKJNLT9oJQXvq72kF
P+oE0W/xciTVIB+BNJJ//ZC1h4wK+xd59ng5LeNvRRJ8m4J870CQhwDNWFHJAlOZypnqr0dopepz
EbVespFwaZA6G3lV8YR/vv/QOC815FuEd+TXBWzmZVF6Wu2m6YMOUvBYG078Rr9nJs2Lwy98LctN
zG2ebHQOEQqKsqrdtev8RpZoCgpjwy1MweXfkUNESPnel3YicnKUybgmOHvhaX5v34OvlNIslwJz
MZmRxUk5aSvEuztxY0Wm88++RBkdcE1ouGf/9yW62DF/vUR/efz3S5SkDIVEDQU560+RGTLomoVA
TUK59O9wue9KVgPHMA5mSDvIXZfZV1PAZ/u/f8kWRmT1W/a6tfB3tL8Va/7N8fxr0wPX8gK1Utnc
uT1/bnoo8qzJipinG7NSQAOodb5OsGEYpuX5vcxSr2pL1JJ4Nqg42OFQrCE22aiDsakIHEszddeT
0xRIiwcppAscn+ugPwjkFPp6uY170ZP08D2EjyfO0rnXs4vADhISC1Nml6hND2PXu1117cSkcPQM
sEwrbnojfoQYPK7HJBoZIS5+NXxAcw1EpRMRvipLYEy3RMfoQXVq1dCpSuXOrOjDiPiKwuFLJJei
a4yEbghLEI0+Di7zm+VWIKQmknDcjMMlo0foVg21drdE2ljGnNtDl51M0m7gTG26WQfsPEfGBvhF
+3UOrpFev6kYXZbkVqXBgBt1HO0sdpv+oUeajD+K4NZxTJSvQpjsQgnTzRRASk4ar/JNIjCqOWxu
/jjuS9O4FiFbcVupJ12U41VmZuvYzwwsNupt4qW1U3Otp+nalzDgYvTFxn3z7XBbxLuirm5q3+6s
SmGiXd7NtbbrkoJcNErQFAyhXGdftKp9ipqXQld2LFUrPg5iytqNkFqbzqCvJmDt7p7467UxWvI3
ZdM2W/PRFzmxaOE03HNOCaAIph0Eyogxr1KPX3pxUr0+mUdHMaiGmwb5PBSabFImt9SpFCZV29c6
jO5K7G2p+cyS7GCq4YPR8d4EssyZX89chR5pqEycw/wU0rChTbdapQDrBnkh3D/6vM2TD3a+kO6m
BBmDz0WVxwfk1+zYhN1OHFMkjQ/YSg9zNNt9gNMJqLuVkQUeCY2jz9oWkY8jtYkBZ0b5LGkT9DUg
prjdZz1gXXozgP9cbbROcze48gBloomvhONWq2nOdxURnbY6RWejjF4ai1mvWO4GLBliX50Q3rq5
X66FCFJuS3KqxLBz1D15MjzLSmmOFIeoll7i/mGoipWUpxc/zl7SOtilYnSIMtLOOZ+DNKTHOob2
INf30RQFri5j3pmVdM97TE7FdD+Q2pe3wYNMihI3mpFBpJ0CsjViIsLvEq6oQ6TK9aXN+4poNtpP
RCSQFyfHAIgv8sDAxD8NFaOKbiq3iuZznKs7zHh+3bkJQU5wxMPSDWNfduc6Dtb/5K2AJZkoBUmX
2b0xFPyPamUR//+8Ffzp8d+3AtLOFGh+GomlNOj50X+4GmQCIXSQatQw8iJnpfX9fS+gkIB+wT9r
FCVLUsD3vYD5KXUPHolvKMC/hfv7U+bAolJjk+KJmMySA2f+MlbQOq6QKZPiTWqEb8YIYFsYsez2
XbpVhP5dqwkK6IbsXgojNwJUPYrF165Jbr2S36XcqE1YnUayfzhVy0wHMzPnkK+0XkNjjwzeVQnh
yYAM0L5WRglVm/h1zqRm2uylWl0nSQ4kM/d6o6a/DAFNeUpNLAz5c5xMF5riRKNYnOSy1DXDTxMR
j04A6RCK0AD9xRuFpax9DvwafqpE0IVkdLRXfVf1ydqviwuZgfllknvPCiAxhGna21WZuXOofdWW
Sz6rTc9fEiCLordFEaNUVLWfemhtRTO+DOH4YnS0weIZJE4lcYKPmt7pl3ZdLCg0stp2U5cWZ3Rx
uBMkbbLrbDm2sPek8fBRNaKwpl9LZE64nqxybY7ls2b2XqH7nO6TnaImR8QTyPfls6JKKcj5ZFg3
AsECeVrPTpBJhzwVdnKSvGicV5RgW9bBR6UWx07g129MSGX9rgl5s+WyOWpjjFcYr+Y/9lZeQhsg
Uy0CZ8oV7jfunL9KQqNK/+lW/m+P/+FWBrIpiQSeAaBBxPDTraxz/8DfpKpa7vE/bmTjN8iJ2KUs
01Bl2paMv/64kY3fdFLVFOo9RSZrmCrsb7Bq5F/lcL++cJXy8cf5oNKW0azTFvXkFnOynFbaiT5f
RlVHuoOy5MaqQ0/by8gPElGwnUw7MgMCPO9GS90G2sLzFOmAGU+ZqkzniLfgfaBbyWG/2NR6eB2C
i1lZT81E0O2SV10exUImqVQfmrMuFYIr6tq6qec3xnmbkKdJY3HnC18b/8P0h+s3ZHihM0ygWRzM
cJJV6S7ta69OGCcUU9VsB4ISfViiccIYoZLTbRoEh6gVtgZewlSNPTkI97XwMOWhM8dPxIw6WpUe
NYSNfkAMLETGvOjXhaC/S5PFqd+kG03MLHi5PiE2JCwp6bQt1BoZXrcUPwRZf0xDPD7EiSaT/hGM
lStbt4rMl8i6WW2yLkgnSJKJmUmyxmK2Q3TlBMQyzB1IgWk4VPotY34Sa4YtyNla6cAX0CCY8Nda
BD70NJSmfp9oJG4RA4xum4brc2RUdtZa60ogS6wjgMAHSrq0Fwp8/ksTmhAKpXVr/6tGCEjE8E8q
3y0IKREmakEAkxjc6u5NaHPMm53izdr8JOfk3dWMhPS5QWKb+bsaRy6/BKOsfZT1rJVwnWG6VrJF
2IPqtvN2LmiOmnjgAU4EKey/mEq4CXDE4iumfk1GXPDil9yqvFlWnaZk1FBANlIqWxeyo+CTByS0
0qtODe7GSnPxU4VDJT7iqN76fnVKQb47yiTqa1L6XpPiI5iT99b6WtI8KpqJ7mcq2UlWeUTP2zlB
GWr/PreSf0YlIb0HcnQkmJMo3MnRY8jt7DO63E0kycQ42SWu5pHg16SryaVkAYy2QUcXSAccKb8i
QbrNXbmVuVYS8uBTEtRaet70W3eD2W6VqmXGIkgtDcnhWmfDpqkkW8lplqVyuW8ZiKSZEqxV1bfs
OiZw3Zh8lZTgcFcsXTul+8jm7jBUJVuUT7yN6pMdXec6m1wYC2fJSKffRTn/0P4PHRDi07F0kgCJ
5eQvl2GZsMiflmHKkj89/vsyvLAW8P1Iuvr7Yvu9oKIu0llmf7d7Llr1P9Zh6zdmcDhL/4ir5On+
WIctIrtID7M48pLsTo32d9ZhaibW2e/9H+3XV/5r/ycV5jiKpzzeJElAHpORuZZQfUSiNDp1lu71
eWCR0yxPEPSKlkxqBUdFZ5xdZ32wicTqEbHjuokDEsGhqBS1Y/bmuUl1JANrFVMVw6YXfzIg7NXb
yhe8uiVFi3gXI8wPvpU7iZ93nhINX5phQA4b9U4nNbusD5/bTJkfo24SVgaw9ijXdknhExyGYNSo
HoqZpdKUlX6NyJbki1tlfg56Fx/CTB5dCVf5TBDkUIBQaad4m1ssTSwepStwbtzNClG2utksevvF
w07eddgxj7LkgVDm5s7PvvSkRcdF6nR9tKlVwe7HZG9IqstWlbnaEjQ95tHGT+duZRXGUR9r0SnU
tnnuRFldD0NKbleSFvfhLFOBasmTMifBOaXGHIzcQwpPf3fZ2Hym7r28afzhMwmJms+a8sXQVaZU
Wv9uVGBtgujArGMIpGtjamTrNLBSI9kIXKMgIWdmKen0nRW0xMWbu07295kp3MUGrTaDpMva7qZm
3EUFlAZjlirPysy9Dt3iopAO0PsMZAeZwHMGeaQF33PI4ueyT6pQJw1dcGom2d4QlragoIhCHNJB
klFRQs3Tq4jLHkTGxzSoUKdhKZkFsRFJ0SJr7rTnOJ2cUA7XrdSUN+wxJQGKiCrkjvVUyP1si4Lt
vuGT3LUx/Xx9WI8IUrBbPwLqZB5ek2RmFIQ+NPqm1ENXJ1E0xNypQsEcI/1V1aKnUSd5EBz8yu/9
bQHe5h9bS3IrL4HWOnRCyi1JVP+6liTgmm/4+Vj4p8f/sYhJvymqxnsuU/f93tH7z7GQL/0Hek0/
+vsaZv5G09tA3kJ7+990+D/WML5E3rdhGQs0kcXxbyEmeOSf1rAfXzipdD/XktE8pWXYZaY3V8qO
HNjsPBek5DjjCdT1CJRQ9JiAkLhPxSUAhEJJMrrE1dbdVhCchfTmdnYM/w0ECz68ZomcJbFTvAP0
luwtUKt4c7yMwDLweEhebKJ/7oNNdRmXXFn28jS9T3QC7pBA2+OrdiVvhrNZvSMKE3qoSYXh0L8b
OTll26n60hDY87UsTqO/64myF9xOtLO9ODkqHGNpzVFpLNxYfbrl4ADLDeE/XRo5PTlB82c2a3be
PQTpx+T5n9S7hI6OZ0QcgyPu2vduPEI+TE957THaWZVwpnedupNv0w02C1W1EB/G4iX8MJacK4e0
zp3a0tGZV0F5Np7LLeFAWwJAkgfC6rbSs/41yhya8I/Si7XR/XVZb0MAeupdT+EQbau17hnNRvYm
485yMYzZuBwUN+82Ih+GW7lUMnbglJSrvBUtscXpwSSyYgt/r3RKt3zp4HDwBiuH/F2/1i5ykM18
JpjH0z6SL6EHaNvpP8aPbwy6RZW5gqyNgvZOV3ccmAnwhWg33HeXZjoi6CCEl9P02iQ1o77/4tLK
rF/4fMYHVA/GSjtw8n9AbEmz0ZEeUcsdFarYC9TbhEyuzQCuOiNNpp62ZPxZJLxxju5Xj9EK8MJw
Cz/SM6E+xGjVHT4S8ms3HaHpkd1/tKAUD19g5/GXyX8OGmWbzDtyW4HRjjIxvDP8KygJzJwtu6H7
d0dbTmZYJ1yyxEXfUG46wAan+gm+JRA7kslQGIzt1Ve/DCoob4eWZSd9WNFmvM/GOx4hmkdok+aI
cPvB12+p+MgPmz4IwK0Nlz88Xd00JMij3fDSeBeOp2jYNR3ZPjcfKF+14Tui6lkuXitrpwP68vnZ
9Ov69io+wCAGJbEy1jo5kqPXoPwij91D1GB9LrPsO7QLss2o8oiCLXmOwUr2ThbQa7aXHny5hFAG
JAadeuXYe5DN6gP/0nBLAHBxkOO9kUPLFiesGsb/JClqTPA9gG1A1MCitY221oAKaYgxesi74qpw
rrhUgHscMrFaIW1qWjtNnYpfAx0SNa/AmcF4SNJ7s3viBFW94ERAXtBOxwiFYEn4m3zPv5N5Z5HS
S5u2gOSmv9AbCTJs9KNLxPxcTvbMLAq3GXGOZNX5nr5R5L3Z2OV8letdhk/FxSm+mV//sfvMcnSH
oq2qIrCh/x1hSzwK1fQP+8x/e/z3fYZeIW1GWLm0r9jNfuxZLLNZwtspfSEw/LTRKN9K4t9nTUs7
4/s+A8PMUiymqBa1PS3Lv9GzkH5FGf3ywuHs/rzPZEZc1lpTmV4wdLIHQcly9GDeZWmUs/REV1Oo
3TH3Rzeqi2YrWcHn0LS32pQHtDWF8BiZsTfmuufLpJhWGQVTpE52pnGjxNqcrSGUfZAo8tTzX49T
j5xk6pGUgX5hLRj6dtsLyiFSRn0X+Ru69umBZt62yNSWBnnutgWsv5kMItkq7/WZIM26XSVWcjbj
8JlmyTXoi9s4p59GUmGOeCtnUvayac8wjx8f7xMFp/QUnCOfGO8yjr15FLzJks9yCGJMYKfSkqua
kJWUZ4ssVDtM6T5XSIZrjTdOV3hHcQIgInSrWFhrleXJrIBNwIIfVRZKPHQWWS7c5nz2SCpwxjZ3
Z3lrQKFUS3WXdci/SMuWFFsrsV9Z2baAeQSCwq4IahDr1x4A8JDPjKf0db6kzSLTEVX9LNOgqKrG
a7tpE7DG9iwyZuZ7ajRfpJ4Op6knp7ghydP385k1IO5CXCgRgeAVMn9LqdmAq2BKyQdkbM3nQWiY
hOhGdYVGL4Gyl9VTWgSUpZr2bllZwDJ94R/XbaE//2MXgqXgpB1IPLQMRpAVgTvvL5qXFJx/Gkn/
6fHfFwIVwcQfSLMfxxDSbxSgsg6lUNH/3db849Rsgm3RYaGJksTpGPLZjyuBxsTAFAmg0b5BD//W
SoDG4tdT80+v/NdTs5aHikUbi5Vg0g/q/Do2hBbnIZtTAw+v6ew6z+9rg3prIpC4FurNNH7Rs9Tu
xVsrfk7jYRy/WoiqHIn7iYHLpSFpOFIurVzsjE4ii/OlY8YtTeRMZvNLYolOv3SKCiITUUMgcUum
8KhGPYVmvZXGl7yglaPJJuHXJGwb9Hqou421GDdHJR2G1Ry+LgLwvO6XfRpAhPgWsScmYF5O8wQy
WmgZP9Ksyguv7UGNUapkA8fTDEJpdTZBhjZ+7HCrra2x3Gfya6F2Z733r0Uv78KYvLlhShaSERuq
EuwHbp5ef54nkDJU9OVz3LCRU5+zY8/Sm4a2lROcXBPyNrVw2jS6jY+qMVMgEZAYXPO5J0Y5dkcy
tbvWRwGYNlcreVMbpKS0KJjNtgohpzP1x6xlD4Lirwalcaa5ejBH+TzPAR245wCMXPMmxEuFFzsi
751GA0LOPpREOIbIToVvyvmtUWnhLtbE9DLVChm0qtReyCxa01Ojk4Yexkqnxzax+hVnHUed0QCH
pfmeKTqzZ8NvDDtCelnl57JvnLmjUujC+zpMF0fDKW0m2DrteloQYQK2hNBFT4N+fx2JzbHIlXUA
FqpuBF69gtx6sO4EYgrV5cwwWzZTYMTRxq019K+x/5p2t7BuvVoTXzN0qHbQNfeFmm1Gv/KiDo9i
m5eXwXgs4orSNJq8MXCn+TNX7svmoo/z2hfk8p97TGYXX0hTJpIWZqeMLVmU/mrVQh31a/nyp8f/
sWqJv5FtwFKoiyJcqZ+0XuJvBioag7kKI1K+xg/9vmwxapVl1i2Vl/YTV9X8TeQ10iXUWD2Zyv6t
Zp/2iyP+19/8Vwf22Ga+PsmV4hFafFF9EuDmxoek3c+ngeiqCSR12V+EMv1ALU2npcP3muWuAg5p
6HKJ1M58zlapeezHL+OwbPOzvq1F/wR7a3KbmozsGQlxamgIREFMxXlEcr/SUE7nOmwJ1Jpdea8a
D3np7/P5s49eJWwQYnVTzBM2Bqe2xORQdIxURe4KZql4gACKcB+KpACNVn1PA7snDqhElhZku4Co
93/s9svHKVsgPDVZY86nKv9rdsgF9OuF/KfH/3EhL2w0Ljz0Vr9rwrhHvnetDXrW7L7fxAF/XMMG
bGDgwEAt2IBRqf1QhPOlb7oBlUv/m4rs72y9/6UG/+lFL9mKP84NQ4kaWMxb3yud1ukP1bhuG4pq
QrZxG2wYYe0JIA/O0yG/Z3wCMIEBvyyuyk/9Tnr5YSU4/94k/zFzf2mo/dg7//UDWOqfn14LhWLW
abwWyfU9EG7ZkdB/cDtgdoVVHNsqYzr78CTtZCINRg/biBe4guvbwjZ5CBMntc31QDPJWPlQi4iO
Dr2L7NvxJ1QI769f669RFH96rb+cXSYjiyBT8lq1VU+jJkIB9do+ZLvMAwB/Fu4Te7ZJnLUrWC4I
OjeRvDb+x/ulc9X81ful//LZDZlvttLAa6gdwBoQR1fVtXhFgUYAjwggZ1hXdnGMjtY6IYWhJ2da
WPvkVZiecdLeTdRKgJGc2K331VX9DD6hwLeyV97hsbHjU3SVXusb9rG7RrD19eQ1G9O+9c6ztrpc
HoqHmczmYuMTf7H56/cWkfh/+8WQvVCwgjdBD/nzhaAVKUaQtvK93gGD+QL0YtrFjIPJuVoJ+xu9
RFY/hqfRVtjQYWxoqsg2DUr+Eh5KEFepR4Ns/jAaWEJSSEz+o7AfOBqN52E6+p9wrEJrheGJQoSO
ZZnbYvjE6alXGJ3eleF5rBFrrMAL8SwUYeHh1tnFZjLs2lUwUTl8cXl+lGP5qnT4f9CL8vfhklLh
0erKWYNdXg9PMlz6akM4xVwjISlt8ZXHzQ9JTpdnlW0w0TDX1UuY9epecMv39JnXNvnMi22SOnK7
fzHd1uVLPKOwb3a8sPBQrPkd4XXpzJBTZ/KYH6C0Id/AE/1nhu6fSyextIkYHMZ1Mt7zVZNwJnXP
C9OvwobiN30egX1BEeFrza52izWKGXUtPQZQ6HsoXtMdnUSFf4Llgs1hVeAufRnrE4P0XnTpiQLk
shwagvyXjLuCq+pNeqRdF2q2ibEERkQ2Ofyz0SzfZbmhzZF6/LBcmfn43YlvA6lQrLUI0QDMFwgm
9IYbcc2Ie0FmDOI67bbJXgrvzJvR2/HAMyqMqN6mu8pwpcfhjqf9/QfwaviOZN+fGfPg9XI0xjtn
D3ga0YSajZSQd43TLyyLm7gd2IXbI2zgg0Gk38WwG8wDtPmmj9p46JSz7/K9QAZpDNKztSug46md
bxbSQLqnbTjeL73DF+E23tPxG8c1zUVtzV/n+Gi2j8LNJAcUEZ684elBcM13/JxJdPXD9JFCyeGJ
6V/e0Rnki9PHcAa51cvbhcFVejwvzUn+iFt+LH/0QyJ4Y20TXb08kQ7pjKdvub15x/0tY+2IJgCv
k9+An8cfv3Fk2otlc+bHJBri1vV0osGZT8CB8QG9T1iNK0AmtiI4GgepdSms0iOXh8YwbhV8Kvcd
tt+jka2CV3IXZjhWV2p0Z3CLbfvWggRqycAmM9z8mp/HRzNwG95Zm5S7ZVxIyF/7bH4xN91WdVF6
qpxXrFWy7W0S3d8QckAIG8PTkJ+Ih/RHmimrDJLMG8cZhIhrQvr5nNL9eG/Zs3zqh8OQ3rfWvsqv
BlpLDT/PE3XVgDftrXkZzvLjcJ6BX0iPXFFitsHxNijHLNtz0cXvwyuqymJr7YLn4VCTMvJ2SDcM
HzGsEULmlrRjsZu3+/kOZYqBJwXVwzNz2fETcBC+1eHE/6avKOzRZ6TefNS+yrjLDsqameWH5QzY
AxlMvOav8iYqjmL7yAwQVFB38EMHQA7CCNg1A6p9tBPdPe7HDFNas076HaE1kb42OOFFTrmbtrVd
2vEucJKH5mF4iHc6aK/wAArlNrsZi8Ultjm22NeiW83H61u9eusO1TZ5iTfGV+APNda+C8639BZ9
tOCcySIA/sS8GG6GvsLojW8d97ZveZPscJA1ZUQ8K2tXPXZO4oh7MnV39JtlBNryukbA1pEWlp0n
nPcI8o6Ui3K7Mh/mm3JlCkHGUvQYsTKslXtQP/A1wtbuCLkHSdHuimc8PUmEPIOob+C9SHOW/1S8
wYU9Z4z34ofqEFlOSNLuyvpmiw6h5jYUNdJXMQcx41imHODcHA532+S5cOL1sBEOSLSjJ1G8JslR
2mL+I1cosFXBXTxWopO0tlx7HPo88zXH/Tbhun4b1ow6+oPodZt01z3IB+0reYlqeRSyTxl9R7Mm
YR0tI9uYsmJk9ZBTUyyINWlLlAPISEgWJ+u5u5+34pviJrdGugTBMTzEXnqUv5jGDlOhNdgMmeJj
dkJuW1sQvEnjZz7DwsKCzYka45W5IXtynSbuwoDNCC2D6hc4uFa7Hb3yNSn3IACmNb5CQfj4hxfh
bP3K0q/SdP2ve2CUyEjqfm6GU8/+/PjvRbihawoiPY6F/66pvxfhpoJSheMk+NSfpq5LIY7iFjeS
uCSQLzXWH91w47fFsUFdr2H3YDCr/J1C3Pzvlfh/XjkCl5+LnnigFZwWDdUctQZb2ydzHxgg1/qE
trvNUBEQY++17+Yrw1VKoQfNNZ4KiDk9TfLnVvfYj6XZjfwHs3+L0yuo4kDcsRiK1lqNdqbJFBIt
KyOfdBPQeDErmz8TbsJnkwp1Bz71SnGiddvxxNTSFVb9FnEBsXaEKchXw9xq+E7vcmvXeY2Hp/uk
7U1pE60eg/IaAlbZP4I0wE1an6TVwkphCulYTA+HY7QDOsxMjtVyPbg1OAicqzA3jFXtdOCUKA5y
p/J6cCiQN8CF1/I12s0bxTHcYY2M3qn34osVuoBBYiquByBKmCyoNqp79Y35ZIrow7yYyV20Ll61
L35hU68gXQYw8C7Onnolvb+66w/TG+QM4wnEkTu6NO6W2n0CeROqoBN4MqNfWaVTK5yP1wPkpy8s
bulwzjjshCuLqcMtV+1+q9/gsoASII3FISQABos+rCpoeeXqXV+hZZvXRbcThSPxFgVwiGd1Q1TR
I4vhyI3/rr6n+ordIX0jcMT2sbZUbvAJTClOHgvZldl4guecjc48iCwWGCiYAWrXOfqiOWxHLFre
rl4HcGmbu6rfl/o1egITarNRg6FX3J3yYoq2fB/nNxNd20Z8EOtNepvm+/jz60du+/fd07AJHNPg
inDnlIg4IUR+6ZJ8cZKq/VCvGbfrIeaQpeaoyM+gKrvRvhS38FEfKV3afNfrj1QXqiMDOvnwtUMG
Nwiu1gxgc/oQt+90IdeqQyreWwSaiNkM36sfhBvQIoJQXnDwpwCB0JnghrgY6yry9Mhhaze399C1
NouB59B1pKGBH2W6itWTJMvEHdzuBa/ucGZmmTz7e2bCdCVXJK2Ij9k74Sz2fC+8+RsVqyoybJqJ
2+nImegEt0JjZd774Z6CSYB0sTJsxfNP1s5f4btrwrdiG3Fdt+U5vylY6SpbSFbtrus84UV4DL4Y
D8SqBMJZw1ki7wx0RZObc0tCIzmOwXL68COYKZuI7YpMlHW8l9bKjnOX1+4CLxO8RvByeUPbmt3Q
Cu1iK93GO/1p+GKcIfSW79Fbvu3dap16GFw3sw35J/OkbCZ/gAr8kG1fog+Smk7FCaH3XfFkOOoR
OShsKIkz6AQsJ/N0aVfR6Sb01EbEiBVrG76Wu2rru6hi7ZDw/FJ1AmaxD91p9Cq3s7bmk3QNSG2F
wTXJXgdk7m3hlhLCy35sqU71pdgYh/Z5mR4JrBf+seWchV7iDqQPdizjS9V5L8MWE1I8cit8BvMh
DuzwCLF0W2KkQuxEoD80PFhq1CNO5PX74JXsCwFBwXLXmC/+OX6YN9BC1uHZvAgP4UG8R/ZULi3y
Vfg5fSmv1GX6PnmpHuuvmid4/UXdhBea3Sons9np5b2yZYo4YQ87mhPAlhWfGmVGmnukhtgVUjp8
5s89tIT4PtzPr+SCVgC4Vvqd4EoPuCarW3zWOe0tFEInPszn+CruE7c9kuiyAd+7xcXtTS49922z
TT7S+/qtv5Vv5ZvGvxCpYX9dKDgf4WXYQONaJ6sP1hKnAwa/sgiNgdz6QdbII27irebsi/WwEykw
ykNw51+wiNOXvxfpXpCztEMn7YJgR9AWJgcRVJMLHz2MVgne9hRb+yr4UiMmEN9yIoIcEEmr12AD
NZIlM1krEO1oBpRQipJjNNjZcwSQjpUctC2pjI/5C2ui/qbf2sfysXrzoRd3qwyO1kNy43S50c6D
6Y6DjTQmvkYPWKfTnbSgA2OPosaxToa2tp6hEB7VNfXOQea8iLzMxnl1RXdzRxkJcYzap7rLzlLm
ZIioQ5IePAxS5BW064x3UnYXyC3/t+Kq8cg9RJ5xEpSngncrDiJyGC5WvPeJpPisXIKC4aPdCR6M
mNgZcCTK3dkvPRV4Vuz41Men2uuPvk07wrzm79rWeiRiSZfWqublvB/Bdhzt9jM+Vvv0Kiyrjcsi
SYSFRUnqaKCUnrqn+SF4ky9ljA+LY/xKR+cLJwoFzoUzfriSXvS7/ChvuK2P4kF2CdVx+n93/v+/
rI9vwb0/CEh/byzREWe6h9BL/DYq+yHoa6QXpyolZUBeYE0nwGSNPj6CO4r+exOsjfUMSwnZvYfZ
18TmfhsfIM7FJ8hS425yQYfZk2N4XJCrxEEr6NG6Y+tVdtMh3PGZAGkW1tmzctHfRc4DtZP1dFOQ
J418CvE6vHb/o50jaeYv471ffiemiT+XNoU+W+VgkZ4xXSaux24tnHprWoFPXqkTSvxrRSHS4IGD
VgYWFDTyubo3WxfqRIh0RtwibOX4asqIYRyttAt0V5deX1Xn/pKdhHPgzmfxVXlABkDsAbfJfM69
+s7izmCpNBxw2bTFI3btM+hHlhoUUsl9+shdbisvGEC5oRCRsa4d6sceIVOyA6PocQKOvwiVO6BN
2mTcD15wNp/bW3mL7+CvrHge6Gsci4TVJ08g/z/uzmy7VSsL10+kGvTNLT3qO9uybxi2LIMQAtGI
7unPx87JqSRVpzLqtpIdO1tygxCsNec//6ZYps6Rqb2Vb++vsyCFtRbqnZVe9CPXSf9uUigkWusk
pFu7zUnZKX7ntoAc+teQBNcde0+K29d3lHtSSIao90xcZROFsAU+OgCjj8JYGqmjvbdB4sgsp4ln
zPzoeDHdoZ9j7VMLC/zFNAetgU6w7tV/qraMX8O8O9OLjb6xvD4dRV8yJcTmhVTZN1J/MZySW+u2
QETbc6OQC4rmdwOVl32K7nE0pvCvCEfZ2JeH89MnqCDURcvUQqCDNveiS9U4eRnOsGxKPPZBjQhS
8iIRZ54IMUQrGQ5ciponkAfmScFAcwUBgx6zXEBQC0UvqVdkRLmQ2fzU1fVFh/Wb/p34pY4UzJI3
uK8odhwUs7Xx+CGvrvqWykskzazhsRjcxlEd1MUrOis9DmPh7fquwMYr4vWTsWnY+LOwJ8VqcB7D
qaDPGh2Mpxpo2aODq5Wy00pCdRLR7qdl1L19TXUUfrXxa1MpdgUMFSSkdRMARy6cAQnMShbPDZFn
ItJpek2ogn4Vanf62ZaiyViU4DMP7TVGstp+FzklDZGVYcEVhfzDOIKVUM84M18BFbiutHoH26IH
wIESHYjWcwfPEs4knCmPsY3XfuaWP7NNfI4RGbhtZGW1Ez0xV77a8Cv8mYCMgfTVmnt+BqKAzZUw
c+7fkSw7nXYRlSOrcLXuQpwH9pGzL2zTu5voZ/2cpdm+AztA2s4dzlimsGuv4+sq+36u4VVa5aVd
JI66Vj+ohtI9Tu19FkgS7SsSX1CB1yjyhWWVO91SfK0YOLOJOApV1ZD6+w5PXtvjx1bfOMBVEFf2
shfvFW2haYsCRxt8z4xPQgyfrOlXTy+nloI6DVMwj73PerpAk63HtTa+9Y5AVKDg45Dw0S1KHGRJ
lST3Law2kbru36Rt9879OTBW1u3H47WvlwSKigzkirTF0Olcn5RN/0PM3H44tn59aF4KAbwO0hA9
lavxhQnLqbSqF1evfBeCzFe3eAxB2Z+Pc3h7dxhFbFkZhn3O+AlYs8s/Um6Z57opyVe2AK+yT/VD
+IZqzSYkY0MmwIhDNANJvPvIyF2kvYAId6J+Eo7Gl/L2eHi8Wcoe5tztJ1qVn6lCWsVsgRnVm0zf
B9N0a4LIUfEXjvE1c6grSbV9UQFGfuTv2Et3IPA50axbkg0Xo1uSTk/DwK+G9Gl4eKDPFF/k/aW5
Mkl/4V1zo21JUVe8EFzbemLkaLdX9D92sxyqziNo8rauP9tjOTe/WNauLnwn3pThXTkU2AydH9k8
1QUrQfJsQ/jEFMXRSDdCQLAStlm/6UDTV5CgUDGknwiygvbNwHJKXNSkJnGelQZ/vXwr7NTz4ygu
WUqsMWhgLCwKX8OgvXUIsKWgMHbYZ+K9ZuGpZUW2mVKIpX7hmliPC3b3c1+3obl4bG47zPW4KJ5k
u6o+7lWqE6/xh+kTR7ETmqibZWLRLZ9iL1s9nN6Zbph0wzpKVtMCOzQgfs45RaMfT3UFP2dYdBYY
vpXCOlmoyE7TRXd3koic8tKHxEkdlrIpeSbGtBSy2IMlDoZY1ra3W1ckfFDwxOICEwXjILeXoIU5
5k46a+fRrl5Tl8Q53YnDZzmB0dIx3PTOdf1Yik+/nc31s7HDT4ZNAWYxjkH4B06+9q/5e+fn3v0j
oiOiepcDpmHq3TJHctj1lbmqKdhrD799O2t1a6lZisVq9aLMgowVThk3BlfELXdl2SZK/HGMF8Vc
XaSOSIoqKtrhu3Rkv1x21a5Nc2/woqAKmi+dgFYMRrvC7riXayLFNC8rHYMk4XI5400zvWuPzAHY
1MrfYl86pK/p52xXHJ9hfMZQtnw4BYLDD2h3uuzhd1R8k/xoTJu3ebOwxUpUyr5QaMkNRFhiR11g
9BPOz5okKDsaeFly6RFMr1lKc/kgb4nH5JZRv7NTQuXyIZ9wDC3Wt0Bdljv1jRkWpnPfZrJh9cS1
AbHsQl3TbwKAWEjtanjmNOW3ZZR5dNVX4o73s3Xpd34TDm5KHXqMtAXujcAc6bvIFfTeE7RdY3vH
Og/E/kIMdT9n7VyPgeplRxOrqDRM/Kj7rvENKpwaV0Luk5/svd0OZNzUtqpbqZd5mGIYwcTYfioo
0kK0esWPeO6v0AMsyNb7B2ZPgdD7nIhURcKHMA7jC6QizpdQYMT6tFThS8lteCbcT6bK5MB6rOXX
5yH7qAmtTreI1+rEeY8UGEq+Cl5KXftwb7Ktq4C/JEaqL8JX2TKUWpnbdP94pW9L9tdlFbR0T8Wy
T+1swV9xfos6Rx9gSlr6ZdoZD5zyK86CD1tP9ma5w/zDM4h732QK9niE1Qv0+c0inv0Yz4dNL9dt
Kc/BObKvkovjSwXnAJUSgmSbxtxYnMmEdlj1RjwuoTAxf7pwGwmdzc5ovmQVo6znlckMK6pWheps
Wybu87pn5Y2eXDb2E5LXfgxKYrSln6ZfKD9Sade5Sw0p8vLNA6aL0S7for+Czl7Mbzu8dqqAXVn8
GGKS6Y+aRkqCnawzbujP+zZnezF5EZGTbIab23/dJW+mo9i0O19yh0804sS16g5Fj7hJkhf4YMIc
5hQBrGSt0sY69+C+JpCAlQQBDoIamYHRuBaB0AcsbeOgPTL0Ui6ZN1y4LuKHF7VBia0uc7NN8kmn
jjOPsqSvpy3fgMqYuOEtooXkiPN+p48vOvcLWnz409ZgBJjVcQkUFP9p8wXSHvt7woKfXTByS7YQ
8WPA5NoD1IvXSoZ321zh7msR7CZ2fxpPEVUrfoJ3oDNhVVv3HZc4DbK+HrbN/ArgL/rX/qAyYm/o
7NjrM1q4k7zG2v+xvM+leYV6qQdtEEpsuRqf9IEuDZ/F9h65CR4XFIFXLIP3swXOZK8NmswjvpDv
5KfXF6Y9BpUlLzQSD/K+X8gBabn5tSCPlgSTQ29NNhUw8sgjf+1/IgCernlLBL8Vg1vLmCjaKNbt
hakOS1DKR37Z/s61UtrvOADM5r1fbJLr5WV0x3k6oCmw5OJMVUv9IDGfeFHeExqPZUcXj7C+JpOq
dm6+vIDGyj7GWPcFC9Td02MGelbnsPDoSUAaLfUNidatt6GnaUe8EJ+8JzPdjpfNQkU4ulSw8XOv
GQNBxb3zljIOzd9FdDD6VnvT+NFe8iLsn/OM6Nz9SegDcyGxIGR2t7hpvqYDG2Wn1pPPHwZd/HMX
PRDdMSg1C6u0yEqtqwN2crzZwTUwWVIaDUeFJScre0NYdoglmJFBxA0mnG60EHLgqad7AaXjyFW7
6L+qhbKNX4wj40NX9SPc/lNCozGzWV1m7nWuBm2I92gzW/UPCZ9av9pOsoCDjsojnl6oiBBklOZX
m80utjwVoCHdmlXuZ9tuDxyMxiW/7TL6qQ99Fx3MzoE4rb/iHyNEx8du/ITxOGUFF55+c5vhKGtv
se1PRUYzXNrnYiN/xda+tQByRf95rBjwM5+DTVHPy9NZ3dfZq0yuMKeasm2Ykd+tvKhL5ROhy7GS
oEnyzsAAtEAP6qcn58u0gsQCgj0QkW1jCJNLlirbM2LfueSDDo/K3o4pVkEVH8Y721EJZZDKvd+P
6KDTZn2lg2OpS12W/5IqScMb0DMGH+Fj93JzE5xw0+X2orrxS/MGb+tLEpmjAZluUT2TaW30jHo2
k5kjVypIGiyDCR2LHKE+zIDt8XYcFRw2nUeMhlhg4ex+xC68Rp2PiNROMb40xK+eZPqSke/hyuue
tW6+wqamMOOfvAv12XVudgKb2/Si1zdVZ+zYLJ4CIEwThUI+WyZPbIaU9UzQkNhc0XOnV7YL7OtW
7Bsim4kyMyCtn6Rx3w043dycx4Px5PW9fW4GrspCWykgku32Ko823rPFtXRiNSR0YCX+706pYGrr
UJ9JooWmjQ5Cggn2nziPOMD8aUr1777/9ykV+j+UhEyWJImx0p+Z2giqZQUJBirl6YnfyWLGP4jA
RWQNffyXKJrJ0e8zKuMfmN3hMQN/WxcZVv1XhEfgpz8Tc/563GTq/omhpep1lMgPRfeFD3RlB2k1
Q786kWIY9KCNAxEng7p2jAuouxmUrsECdz2QFtvtyk9zA3oIMgVwweQZAeCCz4gRNs2q2NwOt0Ns
gJVkfvJR33j0xggEEWEjvErKAspKv0kZ/9AUMqSKfwb8QinrZk5iZJYD1UUhUjydM1jNz4OfQ2+Z
9Br8pdtxayNsQry848tYH17hxkQXeNpXgM8ZD3c7iDoQvSfGTIWr2ETg4YXFVBDZSfio7xBv8iWi
EKbIYPz4nfqzgE+TVHDDB747P8PHIS92y4E+nCk/Fu4RaIPPAXEY/QaukvGCFS1fDk8H5s7A0/EP
FKObBdpoc1z4c28AHx/n6DJbRJe+DCZL5gMH0+20F0FB0bjiL/y2DKYbQ6E5n7MTHCZ+N30QrwyW
044T0cO4njhKAJoE12Ka62kvUY+7F8cJ68eLf2ASbTpgzW7XlI4ZDNMRmaTBoOvsdrOFhKUU/CBO
9riBWhVdBn96Td1uEknCLsJq9mHDHuJdGHy+eDoTzMHOvBz4TxUjQp1v4iFOJkyaDaeNR1CP4r82
2L+9h5yi3KomYhOUJ75xJLD8wiuafj+vEcA1uvAwz8dg6+NhPHBwPBFdQIYDTiLzlrtwTLRgojHd
t4/zFGbD0Y6TOpI/j7PaHso+iMs80PGwnY+PIDV1i7EI0uhqUx0A1WpquOEFwiNABXNL+DBA5cW8
mN+DIzQkAis21ftXnNoe00bIUfwfFKgerpB/W9yorvaalZ74pbBiDsNKiBEQ2OVu9oWVtsj1zMiB
RV/hB0sX8426BVO8O2t9uxiHFeMvFRsQ0boxczCHS51eYmOrqyGeIgnNNJV7Z9MBNM7VpRcN7x9X
K9+UNqQfq/bZGeza/3oSJijIMIr6PQYs3IEfjOF4ACiGf8fW2d7t23TQprTHcRKow6bjPzLB67ba
d+SgighurgSN5foFqFcPlA6FhdQiP9Zr5q/7rLE5fdNpMpmH7vVFOfp3rjomn2yYVO1ke5InyuyB
KnR2zBEk4vDvZhY1VDVvZ0eznN8/mNtSpT5G2nBYDlazNW+2lByaA25O4KJjQBU6th4fZ7XNORuF
ecm1S5CbS1/3hKUTjJwR9xjLy0bamUzFcEd4NPt2xCL2MJww7YWEtMURmy7YxM32AcNiBNq1q7aw
J4hnXf083/PFA4GnJ68akL33t2hJapdHBrwTB4bfOlmo+Kc0hE64l50MxCCiv5fXqvsGXEd6qeGZ
c9YiokSzYDhU8+5YOMz7gBEeITm7rIaqg4xtNeyiz4cWpORfHceZpSyoadYNxD5xBtMFoedecSWC
D+A6nav3MdSZL4HdCh5CkYaWFNNqAOlXZtg0wr/UuuVcXt8Ww5oh5nLqeeE9MkJaG5+T4wHj9GZb
W18jtxINFH6fhjWBiRV2DtZtiagOfK+kl7z/lIrboL2WbYXLfZUvxHV5rhk/3piaS+DUWQa63m0g
tJ3hisOfu+YvavM6Uqww6gWGj42fSYd2Xcb8DLTUsSux9P+o8B1h+9QuHU0o+1SBjZ/eQYPt+Ehf
mUlzOhga1EdpR5s295WTTHFu2DU1p5uNhBkcyjp84Dh/t/vXSpta0BmFr9PzJpq+iaVq7gvAJKCA
GxkFK6EB1nUHOn6derDrnOr86HHZNhDOltxy3H6/fRwuyoU7nB+tnTJ517uDI0zTlfl0biILbaz8
88RHuLTd4baccaBzvpbB1eAUGmOU0XvP1w/4Vrm+mOkOVWyJ1Ngxoo1Y/FSf8Tf9Mo+3r8/ZCjNN
+Se+e1DsOY1sQLwwkKWgZX4Jruwzrirf9HTi+fAnfZHn2boxnAT+UR1WjLs6yB7lgA2/204EjePt
ONtFg0d4pvT0kz1zsK5fSM0cVtfA9X8HZHGplsdbEFUhoBOGIkxjZWF1j/0So8XKUXGtlqyYSBcR
1VEyFr4KbJHN4aT1P41BRR30gzV2TqMtdMbe6wGKxtW5ba6bZJoAU+i226oLhcgpKqw9t+lH3wUD
yX+MziRADkbQkqdtHpfkg7HvbZPsGKw+ptDLiigc1bluipnNqJbV3+S/2z3U9v+zDKdJ5YfrF2Y0
+O4pmA5Srf2n2hFh8F9rx3/5/n/WjiI8JBQMGNP+qgT/KTMQ/yGh2FMwpRUFBIZ/dhukloX/pJoo
H0xpEt/9s3zEvEdD8kuVi7Xyf6mXETnyPxLW//rSf4Vp/mG2qdRG3yo30/Dz5R068+BPNGTY3PmZ
/cUWdgkDfMnvgUCzUGMxFuxqWUDh0+Yk5/rpCqt35ef5Oe0fGEMsBZeJwgJxn/017Wq1ZS5yh31x
PrW8YiDDCkXAL1GSWOqx38Zfyj0JCQ5906rSjTGcOdbIHNSlfCdAYNJ2EQSfvHXIA69hB3QjVZB1
64lXbT4D6rlkOZvtCHG3iL2E3QmCq6/rIRxnuLJjoEY912+aGROfnWAdpmn5jJ1e5T8cMu5vmD34
AGrNh45LTRfkFAgdxuyqR9U1i51R9HJYEkVvlQk1tK+gwY+dO+gqRGwtxZBhiYuQNwp7EeDQpIwa
nwKyAq8XbURqIwwYrHfXNLYz0X4cUjYCWFAfeMwEJpll2rLBxid5wZOjqIidQNUMtxlB7mwnyy7u
0Hc1suO4cEy193WsqhvBCNvozNkwmm9a6KmSPNSKTA+O1PBKvmzJmS52zeYOIKFvgD9kRnB04Aws
XF06t84KdtVuJp0f7wIuDVIItvvI9pppq0hM7phHYEVmEBPOmIzCHiY7I6GWfadkY2+YABmHWKzd
mDyBwm0hhMuoGoc2Y1Y1kWvHZVUdriw0IqfHikKwVgPW7ZiH48j6GdvXJFDzEAu2/OFIinWHBvDV
KLD4t8JFMpdgK9iI4E/A3HDFtKYn2UG/aFlil7zg5INz8DRcou4SeAKPQ2wuDcaGhnJIakaIE08Z
lolZjz5xHuw/IqSlkmovDls85nIuuUBA+AWqKntpHxMCwR6MWy9lpiaeyi6EeDxxjyNeqneFP9Y0
jW2IpyxhqturxN/gxIYfUXPEmqO4r/lJ5oKchxtk9fIsztUxNAeb4IZi8OAVQ2qVd0mKUsbDzbPC
K8phePv06lML1s+8cQhubFO1aYG1jZOPg622DuZzVOaMbGVX/Ii0sKRiub7dIbuJRwOqWb4WKbJR
k4gglRX1lPtQ4A950Tqzf+gAbFi/B/Gl/xjva4Gi5nZRUyqJyanIKjqq5fZGGMEe2hhJpIKfUIXF
PqoFtuay/eDtxCckHiaXj14L4fEhIRCPX4zUjtxkdFvAnK/t9a1ApQLaObCp2NdlKTJCGX1Mm4jP
HiwMMHEHtYpTcZqIZqa8iduQehEMRTmq46bH4Ynv4UAe1nsJeDp0phePIsFNq1sOZ06DSACEnGk4
GXulCTsc1pOEvKhs5ze9Wt5xagHE1s3NvXkQLwsFs3yv9X1Zr57Q58Sg7yFe2rP585gruxTi+fVd
cATSDLKQAeIdo6tuvCvWU7sQKBJmp9nsMLZfWfkj1btBm8IdRiuJmbHj2qEr76o8Z0yzF19pe3rN
q9Y5KxuTjm2n2A9p9Yg9Xkm7YLwWGLzFKhEvftp48+u7nrsPuN/kXXBXfLSG89ufp2Jnv45y/Cy2
BGngPLIZ2KMdQ5nnT+DxlcnFQfvWcfRhrXuOrLn/0xu0icGubhDFCOVX+VvfJzbMP1CQp13ur9//
zw1a0jH71EicEGW0rcBCv1OQJ0soTOhwqVPwnMKQ/o/4Dvb0gDuYFP+SA/LUPzdoICKEtwgFZZHn
/6vwApEX+K879B+OXdcme7s/7NDaLCquOIbq6KZAOyqPrp1G/LkzHvD+Wr/c82ECQBoQUqf+KvhM
fQ/1SJ/ox1z6Q8ak14mlIDK2RhLOHmHHMtO7HyhzlG3PkExbVhJZJIZP3Qj4Kvq/3cz3E80iMpaf
KEDFdSAXwZuVq/RoGoF8GmjxmBi4GBL13xjLMAknDYZMLw3WCHuO4hv4bGO21HrCvOoP0QofJm4q
X4Wu1tlXT/kysJnfPHq7mz8QCprhjSXjLZFtoshoeMST+bRlauwfwGQtsZ8/4uAJdxe4PoF1QbOr
2kjLnBHLAYJVmP7hdvw4qicSGFDRUVvnpp9BuaRdXwg/GgNF3K0q5hPWPQGkSTHmCcSt/C0fbj93
ZkkHQJZ9BLzviepWlw+6CgHLeaJ4gB/FjL23zPf0RXzXl9qqYTr0o8MkZDq3RXMW6AuFsewlp7RZ
GQ+v/hhDOBuf+tlktQMt0OnbPoVpTCW4LTTBh5+IHjAN4MgAFOb2vceWCLGtRSplX2Fe+SU0nzoc
foiaiHO/N7BBcbrOSRKX12Iy2rgFZFGhCsHuJ1MhDLpjvdHW6fUsdWdDcAHSyoG9yOaKUdYdlAkR
esur8fCfg5Pq7gPFSOGId0/Evghmg/lS7/pFaaukEADCWyLTkN5NFIhGMB90Lxb8a6B7j5JZSCXC
DbTbbS/ZgAZsTk3I1q1WfshMRmaGsIPKwEyeSgdiZHecudVbG9yUtbbV8k/TeNdEjxIh3uGbzNCy
sUA0ajB5z1QDs1tTbjFpiZbKy6ME3SMwVAvJ16DjfO9x6Ido/mDs7xW4uiw6w312LrOnlqHQQWeK
A51mks3lmO1Pw2sctTSq0xIWKU5VyNu89JBWu/s63Wbbcam9wrXpsTTAiuszAweq6omV/6zWqOwm
YObu0gDqdgqRt4HbeGiuoVCeiBOKiuMV1YqIKgVBzRMe0PDJzizfF6M6v4+u0n1+tSB515P2PHcS
mysztmDcyYTj5J46ABka9IEfDAUy6O65sU759BSXI2/LyxCWyRrRrA22Ow7Bnb0BwVbyJrcOuyxI
gbwDzdmwe2Xch1by2SVBvhGD9BFUNygmyPwIdVv0P+ADUso8Ltrmj3PdLWTVNx9+lAVPvo3cBzvj
jRZjF7ZCt5cwQQR5KZGujccOrgeHXH1GPaDNdpw5fb7D5BWOsIBGAAdFtyTdvNqkuF7593EXcuUU
jKYzGHUU8tE6ept/o3xwukdYQy8HVRL6Y6fZfUN6JFHJuHavDL82SZbs3ejm5F45qWOZfDIDse8+
eBO2vW4FoutoIYM1E4ObUHi6NMVb0cHngkM8XG21WnKkMOOhweZzbYnDV0m5xVTZdK6x252Yr8AC
WqYpU16XyZtDdxAJznB1Tc3q15lgk4oHbQL+z7Kxo4XhYYRuwDjQPcPLAh4fQvXz+Q3rjDpzLqP2
ilEngYIajrAUFJTFnKBPxXuGIuqlfdU7jGnbTxjmMJOfy2wveQz4x9obGY3zbTO3DIXYz3NXZ/m2
exfquWGj820Js3IwHMAh1CIugIGzAZO3mbABeT7a0knF8xgLNp6KzpNQT5/LPwAgT/Lo0Kg4+pw1
IiiP8TtCKGt0obUBkI0ub6u7FniK8FNPg+prjvaF6ao10Y1wQh7dr3aLPvqdC3/7PMbIvKiADIfE
8+3VJw8SqNTTXSXskh3hgnbqTc9GsJio8LjFri7ZcrWlLoi46oO7f/MFEhjZEZxxV8wfKNRT4agc
5fj93mw04BfqcTSTAqhLZ9Uegts7a+Th/j0khHH0DjVT7YDDGzNbbWjl7l63fKyxJ4R3lziJYzha
HVS7lBM7859LKXFe0oWGneangTJOmdwOwd2p/5tdtEiCx7r5LI4quI514PfQm87zG2uurE3imvEF
JFwBG4TtivX8jpSTVe8Ph1xzbqfe7w6TrgF5A3KMwxNw+GRe7Je02k/qe1eKPE1YkmY1rJpdu0O9
gTtiSR8mzMUVdbvpyr0FPvmBcf79jJEUDBWJQYad+snK2MOm3/18x46+rRu6WMa23dsszFeYaOea
bW7Zux0zjNY0vOw/8KXfAry/LfX9KQcKfMzQ2JuOHk6fb+oKFt0Do6uI5dOmSxo7Ox6W5dcM+z7W
2yIw9hPRGwYJ7v38SKKE00v9pr9Hezl18JrNXgxsmEUbBjc2Wq076+dG4egzCw0eETFvauprpV8q
oRkSjqZ+dzBbxreW9Mp6wXXZQYEJ+d6EgYyfanZ2+e0vHD5dnx3zE+DfdoENP8fB4hl6zQVuBTvr
kzw26LXwgy1QSbC06rUtFum6esAa9ckP7w170M6qfz2mU5IL/ETejrm7Nqx3d+kvtzSHjLbhgFc3
0LgXosDYSy14qPCnB0u1bdSNbgY9tHuZWvXJkmYSeJJQa1fjjlVyIl3pPo1PdEB9Zc2cYKK49Q8u
Tw0oGPMtT4HrKsDeFdGQnDM0WSxU+kZPwvIdDFovbcJIucmqvbIcX7D4QlRujMH1MwkzCCUFtZbu
o+J5Rt5dhDrmwJAr1nAhzE1jBI39cvhhAgT90NKt1VcBp+Obxc/Tl/V83Ep7cVu8RfiKrCZBKCFu
AZxdqwPa/+y50WqfEDklQFyAeV+EIBfdIgqyuerFwexknvTTh+iVn9pAf2WB3pCleS4/Jbv87IQQ
Ei6Sx8q50rpA/xcIHCauj/vQlhZEK1vNS6sSpOx0M7uaMBODLg3HgVhwpMUDnbTPgJBe1rAaFdR2
+h/tq4MdcHPZJ+mnFu0lgxiuw9E33PuC7iYlX4e1wpKIybLb5oOEVMpB4u/e5GTOj1Te8o/7hgfV
G6o5J9vdPMH0OIq7z+3vtTP78ZHMq+tEiTIZee3z1vbidX+6bTgADZ7czf6f7ZhU8ENBNhUaER33
FLyAfr3U3zQPzr/EvWFa8men3H/3/b93TMI/xMmd0MRmTNIRhSL3/L1j4ilsb6eoOFnGHOiPFobq
Pwy8UQSB/g0rtV991u8dE08peArhX8jsHoPp/ypARftLv8SR/0JUDWLfBIVMrL/YgMhFnZW3/Fn7
HeRLC8oV2ByTqet+hPYUpsfkmB6v++enlllfhZ9TQ4hOss3DLGyhoc8gN6oBvLVFYWOobxvfD/fp
3UPooVvZbfa30wzZBgvo074fERq9dl47V31CuDTZFl2yVH1pkcABseOD7vzhTfk3bix4wP25F/yX
18ap/2Mv2BJe09xE7vQOR63XE1Wq2zK9M3+JOzcyg3IGT0rrwPRe43TgUqOPDZ4Rkl2FUmatWDGt
B/pP+kFq+jHyGkbEs10VjQwuJ38Z9imcRs4YA15ml+JUO63bUzkgN3xhJxUkgDs7Ip3aWLFVYtnY
flT6eoZmiwIiVJu1dSmJRlif93v5eSC5w9KlvZH+kGEMHBqGnFP7AsPw2zTd2pk066L9+alf0IyU
tCSHZCBEfD67vz5BNB/Y39rCov/IKYW9cVVvBxBgvrDAvsNBvO3hqF06qrEl9NFF0MZYJHLLv9PK
iP/igfOnWwlA4M8nfaYL91S7ctKTmFo3+pA+tAw6A6Nyg4q8z2QsRPJT5S0UfX2zTq89QtbOpWZz
EXzY9yFMT7S/sT2GFKu0AOYj5G/DB2E7i/SUO1/edHoy5yvMPHIdoKfG7j6e94vi0r+18NRYF1fm
/rZiCGddV82iWhByE7ADu/ki+cJMhPodPiqTLL+EwwulcIdr5ah6iYoEXriUHNEO11pKDDuzrPlL
jhXPr8JIXPVZYeuXh26r5Z6sjWbH47CrXcRhHoo5G7j9N9zp/yunwsHwX67iP65NpjTNJP6AaAhl
34m9hJvlTAs1XHOBNylZpdeeTrc/9U1n6edoZ6jQ2po9qecyhDP8pMHIp54eSkVQz7X240TjjFwI
nkhjV+fHefKgqaxVf1ZUy4StcEq/o8x67pPzcwUGn5i7LsU0Q9v+5h29yg7i16MIS5V53bz0ZfFr
7F8fkssfkoWvD4Q9/lB4WgNDnPGA3cMh06fTK4FEdznpbpvRnyGMMF3NWPGxOKsrrD2mGNRoi7Cu
qwI12jb5j4IoVQh1RBYNMuYlhNGejiB3BH1fILHRvaayJcGZbqyDhE0RYSdcym+fqZXiasH2yOaK
QW+rceNhTOLdgcwjJ3s63QIn4OeWZF4qO5GZNtLgN4FZ+3VRNlu4PFd5c++Wf7MMiROn6E+CuF93
xC/FvsR6L/wFkiqvtZSQbFb7TDKt2gVTXSI7cUenOUaEOnHRvUs2oP0cl2oYG5q2nogYWJmqxry6
p67kf40+YLw/rJAHK1a962yC++znB/WaT0MwV9GJM/DYkAQDXANwz/JwxqhigVbjBV3Xy7m2kYKd
z+3hVQ3ImTrnHswPeBPAD2/xDs1CE86Q3al7iE3otpXDfdmdqCqhpA7H53fxtOSYbmr4GWYwGrjm
u5lD2sFhqn1w37CMZkERIypWQZkzLHams4tAttS/WdO1vzuXf1nSyU6VZmrBzdB4quxW/ZraFBUq
2iekUGAiN1TlIYDFJqU5Rv30LaHef65uu2gbvWuqPX5lNP3oQzwuo1D1UtzAIRyLGEvFftGvac1Q
jck+82RDpgRO9iDZusdOBfVoLy1sO0jdmxNkOY6w4H+3r/98tch/9wKpRP54tyOdz5OofkAOMreq
NA3HbZmBjStubu1oNbPjUwrR7utv8gJpgfxVUJ1D4LfarwizpWb9IO4GM289lIAuYNc2Jq2MvtDU
IC299OYrMj7rRZA+j39z4NMy9B+u8l/7wh+WqTSvBiFXi1+kMWGHw5OjO9+dBfVf2aE7Z+ohvHfA
L+xHOL77zxyi1qpRF3F3ILUiwo3bItwR/nG+ljwZ//nsfqDT72j8ZOtvjlX+Cw3w/9Zr/++W/Kue
Myt7TZYSDpZ+wZkFlfMq+QvdOq34ByK5o6ySp31dN94kTIZRM5+qht5B1zWNbEUnmtdrJrf1+hp4
fTjVDrf8VXFREXvKiyksmQpdmW2dZ9FkBdUUK+oKof40XqQPZXwR7th5oqM4T2m6mltUEMtClP7i
sf2uBK9uXkwKCGUhjbsBVhuc4rs1oXwa7G2DIOwgwgkjcz6arfRpXGBsXS04wdrVjheKNrlfRUAb
3b4HUTk8VygxiPMsvatOMaNlCz31jPjtet92SK82nQd9fMmjrp6DpbotEgiY5P+Hu/NabtxMt+gT
4RRyuCUAEsyZoniDkigJBJFB5Kc/C33K5R7P1JzyrcueHrciI/4v7L02TTsR4RjVJjPL/rbYcXZz
xSHrCbH2SK21Z4K/4jYojnpmPs7FPUDt650BqUt2z9BRbTf1trkZERyOBYAC9VuvrsqrnRb4fJ+Y
vebMcpLTezH/yBx5IqBlrl1YT9tsmkzzGQgpgDe+q53Y8j4smnSEjcvcubK26yd25JQ2/DwPCT9v
zI8PHHfs8o6Rc164zIDs94X7sTgfK5uN2WaxeUzsY7x4uCmGZzA6M99Fcjh2uzDKMKN7zLp4oT0m
5/G9nbockHSK5aSyj2fkjIfRiLwYr3SQJzjiv75Iw1syeCCjnkufyECMx4tRKCVat4c0US1QqS/w
T9ykm3wS59Wi41KSjxdKz+++BJGTZho4XuGBWIOhEzQbrZ+JxA2wYQcQkc2xAIcTUfHx0mPiK9qN
BJ+vk6+JTOUxMaoptIjhxWTXqbchVS03Mft/LrWSOlZq/+UdrY3v+N/e0Y2aGEFmcK0tHQxdgure
BKJMJ5FxhBFxwLwK6QA3m1sS3uB08ANQW0dzlbkDDXJm2dawiU8yND78AHGKxZvqk4kmVhCIwNgn
Hxjs5DlT4iTHNcsLfb1C72OCRgbly6SGcf/Q4BWT5iO3if3hy6mPz72I+miiH1AYJAwGVEbGjO5R
Glgr4wTn6rF/7umHHywHBMdcdZPD9+7e2G8TfSRWvF7zd4aB6nOVYh0ZBfrAS4imSJa86pGDfkUN
9q63fHIWbmO+R4IkTz62cCOwRv0kDPfZ7n8N63JfM0DVnGfkau/6AZTTRsRBo5/lDIMmjQTnEk+u
pjiBMi+kc1DvovaSDY5/MBh3mu6ZJITUzhd14WFOwQH86xL3T8zaGts0EY0OpFt0Per/pydS+PJ/
WVf+p+//rfmGmCTq5K0BI/gF2f2z+ZZ5yauiPGJ0xV9o3j/k6Pr/kFbNV0sAwsehAL/vz+bbsjT6
cm6EoqNJ1/4OMglE+L+9xX6/6/zAf32LJYUQ1V0UVcBLEQ4jK+5n0fMY/BBHg2KELgWhePCDLc3E
3DQLxH1+ZwLLYpPqXWAodES3zHqTtRjya/4DPQ8aY5YonduWKz42aquTbXzlA8IyvTLG46v4PcAW
acgwePP5KdfXwuXVylfq8Pwn1RTRNw0b4Mi8m/InWnL5BhzSQvMkHbmNSKDXOocFWds9qVB21N4k
YU9OMx0zHvJREU5t/UNo8Q+/J7F2re6IjVMVTn5HVJ1pk3Ic8DG4XKlr5uiah2RUScH4yAeMTqnP
EpAG+pl/xLisHP/yiegmFi+lsDfRZ2jgfw4Sosz3ls4CifZnyTbm9VE+biLNpty40DdHSTZxNKMb
z8PY4r4+nhU+lKUiT2T8f8VOwtvNlM7xZwiaIIIMq+AsAEqEAKTQyE2fk+PRmGv8g35piryVhhAE
AUy9Hk2740/7YiPKCyDoSedgZabPldn8gkXUcTmpNn3JhKs21xCuhXYz+cZui5jJmAJnWIy7IAiT
rm6PZSuLM4oHSj0nXI7VBGcLktgB5g0S0sz1V/4qX+7QGwOM4uK3erwRBbmCwYihcEPy10yoj7Al
K+YApF4V4iKGifIQYOl41bAssDIDD3f9eq49p+p35ObH6MaCMgGp980jS3edOujEWbO5/Re0FQ1f
WMOgF5nNpHzDPNURAEGmJMuLnMeQIeMIOey30g18pPVBCo31AfJwz1Z7r6yfGP1ioC2px8AXbSq5
P0Cf8aBhJhePjc4BKVz4Ya0x+/XFwoUf1u7Y4prru+5k9xg35rgKST3uID1j6hXdJivm/Zd4jJG2
iRcldjV/1RljsWKcU489vGHv+q1x7rM1d2Ibg0SMeZ/cqOgfrCy23YGvGTYRWqA5fs+FP83ufI5n
cQvTb4y64WfS8bO2pXyecYu0sUV1xWNy5YfNUo9bzC3jrvOD+FrWZ/0OuBOgie6Q9w7KbM+fsrbj
GbpXkwYoKCDQ9UiQEo8DPt5hxj2jJ/dy1P0Y4dhvzYr7sC+uvidueW3tIWSSoAmtf4393Gl3wDB/
MTrvPBEJZwfS5Gliz/hmdna6A5PTWNfX5gcZcb+oWIxTa56zUp0OmwxBNHeTU7UEw8HVYli0x1b/
KEfnpRsCGRphM6H3qBDZzivW9B0F6M76Cj9BdL88Yc7i2/vCrs/UzJrcSNMpoJ0wRMPnmixVhORe
hnZ6O6xBdNUTXIbngcpqCTYcMJN2Zo2pUSqvu1tyN5dsgeotTC7oEqyTrg8KN9kOr/wFgf04rhIC
u9pTZYwbIjCW3zlv6GO7Zczf8DdzyaLopnsj72kke+F2uCpnqJOM2NwBPPCdn4SZLBH2qnyI7lHD
IIxfwtcO/FLQilfWUS3TezQZvIGBe26Z4pBm1x6Z0clcQrtJ6jY3PssHX+mJcnb8Aq/dsrSquG18
05KfSLGKpxhbroN6EqsLV+pf1pTgp9sKy1FxgqYdAQSeIoQEOVQR1qYAbrkMYqN5LfI7F7YL7Nqb
xkuPTzxWXEXTK8u3dn/BlEI0c2wP63p7bsga4k1GNTqGJPFv1bncrKhwiil/Y1HGY8Pum/yrKw+/
PK7O6PMAHYXXam98R3duZ7PHWIzibak+VqW6jLie37ljkDJNtHlrfh53iowl7pW5LBc8jOOjLf5z
04x+qZ9wp40RQQYzeJMO/b/Km/8CcPxP3/9HOYKGWWR0r6JGZt5ujsrpP8oR1FMQ/Rnso3KG8qjz
qT/KkTHFZNQ+i4AhAUpLzI/+KEfG3DxRISl6JL7rCLL+TjnC4H+cLvxW8v/ltst/nTX6kp9ZsaEY
M8a0BcMH9loTn1EIG8RDIpJOQfLxpP+pFLuSnESa5ejzeV/xegLGguyFAx1q6r2ZttAYa3vYMrrN
WfzbfufRExccfKMhKZ9qOHa05fi/ek0joL3V3/H29V0l6xfYljOCVy0bodC4utgm8g5BugtqbUpZ
XTbLMj6wkQXvLvzabvvVFCIR1Gs8Y+k95taKcg76h9xl3qEa+DguhhRPT2shndTwONRvuoI53E6b
4yhUnvUsMiJ00ESGdHMVpViPkprxISIgtAyOxlJWxTLkdo+V9Iy8F4oKq6L7xGGhDu9cDuW0JGQp
o53k4XOJXpfCzSOeorQi+S4X9sQiiLTN/QbI8opYvivXAql061eAXIF99+bR6m5xnoeLBh0Xl9gY
iTXWJASzvpdeIxC6gTecBMsjsk1gt4wLffVk7f6YHoD/Yv2BGrUW0aTDMjyUbIi9XnQzbLTNyBIf
VepR75HVqYZe2IMc38noaeSbJN+jijV64sT9sht2qHrkyxjwDF3CU8BSGPaUwURT/RoKkIuoEX8N
oGbx5IT44HAm+6Rjl3gy9DkczFUcsiIqFp8I0mr4Vlz8bGWT5sasfi5rcB49lyTn9GjhBkC7UZ0n
Y1qf9JWDkM+6LdNqIOO4yVSYD6xqDaeUx+1rijADYanmChQhMdiDmmnE8zQQ4Ti573bfVFmn04nw
Oqqmz4fdE6QKitqWdWCPxPLRgHMUFsoIkO4OFXrg1Obkp8wj168qVxXjwz3zEyouOfo20TTHSIZ6
OCW9ik71IU6sN5ROKL2R+cbdFPaXv5agz3yAapEeDkySDvQvNIgrN5wRctl7HAsoZqB4Yw81JzWc
mQrZ07Rcy8Yivj0SPqBto9zLmg0r4EFnG5wjsC1cf3BE1TOTNROBfJZHziBPQ2uP8boCiDeLA95q
k4JtLp9hF6ezk5ezeY0/DtwwT6MLqq6cMOavmiUvMt5Clxhq1AWDZOpkLq+K8MIJJHxpsk0rIfsr
3lTlIZG9uJhzbPno9karqlKRzT0eRZb3y3VJ4vaw5Rv5iLzO3Mytx7EM1fWvY4y3Jb8MeUh1eqYt
M31bg9X4xP0EEYXboxQSjT9cP/xveZRP5DY5snSQF+ACQQf9ELoHmeLpvjBOjNpIdfNYI7qAgsc8
m62EK15SsiWNnfwWTDUOVAJIFi86hedJ/DGuRO0o1+xSL7Dq0t48JtFXPU+hcSHCPOkfDB54RZMb
ueoXEE/2o5jAWDPMWaN7IVnIAd2uTa1reBCOaL4rlGbs/muMT6UTfWgo74z7sDKTBZJJkRiehb/u
Z9LuAQBjh6n98T1ynkjsJFzRzRZAHTBGbmp+LtcThh8bdfaVeWnL6IhljTCtnGAyITAKomiGQSLa
JPX2hQDTRBen9ZNU6adx9dmWTmzmvL7QRHRkD+LdV1Go63XqSgqWwGd46Bh3tHedOZ8JWaYQuN2U
EpfqR6s/5Oz0emEYAAUQDIrds+jvw33ZD7blA6tC7D9Q8A2h5NSgbyUJAl25bKEOIF4zwpNuHWgC
SH4vaGfuZZ/ZYb9rEnSY5RvbghoFi9ihzQQtFWYnERZ7z023sEaLXy0A/ZXJ2xPwUu5CX1AOPSie
T5wEMMNs6ub0ZyReEJBxI7heuaHyWpSXF90YCEvEfVg1nOclBhq5wBP56qY9L5Ujb+damJnhRlNn
/GuGSwFy2ByKUPBcmiaKN54KqAE19EdWIcFkxnuVYZVZ95wV3/0uzd7U4EwK9ITMzZbXiXkbkM8Y
a2VfXyUK72EeYISB85stLAtRMNUWVjbWwqj8HQtohZMALaajGYlUXiGiAMLfCdoFF0y4Ux8fajzt
sLcFM9XnfVtOpeqz4/L6XvnHzJrnrymIm6SZ8d8qhocdpgQgutGXj01QQ4M79Xnj2vGBxNcZsriH
p6CTw78nuUyd8A2CYBrF8WxQHdw+o8SeU+QD2ZnoTwL76bFQ9wIiO8TV08O081g+lvKq4b4Ca59X
B8U1pwEMi0PqErDJ+NC4RM9JrTjaB8koZMzXX0wyd02wRbxnm9OOWfwvnP276UGFrxLAkc/lInNE
wFoA3zXLNT4YPI4V5Kgaa48UmiLgWCWYqiu2FWgFNX5drY/Dhswtlsz5lMKzVpFv506ApmBU3XJO
420vGZ2tzZQkBwYPLCYr8Fp2cqGYrWzNjjfAjjh0QQni63vT5sHY65iFy2XT5nxjZK9vIOKsc1Cn
FtjIzi1RSYqEe6+Ro45Kq2rJQnDoTlw+S5q0DiMKDdPkeyu8CZsQ+WXCUSmzgi8mXjzsq1lINbzl
sFvg4ud+sHAkNQF0RrrvmTcmO4tpfPnBTW0YdxBMDqQDZZTtT5r9M0cTJjgRgagwdCqf59mfoSSW
tZmoLUv13uV7mdKKKy3S6LQlkswGNVWMFg9P9KCwPzzpLmNX4RxaqPsSuTV1FuXVU2Ij9Mb8hfDu
Rveyp9fn9rYvN+FSpvV1EmGlGCpJbVvi+exnvg6z24shPaf9QLhi4MCYXBQIS7PspgufofSG/eOc
hR9g/XttYTRL1N5a8Fmjz20fNtmLk5BmRDrx1L3Ua1fMFSzp/PpxZIUgdeTX4/H+Sh4bXkuqSgHI
4Odd0acVC1viIU7CIt+km3qlCLvwqIbTVnYDmWS0CYNsmi5aR1+1WxjHxxHjTBK59zoyW/URUcGW
JA9nmaqMyzOusHAE2CyY0XtDkEGizwn6dOlBlXPnr0yBLYKJm1jzwojRDSx9BPOcmeka3jFPoDQ1
zXct/dB2TxUlX4GdTWhOJpwbxQumWEMfe7kaIxM8teS5GpWfvMIistBZSjBN4gSr9mgpFFefCsMM
SjW9UoDcm66MXhYFFa8c1aNtXcIhwwRH9Hr1Zt5MSgJzHmCy5/ZxPadKzu2+XHZoQACofAVv+Fgs
YocRz+duh6TQdAWuiuyyc3cJCmYZ+vY/djg8diQmXhLaMDwiOoPa/96NmRIj1r94Wf76/X92Y6pO
dJVJo/fXbFkJIImhKbhSII8YYFJ+78Z0hSBai5ZMxcdKy/VbN8aH8KEahGSh+PrbXpZxwfKXbuz3
226NW8zfFjAkCcZxLOfmTGIXh1mtAw+Bv10Tp1RhAEsBSlD93eApi9A3RTAY+CFqNAY9ZZzLn2FJ
9o44UxkVxRB9prq1k7ttMqzz14KPDMX8ivekpqdaPKWfOGO8IvWONTAFPeIn2w7+CZ9GDagB4PxK
dbEHIIHSwcZrK5Jx6r3Ce6QeqSPibeRVOGSwNKOKecFrvOjnwpLodfEmr9s9MBCcphVTHEplctHp
+c40YJ1rekwppLU8ZjMPt3JhesjJPZPJB3PaCYQo5CuNeDHSU5y8a3RKKU7Ne8eMikhrmd5h9nrt
Lt2XOrZrWCJqdYlP/MRKqtqZoPWB3pfvaTgr35vtuJ9twSIk3oPAkSc944uajGEzeynaVIrEpnYV
rpeC8YNbo9zGI0d23ZlrrB0lPCn1XL73pB7RNGB+JS/DWqrJRoP1jb9RWQOPedHxMMRl8Yud1Cnf
4VR9oYFJEJjBlXnWe0KEfjEToALi8oVAP+H2vGBQybQgw77ZcdO4J7gFLNe/gFQYH25uHDlDJV0p
yAX1DI11RP3zCYumk19ZIUZ9T5i4vWbUsqyc2wMb30JH2gb5SGbmzFdz9xgJ8xN5GnE5FfqJ6CMc
TwrhU3e1ufEd/XMdmxj56Oy4d/h2BfPAr2p2+ke7wQ8IQaSYCG60nlWfh+gMIJBKRSEHcx7sqE7c
ullScNYz5Amfaj/DPNIo52LEbL+ebiwBuHGe/jIzWCkwEBeAc5CYMoP3u8/hUa5pRrx0SU3Z74aD
tKFDy1I7Qx+2678oMcnbGUeiFTyvD6pIQfPKdxog4CnVpSMxiMeGm8zjSPh8SGoo/2U+GCcEwIQd
0nVw5RD+UOQzuuIWZny2pqGB0YLWIGJsl48UnvROI8M2cfii7aE3p8lBTXysxqedfOBoWc6f85KM
nNj12+1L3vbfmTxK1fgthD2hHeQtCDaHKobpKtAcfqaxerDQhp41gbuN4Ww5+Ku4mVEU+RGD2GHP
DdW/2o7ktTqbsnvQNumnetopCD5Q/7VgLsh1tZCn4Q1AkNwz9af1BigrMdjX1tKMH7GV0l0Ig/io
Hj+1FS+xaqetPltYzu9PmoMbrATGJeGsfcfKCl3FoiTACreksou97DET0cuFNsXka4dBd/NE5POg
aQJjoYcwde8JnK9lyp68nqOQK6iP+GXG/KFNsVqob8d07W8kztl2wvHrKueWvlliiU9+rRkzXnT0
x2gybUhRgMyoTwd85rUxkwjRwMDCv+c6Zox8KhGBF8MS60HCLMOfsd421L28qg49+1/kSdWUXPvU
w43LA4M3l+uN5qaZ77ysBYoFmWGEnfg3VR9TstrXey27Uutl73h9TEAo5DmcqSrl4FymF42hjEG6
hRPopds81wKjBpjV/nZALvl6V9lAQI1jed/N5GTOREalQkWKUKF6yhwf1j+AmmKq9kjxaImvKixe
KG7MIBgdMTT70bbDfbj76wEsECwN9KTpe3QJnvMOD9SVP6pdARGSpfKIEoGh4880cyvXZyYfEYIr
FF3b6FNTNhgHsCjwY4M3Ou6GAr4fDefiCqT8PMAjZOFEarAnVyzkkvcknxdHhmDRT8A0bF/euc4X
TP4hB8XuI3B57Y+AKHUqYiT6pulnxGaeeckjryt0VibLodQcJbSJYgpKgph2FPMEPcnRQXh98aZg
uM2/rCFZKdbiAofx7NGz3qL9QZ3JIOcOgu+jmOeTetXDIclBz5SbfjXqKkaxQjHl1TUWf5TW3NVu
2uxDB0sRE/vCmLE5wcttfrNbkf27jzv6OZxpUoRsFjygyYs/SjqBIgO3ubSfn7nX4ip7b3NSu8cH
UURrcJWZjedVBj25JhppHlf5pik3Mlqa5kb4OF2cugKfTPvhI5jLGXSwDxVIRglsdgV6eirAicCR
oYQcU9C4DHE9kskR/Bp1MaJNfwy3aC1EqGy6I5eXbp6/A9JkfWdN+1sJY73vp+p9QIXLmffx+HDL
59xk3wJ1Bp8NLwcCMwiDe7hJz871iqSN/a8KeWcpvABbcchzoenxn7GyID3LQrGLK52HTgqO1bf8
KdTzxJx+ZZ976CjUze8tLZ5lqyx/25WxiiP0Go/LuBq4B3OLFaIbX7geIlStf86wknfCe+yRnAoK
Jjq188Zt78XK+EldLCb5+nEI7AWKB2Hfr3J0h1MuC+d0U6G6JGZqF95HQn/zrU7ZqczZk7z4qynZ
7Vs/qatJuvA3wrzYxmd40HRg0HNzVitsijeNuORMPbAiNNHx4RV5523dQEuCc4aDCWUL0vITW2F/
/uC8nz6m0ga/FI++r18KNtTBmZcI3Wd/pJJI7sl9HKMUznCuzv1E/gQ8gwiod/A1OUqx7I/jQ0bP
27DFUe7ZRV4wS7ooV/GH1/WlWo2zMqyw8PRVdsaMUFesUZ+7jsVwfQmg7Pt7Yfs4SddwY2xHvJJ1
HO7cK1K6GE+9fr2rgPxIhp2Wcx0Yj0FajIRGpp5EmEHocO8S8Psr171om7ocqgsywXZWOmtXwoI+
mz3P6whRZ6u+iXDJvMeGEXRnvxHDx81hhTUr3eL6IvIASP5Mm+kk9NTOe+uEJ1w/3Feu0ZM3mrFf
/0T2nWmgXXnBuvJGJvtoSjMdy2bvOmkmd5XAvWoBadgDgDQP5uxTp8mqV12BMXhJGg1TGBlHNM8M
A9Oc0qOOu9mvBSvXSZTCLMTaEkbBUTvL7dtra+ZXXz685pJNOBJWrvcQKQNreOMYM8LkHHnixFzq
oiMVypyW7dwPy04/B4fsYEz1b6tcKCYsLDcj0Sefgf5iyjUC2bi+8OuGKp1nXjFN7qwJb7z6nHLB
g9tuRUpEdpAOKzvK1wn14lhT9sfozioZ1eGvQeBYS1Z7ac1tRgF3ZavY7PMFRejadBsKLJ6SOUJi
UVyF1/FHeh75JzxvE2X+T+65CO6VgOVo7JyAL6J/+S8bMNUYrf7/2nP92/f/2XPJSGtouOD1yFAg
/7IBs1iB0ZD9Oz9A1kENiRJdlz7Sf37vuVDiKCOPiE+Sfva3+JDyX7T2dJu/33J2bf/aceVtl0hJ
E3KWcSqBWYVTR5khsmidPhrJzoopVgHLJQnp/sgPYrsr1YVqeNLDThg2MHnrV690/dvDufu/fu/3
VGGWff/WB463CiwSRiJgp8b4+d/6QLH0k06OuVWJULhyl69i9eHmWO07ny0cyjhNp1vjY4/0/JkZ
+lgFS/lCUj+1pRScn9Ixjz9gtClMZPZtA/ScNQJRluLimVIFnfsDm5apxO6locOAcOnL9Xi0p0w3
uBBQSQX58cX+vvpqvpKz75DGslaDi6bMMJ5jC2ScgtNd3nRfA0h1yoeWpEgO1PgaX1EQKeVCP7Mk
ZAdxZhnAMUt1TMkdj1tvqpnxQWYPB0+pGaGPVN/jSGQaIXGhUK0WCnrsg3zSCTZ92pwVdwQbHMQy
Ix7ELvRtY1wpgUChK5+6LzoqkldgGy5RxFjmgYPksay51w/zpyM3NZyz76gztzzpCF5YUFpbcz/c
60UJbPyYkIvlL4YXC77FwBha3MAvJkche88uz1MDuC5xqT24KiLwDRGqvrhEQh502o+c7QD23kU9
tnIm2RfFJOBwuMXmJLnBdkN4s5Bh/hpjxZDc+HTFzA/dAUwzcyLkNBQ2qUcgaAxOyonIgIheiqwR
c6rlLhylaBacrQ8YgKvwS2TqlnHE2AZXbXFWyUwTIxSh4nstYaR4YVnJ90honsAJ26nBUJsjhUG4
4AImt/b8LUEXcpWh7YwJsnfr1ihjspG+NZKZr7XwddxklfeImY4JU/KA1hNd0gvS2laAfJd+qSoX
XZ2Tu/jEJp8DpKeu2RoMtwKHs1DjUguqCe89RR4rEZylbPpqF7QzLCFaoc9oXx6hEDTkpATTsbWk
+uPkWFSnctuAlnuTj/Dnqk13tt7VxE5BY73WBOXlG3kV7LS9yO7CoRAANoMV9uvhdQu4QiwliA2I
7zS5xSLfGq4/pcDA2SlQAPNcMSBxMjiCXsPo4cUTMJomm3N01UjCojHlIfUBHx+GQ7Bqd4xuA2hR
7G7eiFsjvLUHHcEJfHqtOmJEUiJrZ+oXS9DcThHFnbQDd407mH0bXntpVtWuOhIu6r9HcC4oTPmq
A0tFmUxeaZrVc+O1q1/bstoor01F2E7qtRQCgVeAmYb3Ds1KxFTXGnTW8+EF3H//aJbkFrBSBAIu
zVTA8MNb/kk07sm8y8i5DxEhGcOmfZd+AQRi7sAZmBFInp/nsjj5fBs615E39TwigIMn3X1BMKK9
i/XZSzlKxk1wse3TzYPn69mp8uaZ5JexDOxP/pWPVJfU07/1gXQAcKX4USJ9Un2xjYt/ITKZes95
LSm5m3XLUt536Y/+uhpNswSBb+XxWicMTuZ/PkaG1yhVYob+Qqkm7HxatDAjoMDELUcejYdXcKI7
Y1QQEY3gwNir6FflyS7F2FR0NldLPknxUY3FSfiCxD4BLxid9KtuzWT1/DLWlRIhnia/p+dJ6RJm
8uFOSfpllJwy1iivZiHg6A9WPstfdFBxY9MwPRWEwm+ho2cehq/8YGL5z8+k/Gno8fN6LuozLmv9
EiAgYRtM9Lcl017ysDGbVNvHdYwW2gvesH2u2oWOot480smFmAzkXyagFCgvrNeVsGrC3bOZSzvm
7MqcaNhD9f7wPRK3Wd9WNc3fMEfRELjmmeSpwzDqPX1GTfvYB5Ly4AGdBuTPUp5RjWLUzBdmt+0U
BI/mrIClhamun6Mwb/V16N+CAuM1yySWRVXmdZ8ZHFYyOhlYNTtW29KJwRlLdBZqEx5q+9BNvnE3
7pjBvO3eWMNTdpqE3m5GEyJ0FtYDMJTXicNbfkIx6/kH3TwJMsl+gbDkqWLEHSqe5HtM6PRzbZvD
XpLgItwIxu5NBlKypxeynYtPO6XpQlNo7WMIeh3m96S/PJVDLOoToV5EwBzuavSD9CPE6rKXQ4dE
DglSz8A859260Fu8VFtHr/1FGAIgeTmehqwuB3wDlb7OztEMDde51hE8rYBAvHEpbC4Fr2uC5fBP
iLfFE2kl/zy4KMhYTvBDBMrEx6Hxj60DR2E1FZGiyZKmIzsazVj/pQ7E20w191sd+J++/486EOvz
OHiXWEZpkmRIVJB/KKH4lDnCHEXxlxBK5rf+oYTS/0fR2QeYmqnwjTDB/6wD+ZRsGACoYEeOfmr9
7yihNOM/CLN/u+uG/JdCMIl8tSIBqZ7lKBRxUbHJf3ZTkxcdkdeCo6zEW7fNxAXDR3S8CK8ZWzze
GlR5wKaBgXRuLn11iguveJzjPuYB80jmsf6FyrIZQ+jRFcEz7jf8TGv5S4OLOmh4D59opNDqkFZQ
kuGB79i/sK6UjM3TGENLqYXGPA0UxR/JFZEqQuQXW3b0TAzkmQQH1FffjyuFx+P+5MxlTvj2iiaf
7Zl6owOaVINeFoN5tCA+zJeXYbxJ4rsOzLub9OrkpL2Rm5VvFe8hTfpzwcV7UuzrWX177RVH/8Zu
tGaOvOUOMvD0L9xSJstMVbPyMALVR8w2HKot43lXXsQQhcsVRVGp2uacYzH/JGaO1XxIlNgs/1R3
nIXSIZzJKHU0bLpf7GG3CvtAZrjMRD8SKHrskZefqmt4iIbW4JOMJYGc9Hxo3oEyMty0O/JSBc4k
1LrtDkp3veeBERntp9aSMHkjY4EP2Agx7Z4HLqcnPQKjiJcJnW4rfkvFNFIO3fBuEILC480jqfEn
dEmGSuJ3LX35w5JpDyNn/KqwKKLprNdQTaISQos1Jt4vxSMRO1uaaTuYa2ttXTPcYC6Nbq23X9do
VU8pyK7Sfob9/QbVaPYAE6YidRbn3DR9hZaCX219VAvN1Vzm+gxBx0xbiwGxco6XUXUa6YKfJUaj
YnSjN+PJ4BDciu0M8kW0nPabeg/Kkpp2kBGOCx88CMzRuBNIizfcfu67ziq500/8tl06WaXegHK9
OyCFHoK1skZ8jKRYx7HE/1k1ufYRQx/O1MNwo6OmGLkEmr1gDsdFt6JqLDy42fkiX7y2iYPnxTnL
E7ygHm12ci8XAKbnotPOa/6xfoqTee2dZkDgYCxSRA7tHLP3Ml1063hRztJbRrr6jbU+IJBQJm/k
zDJp3czSBc1/skUH26nLcIyZhT0WMjSU1sP6CbNtXMf6y5FoOEtjx2b6EPc0/e2XgaZixawdndyN
4UDOTeTO7LvZmV117KkrCmu7nbPbX4mralNtbCiF0iU9pIfiBAZ/I6PwnQAlemepfzGvwdfzwNCM
sU27GhlB1gJB2Yf1k+2gFzLepFb9pbjYVIdzc5DWzCbQi5+ZPahoGnja2HNF93rLbSGaiHwwRouu
6hM4M76OaGdeW6F1QaEGtvT8NJmYcjbhBIRB2R0kBiQo8UZ9BaMN8bFkbab7c+6t8T06EtA5t8dR
AIaDmDGbwwo63eNnm7LaOKpv8b5as1Bnv91x7O+TI+Gxs+xofo6Pvf9Jh3M7jymx3Tq4AmNeM1Vh
v93MEJCxxJDXWDee8LU7y3eDyscePn5Y0LqrhCv9LCwprZ0LUk2Glm0dexaPvc77rlF2Bi0hqz+B
xCIp/MRtErgxjSVS59dCssJdLyhHEP+v3D+MWQOoQXr28LFjEjCUsPX6x56/HEC6YrCG5nhUNfQa
//38hW/Mgvi38/c/ff8f5y9K5P+TII/H6x8nL1tvVMSc9FAcFY1D/8+T1+K8FtnDG4Y8Dlv+dett
aqOiGaOVhdVKV//Oycsv+rdhx7/e6b8ASTSpC4omTaxZAqtGa1kT4I7LWIuMuH31vWzpEOiOpVhG
gPSpBQ+Ira9tneC3YVfhR/HmIdytKt9aLKDKEr6RFX+mT20bZF91+tYE5uQVsnQyb1W69RGbRRH+
W4Q7hUUyqbjX0aEFybdEZ9rLXpVyXuLLf0bkLGF6sGLZFbVyKar6rOX9qD+f06Q+V8T0Wc1qCNHH
pKjO6gD3QGtH1feDKBze6P5E8nOWeWq07v2jYD6Ytm6MGrKiYh0Z+5D/o7l9E+yej3gWShixpCuP
0zKgQ43ZYCXGQP3QWQBKFkNcfquBRUnBpKPzHal8IjkmzpIOVVHUDfJkvBDmPCx+zFcxtxIkh708
CZv+PaggU3G2JJV4brCWy69+EgQjuAyBqUnM8VDk66AlEJBVSobFpPQNDMWt143KOBNCXfLR5Zwi
tAstye0husM4oMyIW2fAYF7o8So3hqUQl3NDFYhwa6aBhMi7UOFFr2oKmBxnkiWEGC6V+ivN2MU8
lJXWPeJT/grvz44DhcU8OQK9TAaTonQM/o3vMEFYF1pEPEfIOWxFuWoSC8hnBSQqY+RFmKB2zF8d
8m3G0UXCMnFQZ6IyzF+FdlELw5H6isJmMI8WrUPkM2JIi3sssHqR9WAjJ/FRxJ6kM65pu58hbpYW
+IkieiGZlVaFUp/DqrBrTaIZZe8ms+mVqKieSf6h5ulSLMuz3BHLS9kiKNZOl/2zrt9rfEEKGIUH
KyxHGBNlrdANjeyk1sExfVWC/WrZ4xpJsxQRwaVoz51Q4z6nknoNwvwmMN4h4WmTCs9Ta7bHMNKR
rL4Y4ejFJVaUW/SqZuqreetSnTg4Y6k8k20bBO81M7I4JSdDIHaz0xxNGCuNetaa/roaascMkPMR
lGb2g2fBAO15q4Xh87MLazw1VoaL+1mvtNachXFkKyRSpjx+VgHMLAzIaqamfGijDI3iKSKUo/MB
8mF/ibAfshUxaxY2T0T/sW4/yiRxXjXWOfUjzHwggda81Dcq0y8hedmWQXpUTdJZFe2SADIGCYYx
cFMmOWl201TeYHJL4oPsRS3gwwe+xaQGrQjdpcKmb7hR3H4kvIUa45WhbCh8GP+1TtiDTi9X/C93
Z7bcNpZt2y+CA30TceM+kADYi6R66QUhUTL6vsfXnwHnzbKsdMhR97xllCsrK9MySHR7r7XmHFM4
KYq/GWPU6q1bqsVlYkvrIZvoCXsIg77H0qu+Rpr2npk0oRqFaAClg7MntNVm4hGLcvmgJG8mAhdf
iK+sLH5tQgUgaf5UBoTEl2R+NjeCBM8jRvYhFbmjTAAbe6cwUf3VtO7km9wD4GB4tiHrizaOkIH3
j2EzItFuT6UmwUtUCmHZj8zU/AyZLnM/udpLiXhqVJZfwzjzKZeKxMY01d/0qhIJxIRFKdQXM2h1
l2b+foz17Tgw8VFoUynXuSrfdCO5Bb50lSdI6vqBflReH/I+uOn64rrX4q3n+xk5QdDXYE2UKpuJ
8UEaxUULEdtvl//qtZckAWjGBFbB3PnDDIS1l3X009r7+ed/rr2SqZrEFEgYjFVRZwX8uQJTvJoG
qrT/lMV/177mNwsmhTSXv5aumrMk7acLCJWaZuECUpiuiP+dCeg3EVn6L5/80wKcqlMxWGpsruKB
1qfUo8PPBJDsZU2jdIp4ISViRiu6sDxUNMZZjJqFAl23ZNdvoYfJMDForzKBodH4rtT3Q+y7AiP2
oj5pk+AGSXM1qv65KbI7z+xWDfTYQG2vI5Fmr65F20ZGeAAhJCzGjdqSu1V7LyE+ASkVidXBYJtQ
IMEVKrCeBoQM1Cr+B40WZxJgL9a8gxh6rifk9+DTzkZGU1gH5UTVlBXfrZSIHLlyCEfYGRp+hc7u
Yt4o2kB2Xno3Ek8rjsY2DmDstTOL4G4YJ6SZL4M+nAq2R/sciZk/jafSVBHIPvl6ShxhyYQZLVUs
9U7d+ttyaJ3YMzcGJAL6wnMCAlovRdZO48CkKJIoave0pRjbMGgy7LpTeEtazcaQp30XkNhLV7sq
kduRsjwUB1Yt9gRMjgMr5FQLuH8wJajsSGKiBrEfWQqxoHXxUuqnfNzl/sUX0M1HQnPwihhh8aR5
+bbHzSKQlUKfS2aWUBLP2j0Vhb5R5BpdBzwfSLuCBnhUxXEsv+QCeBs/IRTYP6WackfjxfXT0Wnk
xJYR+lfBW5oou3yYeP9d/WvfFBr7ZUmVdQ0sgIW9z+Jx/qpLZon8hg9vit/9/M83BSR2HmveQ6L2
K75A+mZZlskRde1vEPvfbwr9m0G4H7t0Q1dUlgaO9/ebQv/G3p6gvZ8GxP/7f35BkdWf/v/HweRM
RfyoT/3HJ/8EtsqI0hv6MpN5UyhO7xVrlWbNaJk4LUownaN1HaXRqelElQYQgelWxlsELbSCcrFG
pJN7HXYL1mzKwKsyGpCCKqO0N6cK/Yi1pQAkt8JPpY0UJO0cISAX+rLRVDYMppW8m4VI77mV5FVQ
lLPlD8De+JwPiAGjfN9BLm7kaB0AGqg7zHZ+ErVbJU9BhMR+ji+FvYfZlC++TlQUXkWTkRhEAckj
aUoe1We5KAh6MrK9b+6TmtlebH1PGhUvPHyfUTyRaLjLA+zwKKpg9WoWfnFHz6vYpk/JaILJUGk9
x5qwH/xxIUmHyvPvirZllIDavAqVK28ihi4IVrhpiHBHBjYExz6TCV2D761jx6vlG8VvGffp0k0U
C98zjG2dErhKCk7lX/vEzY1ZES6mzGI3C8P/8MSxNnNjfnjifvfzP584NN2WSP+ZB4Ui7kNfWvpG
e9nkaVcoxVmIaRn//cSxNlM4W2gQkCloxvyE//3Emd9MyZhrbaIrKa2pqT89YV89cdTc8+r7qyb8
43c36HP/ogVIAj2shjT1VvnoqOcWvwUB7Qx4wJUjLiT59H64xEyhhT0pz6FJGO3CKCAyoFoNjHUA
Wg+wFYnzoM7n38f/I4wbwYCrHREo8lv4AX442gh0tr8jUGTH+Zx/R6vY7+Y/AIQgPq0jmlx6QaTM
Bxs8dTOBZ8oP5LiZL/oLY/fixKCKHhFa2p5VGlPnmmkW/4xJP02ifLST2WW5U96oTGzxSndU4Nan
jo6lhAWShMNtH7ga4IpoWTV2ucNVi/ZR2/A75Gv+pDfPoD++YGwWv9LoDTonvtIJXsLDEpj3MuJv
5kRI8p60WS8/53QqxYKzsRevcbmelA1z781f/xGvKlcAbW23ePZnR/64wt13Mx2lG/1AhMu23Yor
KpvHYO/fY2/WYGMRSOZQlU3FfAXKyiVEOkwW8qpkApiuxukQj06sPYbTWhhPFvZD/uV5mJMNRiLY
EXh/5y9QQWs8ug7/3jxAKThoN+Yh/X7PyPCZ4+z4b/y9HZcSY0TpmKErPQ6zSnM66ocacBTziBCJ
xTgCMtoM+YHuGW0ztUZIepjHbfKBVgT9uNlDDWRh7b3zL8y77IJkEzk+9qpxzVuYDh+/uDbIl2/p
PCOciB5VTveaaoZUmyF/Nu+PKORhGaHxfzLfBXRy9aI7zVCw4lReS/v8uryq3hjTCssJrL6yJuCJ
CT6lG7l25F/C2UCsxTjXWHiUNsICLfgwy7yRdNOKb7pLjFMMXUBmB+XGnFbslwL53vAdRK74UBt6
0WxMzL1uLEB29xFa7tvsEZUvwltSsmNTRGRwCMsrozoXNc2JF61jjLuIRac4jffhNV2HIrBpMtwC
/DPfW7qjx+jYvfpbxLpL2IrXw5OwFo4l8BvdLlemTcP12DsiVBvRwfspkKDz1L7ghjcu/fcR9Sb0
sO/mOb+qTuhtCgapzyx0RPrlcLxvhp230cm0JMv6KF8U0B/VuoG69hqDySVNgn8dufzMolwaEKKG
Lf+fyQz9+gUxFh4of5q+S0J5SA2EmFu72SsnrOV0RUuB0hf4i0H6eH3QdqDkCa2mpyUzqYZymezG
u+w4PajF3ZCcJ7pOpuM9ZQ0wTpIm2Dkjoc5RADGtOtUk0sba6/iMmoVZ1Lv5wplHLe/d++kbs6x5
fuUg6EHfwy+8DsSG5tUeKo+PYlhB/KPjtKqaCQJlh4oPdp085znqSySe88RE36u3vpk5vrDxyACl
J3NKXkuKdmyD0jKBci6SLuZ4DJUs+O2RuhGujYqMEKytxZ1Srkj1iu+mnSrttNz2Z+GGqNKDWWAB
RcuCMINm8SFGvcB4YpqVGuJbLCCYZNxDR308pYBPX0bSTxIdJn5z6PRbZI1JSi9bsQ1sGv5RHXBc
z+OO6LEeXlEuZZddTH+hP8tlB/G4gYLSrIaQ6cOqMl7ALonF94I2hbkd7/PwGQaN8MLB+RShimLD
WejNYcFcyKAhCdsFyuyDBdeHOJnJvJj5VcbEsHYG3XSS0MkYGyX8CZbTKMfbAA8GgiYcuAwsdnjc
lhf5RMrVMrrWF/LGPEVHrvlaWWMz5mLeqEDEdtpBR97N+//evAyO7I571Y03lAnJd/NRxkIj8wyv
C55hFcEUGqhH40XvmXs3FEwET4lH0wVhR4vgsXEE1SUJ0zhMqwEfO2nrNB3iTd/AbEpmOhvkS+1s
HIazuOnbtb+/1LzPaEilK3IjzKspe4v3aEuXwgv7PCzqzbkxvmu1nez0Uw1W4uITULN4QCpE3ki+
nbJ13W+h+lDBjc2qJSGyOFXeVdNiE8X6f4NypXgLK8hBfJA8vIOMlzG3Yzjf3PaqDxU53tQXpmkL
hGm3ubItJtSjTj05oe6a7TUjLtOM3ZFXhK5Wbkfq5zY66YKjcHkENAOC0G/z7D7YT8eRMnSHsXH5
mC/EZfDm4wy8726VemW+cIcyAvbIpDpNZL95KmYC9ck85QfM1HXvcEEURIDpIXwuiz3Wl7h3ePEN
uzGyzROyuXyfj1s0XpgHwjseR16D/JIll3jYyDx3PAiv01oft6j5vY1A6s0ize+iONrX1UY4eFY7
LSc8ATI+CgcebkSL9oQDlVEV9+5NBcJwJ5mbYjPzIBR3crO9uBpO4mj3oz0bKYPz8D5P67Bdtm/d
S/VClnodOGV4naHMD3bibX+jFxtiQzeSowdOjloIZfklexZ3yRLJuitj8WBhOxjza5uMDTLOFthq
1YeRrjoyt5vYVd7ldeimBjTbRWbs6X5rp+TQTnYPSgqEAa281qauJZflouP2vKHVVqxC29w1jcs4
MX5Dfa45iGBe+Kakp8puvum24bJ8nK7g/Z14c8do/WhbPTKfLIGRyzT6s3ve14w7+QU2sekA+W1C
f6t35z576bunAGUzFbLWnmjDB8paYQuAnYNsFWwo1q3SL3wm3Y9k6S3hTHEOZjcqpQx6ZRIDsfZS
M6PxZKeeeorzpj3VJizGxoZQCCOX+AWMyFjt11l273vPeAjQtzBDxs69402Euj14YBIb8dJkEut1
RNowkG3umSxbL+Hscnf99jYFrnbDDNNg6osHoUPIrzgo13c/vHFAuCpsdUyxmX7ekFobbsJ5cIyt
/BHJOAvTAd5FD0cKX/1hGG31djh322R0ykuIQk91h3RVfecZ5Dee470yv7igUM2vAMBt1Vo/Mv5c
FTOEKqArAaDrRMGRPKA6vGYV72XX4q3MDmwTHpjjV89mc9OnSDjFeB1mWHSnUxZIiPYRM4XcRWa0
zskjqeTVVCBXGnEiFPhcPPje9QRKyRppvvJunUehBF3U3X1IYnmUGi+RhcqeaJq8iR8a5A+YtoV+
EZZLkRiGm8FtR5QR7AFs6SLcyFt5SxokoIUMUqtx0R4nXP2X5DbrFtam7FyLt/JsbHpDhuQqDik2
uEyybXYukTThbfTsVIXPAj97QeJHZrMXQ4vUkcKUHmHLsHWqLfQMDTvEmj/T6G1Cbq+lhhuXsRO2
/uBa5dNYK2Kcc3lAuWk6xZ1WuSBNHhG8ipDC2wWCWiI4W/OB7fB0ZLPGL3Zdf8Wwo1W6M91oJy/K
0wvZiczKqxeo+cmLemmIrjE2/qxHBSBhC8/By0TL/HstI0FY5LfVS82YPX8TbcWJdsSMCCREL1tc
Gv/mElEn+NVSFWRLKM3/IF3C4oum+tcS8R8//7NExBIMrJIYWpLwfkxJf7Zv6egyHbVEylK8wFSP
P0tEgE/zL4nMB02boVE/S0Td4GNiQqZfM7Of/psSkWrwHxXirx997tp8UIsbXRAoQpGQZ1fvUyjn
VU9gyvgQF1jL0eVNBTvzqo2cwEMvIbkWoSVq/+7BFE69gphNeV0xclW6FP74wWdrG/rSmjEB+4AI
kly5Fr16mxoYUZJg31tA/iB0TNmjrz5WXbEYwfqMqPRE70FNSFWPCUM3IaH5LwL7AaUhpyqwaH8g
5JEfUtJDAwHaIKFi7ZyNqUBSjs4+mGINy6CqAQwcNj16vx52QdXxvoIxLzaGMzCFUwYqBhKnxfBe
aR8sA+iiWO69au4jnxX1WizfPZh0oCU98RmghBQD0lQIfiMDTKajw+7BseSUveTgr/0ANQs6awXR
bYx+uUhv4RjbUWFsBEtysvpcGYadYuUSxNbtuuIgVQ80uxZFUzmDRlBr4dfCTCAB9Ctqka2WmbYa
SxljUtvvjLi701rxUDHPcdsSJ9mQPge5d4qhRWXyPMV6jWrhFbbLomSywyiIdlaI97Fb5xVsoX7Q
0A+HzyISfStCzZrxetDk1zRUzwVT0CDlHRXC8dT8XQhXyYTXkauXIEACw7mbxOauSEnmGDC0Sh4L
S4ylE8yoPtmaOBKEUcFkROFhGpMdScNR9eRzHiR2K7SEFRH3hSnZE6lX0tyNVStmRCluUpUYHQk8
YjEX5rzlF5OBGn5KmNlZz0OFFpp0dlIZPLb0WoT3rHpLBsMdpm1WfVcg5owMUTO02p0yLqasXraI
jatccn3txRBIhe/z9dgQJCA1/jkqhCu5wkgkquTedfG5GEP2y1QpYnDuBlS+Q3rO1HewF/mM/ECg
rknlzgssZtlI0Eu3Rlot+S0zhJnO5C8mBaUvXvakttPQiWs4WuFZHYhq9GF2dDOcY9Qs/ASxbUn+
aui6xpXq0gnl3m3NoFsHmnXRB7U6j8N4MuDxBcO14se30hCvSjT5anfvWThsvbeIOMOkLl1Zn/gy
NE3QmhfKW4IuPZdAgzEHVE468uWuMRdTJe706TVDpi9WbtRdxjy0tXawKwpeBSOowfasz3R6JdHK
Dy3CChldjjVHuIfDTsMf/avxUEQ3Kl4rdS1ZBFk+TmRXGTNdtVxmgn806iddYJ7SbiLWk7R8KwOk
aOD+yXyMppPYNttQshZyiL/7rcASoOEDaDEsjEFz8jSsB8ZDVxBsSZOHjkeM+rZjNEmwlP7McIeG
mCOFzFGx/zYVVRwZelJ9NDyCGumh/LvXJknSWD4Q1Mz//XJgIJNc/s+16dPP/1ybWOoQCwE2ntuQ
n+xVzBY11ULLy9L0a/tSZ04w26s0BfLhx5VJM+aepo70Z55V/lfmKtbH2aj0a/MSksdf35zDoe/9
dWlq9UkO+hi8oAY3YpaITW+0ntAs4lNZJPtZf/38isKiIiLHIMj7EoqHYl8Zsa3tIfc5en9EHyut
ZQcClhVd41lU6ekJ2S353hGtjCI9yvCdgKI/Rt6aXbQM9a4+jvJmvE724+IGd5+eXgUr4s9fZ15a
o2LomeFZ5br378YVjv9UXIEzbuVjId0ot9kFhsZNvSxpq7k+MWEvAmKJeyKCbhGLB6vYROY+LqK3
PnNyjEirM4w0aiWc1vVfjVGktQ5aOTpy1X441tueFslhCp5xILm04ZJHOAHYsfFBQXReDJWDAUsB
T49sX9i1CPoXoNqYT1CKu947BUQnIfthC4llKrvgzlyOZ9wC5gvgCOYvpMHb1q5QFtOGPg7CYkxs
3YmaFX3m2rtHV6z80B7Ts5w5E+zF78er7qiz4tghkNvX8IH/8FchuT7HVuiSrhoOV5XIVPQoUk1d
gUcWoQXTUNtkyoKBiDsu9QMO6hJq9KY/45tb43RYW6tiuZ3Bbztv14AhxaxrvNNz5IuXNm1hn94s
LZeZ97RDXNHOplFAcnhmCXEGGgXdg/6xVTVkzEDXGQ+Nyb0Ry3s5QipxbQ3qUlM5T81C725jYhA0
apK9AVpMpzsn29lmlLeT2wWYBZajuVQS1xsd+YDpjPZmhzDnma04p46bhI0GsQjVQpvoypEZfwQu
QZOGURbbF4pd6H2U8YOIT7/DX39Tssq38h5ZRrTJpK1UOCrv6AW9kXCjHIA0im/eXn9CrUPCa849
Pp711s4Rkt3QinutIupCT16KG1xOp+sK7NRj9GTS9zGQb3PxdHWLkZyW0FGlMWfdpCRIVuf4Hv/T
onnsLtrRJJw+2PRAV7LH2TyHKJ0scyz5FDhY6ULVNSAXLR8bMiBoaJVr6o+k9JZaSCkjTk+9saT6
wE2drpFiCoBDHvszwExikTOY0uItQPIwuunSI5e1OIkwPJhdE52SrofNeEWbMHq0pl0hvnfyhnof
KBxhBTBi9sEeKSruv3bLASpuxF25MtbF6YhOmUDiS/XUnnH37UrUJwCyuAVrldsXZT0tRjYt6AFg
d2B7vqUXHPTbMUf5bE637LNoWRqkWiFyx5c4tyX9GUiDGI2bGSsiWnp+MaGn04b/qrPxAvKP+Y2M
/zmb4FGG5g5+tQwGbO5OztXzkzidZyhcmYWOdqUKm/wcecs5vnCVcVmhwJHBYHLDkI3hlBEBu8QY
2MGD+GZVSxo4cPPmP4wyD6AG/nx5USG1whb12DUP+IL6GUB91wvHIV8RfQ61s6RlZTgdpJ1ilYf3
2Y9euDZLtFU6lrwSrLmJqPSXOLwYV2KN19pJ0Z9TLwKQ8g9z9PTo6FSkhp1XAMHsRNz4/koGyHgR
SJHmdnfHxMWWyu6zLeGWWzODG2Me3AKaJqHkGsUKVxlg5E3MC+SxI/ht2cAMv8pevMfhhbywZ6Nw
m0MqO927ki/nVo1MNguqCCW1/bfhe7g39/JTfOc90RugeaWTSgSkgmYX8DgFw9PJy13hChPPToF2
ZteX6ay+yadmDZdAuCf6N/qOgn42hznmRcQJvwjCpYGnzaLNNzcbm/sExiEZPAxZg9lNaGBczzWe
hIXFVIlupO8EtStfdGvB9tEDxkya4rK4L75n3xtmFQ/0Vb0Nma+o8sthmR0pfbTXyKUJR05VuNJA
CqzTfZbcxJvK0ReesTax0AFzxf7jMI8QCWei6RMhZyezVJCIa1kMz9V9QGDQOQoOMcB0/0azMY+S
wGb34lZ+Zoqw7rfBhsKf3dMsjKF1VOl7CB6Bekrtq2JwOtIpCvC0GzpMebsma2VIHOt9VLiSK5pH
+FkLDEuvMQ0mbgkRk8GqPPEXgx1hcxbeuVc0B3wCzgEKKZO97SI5Jvf5fkmqpnLtjauKFnP4Hm7L
51YgSJSk1FWvAYsmlhwTIStDvMPvkR2R2D2wp1ODrfbAgnLkH9ImfxakJdoOlPjKLokAsGeAnezk
GdBoc5difyPYk9rrlp4nT8dNtUr0BwUjHZ2c9x4NJ0lvDC/YyDr6Pn1PtiYpnuWabwakezRAaec4
C/JLfhHumRCAWcGhsKQIAYAkbkEU0OizrZfSgpEPyoZorBf+RzzQQ39vz/EOiJH5jqO5WSqUEG+1
W15o9l8YJfGV6MWl+l03HhLGYiv5dqyY1S04pWKFU0PfY/C4wfLgjogW6O2Rx9M+lDiBBbucdxrh
TY0TA38zqaRbrnqan4GO35E0JsWODOCtWWnv6eWHpaDazvaC/AzuPN3RYJSXyPDproc3hNfOjoVn
wPZHQnIrguHPd40KYjvAJ7AEGtce+bthhYshcWYuVrbtVhDNQXEbxxlot85ImWHRvvgD0I3UhmI+
P4Lzj0MQXqLVdbwdFc7dD0Y4qJ2SnQezNOKY+xsaXPzG9hjHbgX9y7/jbx/Zodh8ED5yK5yV9IRv
Iom/Q7JjfZ/B7QwewPaz+cKNl+Hjlpb8vVK63r5Z7Pfbq2qxHhdvNK5KxjbZA2KM4j25kx+y1WQr
u8jO38uV/CIujQW84mFNcAVcRsOmBohW5StBVOmO/tpdvU04Q2s+OCOFLdwX2MXVYnr2dtwfTIpm
LhHoxJ7X2t2cYwqOr1nIbNeAFbkJj+xFhpRY3k75DjewYC6v/GKxba4IqDYxJYJs8VfNLj3kh5Be
41JZlytq6Nz17+QnjgAHZCZuzJm+6pX5MKz+tZUIAh72/VQLqgQ/HEnh15UISaW/ViK/+/mflYim
y/D6ZNQP6CJmL8HfXTL5m4iuQbZEXbXUWQD5s0tmfBOxG2oILnVTJveU4/3dJUPVpFtzBYPPUJQM
7b+LPZ39ex8qkR+fnEKJrFcd24SsfapEwpa0mChCuiR3agPHZDC766wNQkxgVlZh5Ktzix5qCcdi
CSUD+paSo0ovpm45jrQ1mrgnkrwViBsfRUY6A+/gYprMtVLqrEgDavXaKPcYF/AITFBzZPFx6tL7
Sqz3SSMSfuzTSeqZzVhe9NAJTCzj9Co2TGFhQDLrMq09pDXj6bi6CUIs7gEpEaZMAHCuNMw3pmGX
DCMTut41s2ZCjRlJc4E+tm6kWsC21fB2DOLW7pTBAxwXwXoYeMkpmu5fWxWoZcHvWGoaP98OhXbb
Kl64yy1/XCnGkN81tNpHH0Hmv/bZQOqDv0IRDbiTiqVDe/xDlT4rcT51kD///M9nQ51Fgwj7qK7n
mvvnsyF9o12toO/VTfrEP7TBPzvIFolEKuIknlrRtH7pICMn1vhH+HD+q0Qi5XP+4D++9txd/tA9
zmujmvKOWYakN7teywnkNl25qxdxKBMmeJ9bEqlCUNwHxDlyD8RpECNHNSkB4eCmCuHyHRTWEhMe
AAA1xyXYY8OzdqUMwK+WmL7c+Owd+u7e0l/y4bnV0QsPw9LS38TknCXirhQbu4E/p2ePMqVQmntX
XYH/ZkCvHk3VdYZ+XfPbQ4eePZuF7T4K9xale2+pN2N0M6kwrdDBT+jh+0HZ16aouylK+ZrhmO51
4lJAQ887EfuBtmwt68zTQuCveBrrZt+Bm02D4qz69Uaf2DtBZGEohU4/1Pqdgm6/Q7+fYepI0PP7
AbNzmRQBSgPU/v7g4M7YyXgA2tkMMClIDZobSZJ2FV4BK6L2wTtQGOkrcsQr3J0UvW8xDgMRp4Hf
4ZoxGCIPvUgKHf6drqSdqgbz2Kg/KAIyGJClu9GTTlUfEnkjgpXP5PE+gxwfElkYk+Udx8xxzcmO
6bFkebGRpn7vW++pxmxJbJwa8RWtS6fAvTQzea3kxVSPJWNMI93U0MVliGNjCMxX4x3jKwCdtJTu
dIpBqIJrAGZGadWN2vd2Llm3URce5R70TM5H6XMGdQ39/CBuTrzuNpEwEW+kvhr+YBfZxObi2ZvV
m0JnV/C95W6XIARD2m4rMPoULznIUsKbSrVlOb0rZet7YY2XMIXsPsstSnh1igBK16NiNT3sOPqV
D6pcneRTR0Pfx0jRquLBNwY3GyqY0b2fwvYF3KfRyUjrCrVNVhIBpNRsE/W5TNZ3fdqupxCkgES+
TlrdCFGyjrx0q0JmnOr3XpPWYziP67yMUAaGJxAqBgYreRzeNdk8PkiHQ96C9h7Rf1dwfPOXuGFT
l73qI6GDsNJNeBi+eTa9U9XcEn1pI1rfNqKwS7hRobCP3iLJI/grWQ+lv4vOY9rUtj6Sk9jV+rKM
5GerrTdKgMypVWhnV6lTlG4/1A5ryKZG4dNZ5AjEz1l58uN404XPtB4XUVbsYsASuDApTUB+h4mO
wEhqVnURr5MYG7mULuW+ps5Wt1XWUSg00T6Wu2d/qLdgitmoZQ3kxvRqjCS8cvTtkPlUWFI1oVoi
AV62fiGvzUJeeZKPKkyVnoKJtPA0QIGVK9Gi9sS3ylvrAuOSDu/NEMFoNwBA90yde9l/lrOs2ZQZ
Apq0YBffZ9zIPQeq4sCNA4q9IkGWp/g3hlDy0Fs8dLjZIn9nDTrA5KcMn6naervKzN3c8NagJZyQ
R6kTiaq1rCU4ATbcgoCcztIfkpJY80EjNhjUjobqDGiJoOEQnybUINnJyMhTbM2VZATrOIw3iVZS
OE3Q11Fk8AxnvnIR0ZRYOWS6EiRlEyPm09cKD0Y9SNSWMmEP8baH3vmvXT3xkYqozxU0rypKXenr
Hvf/awV/WD1/9/N/r57iNzBfcB4UDSIYJOYPO0vpG/tGwMuqhPkOkTtr9t+rp/YNfta8HwU/xvxW
+WCf0b6xC9b5k1jsWX0167+Zv35iNs8fHHoZn5C1XSXWkI/wcf3Emid2kVAMq5iaxmQe2omPH3YW
p3/ywCQ2wb/uXT8dghPw8RBVLuvRIGTDyipgBY44V4xwk/sMg0gq8FSKp3zeh8quiISh9g2w++bu
68/wacb817c04YKwRWc+MYM/Pn6ErMsRQwdgAYeA8JQ+ulUVP7QTLbv3eIKE+TUgrL8+5Cfh81+H
pDDQcD8x11c+jbUrkylbqIbDKotF+OkTLVKCwbtkI2F3lWr1r4ftF7PDR3PDfJ1+KRDmkzzvqShj
5mSmTyc5SIfILFShB4k02mKUbaWa4Xgzbb/+Vr+7XaCgcOfNLjOsC59O5GgqyRQEw8qPWxfBOzrA
mF7c1wf53Xf5eJBPe7pCMBVpjDl1DI9YuRDv0Mnoqt753x3m0xUas6CLx47DhPm01SvifCXpe2vF
718fZmbD/OPS8ErhpwEFytY85Pp486l6KMTmwKUJOmtbVvE2l9NjoxV7aZY2ZtNhBMCZxVDQLCaw
6ZBz7bATY6zWU7KT2fORu2lHSNnVdlwnlfGH8/Cnzzdf8w9b6ETNMkXz/GHlBeVt5EGikvOdD6Xd
TMKHQAod3wcRHoNF+frE/O64VADM8tjFw8H5dP4FPZ20WLI4LwoLMr4yX6PhS/lXa0juI1y5pSbu
fVX6wwXRfnM9GBGasqzoBsf/dFxTKXyt78R+pRdvZYUtrnyqgsvX3222bPzjopt8NdA/vN2Nz49/
XGM2KlW9Z0wBPR5kVXzQoiXClC0KWnva0QeMl+nK364AZGA3fgVfTIubsBGmTF9/lt+e558f5YeB
8sP1VQIqGr/koxRj5gzRWRFx+OtPVfc6GE/xQCky/eGO+t2778OXV+Vf7yirHMJOFDhiUwT3Yp0/
CHG9Cc0CyT/omUq6+foLyvOf9/nl9/F4n56w2M/6MTA43rhCXLcEZZtzqkXmLUvfqe/Mp+IBfszT
C1pQnfcxaF/bsv/wGf5wwT+/GYuoLvRW5DNEVnqIJhStWrpNA9MOLLq0YdRct9iEkKbEpyqfyB/q
e2eMe+jK5qrFYY9oyLGm/tA140IoLQfZyVWXKKs+a3dl1HO7ROZK7JPGyWTWTRHa/9ff4PePxX/u
WPXTW7cs8QN5k4Euvuyuo7h2xVrfmlO5//owf7o3Pj19hV502iRznsJ+HwiuVTyozVqNkCkO3fL/
51C04ZDV8fYl/PiXF5skdgEbf7Vf9SF1cWBiybACMOcBk6ncMla90LtfH/HHnf3PO/HnIT8tw0og
NRTSHBLjmw3iYxmRwpTZhmu53U2OAwCdlUOAyzayExcF/rJZmBDFo7VsP8ku7IxlRNo70lxnm6Cj
Bdm3K+6EU/SHMyP9/mL/53NKn6I6pCBMLSy5/UphyBJPu16dq5kXXXpJWIsUsEjmnuUM2GUCMlHe
xoNKTANVsL/5+oz9iGj84owBxP3lIjVemwehxSepHVL81jOvlFE25pkbHTYWDi3GI7JdHkniWSPR
1l0Efsd28fb1x5B+//j+PCGfXiFNQKMAdz0w7wtB1BfJxapkE3rl6sza4G419yjL7e7p68Mqv9uY
0tL9+xaVPq29Q1Gp8jRy2HtsO8ty8QpInnBHxvw2bR/ghvXidlicksUewe3Vw+batK/BZr8gkIfD
PYMMg5V8+MNueT7oV5fk03OTZkoOpoNL4ufoyIxngSDfr7/3n26/T4+J0GZp5dV8baI1EhrRtK7E
ciM2xerr4/zxsn7ar/pqPgVDytsmEIxNVWQvFq0HyZxOoxm+8vqFLRfmhyHxrj3CMnNdXQUTLjLR
3CWSftUSTuApyh/20L9/A/685p9etEodJ15icnpH8jYldQLQo9iSgQgAUX96+/UZkP9wtLkv/HF3
53upbwgKRxMWt2gx1npk+9uahA4MYYtuh7J/IS1bO1ms4qW1Sra+m9vdc+vZxJ696n+47r+tBT/c
7z+2TR/2IrKYib4ecOE1bHG0Lk457dQehVBt3tcZ09iQiBj0eQU0IfBjbWZ/fTr+cOP9OFsfjl8W
0RA0I2djaHC9Na7aPmloJP93B/l0geNOt/K64iBTdeiVTSSSYJz/YVM3NwC+ekg/756lqR31YH5z
FHayr/a9M7gUCAdcGHZDu+lFJkzzvgaMWszgOnyVi3xT7oXnmc+/fJBvjcMeM9k6tqNDuf76+/9Y
Pf7xAgEXojBuQtQ+O/o/3nNjT4NwGJUe2nRuLkuhRBJqupLaz9yGXYkCFuW5E3fmxhPRrH599N/e
8EwJqbV02TDVTwuKYORKXc7be21AVhW8/g93Z7LdOJJl23+pObLQN2u9qgHAnhQpUb0mWOocfd/j
62vDMyJdzmCKL7NmleHhGe6SaIDBYHbt2rln9/2nhzVM0UEGN8oL42myLPvrY/jS2kmoG/etEGYu
tzoso1dziQRsmy6QZq3r7Tv8WdAOwjKbhHv3waK60M+X7vS0myvk+W0hsXQmn7qHu7gmLwr8Alyc
gjrj5n/XrdN4/PLm1K7rplElE992j52QQ9nhXpOdjuqsE4QLz/CfdKsp4uev8CBPowLPi/94T8vZ
uMA3+4aD8e7oE1AJxASkmg/ZOluob8Ut9k/N6lJ8JE+D5K8j+Ff7J4+1NWPBVzzuNvXYb2umxDRR
xevKFR79WPzkkGnph94iQAbUtRkuv/ljFJezIAGCZ2n5xrBUsqqZU9d6tNJEfW/oyLeDKsWxyDO7
C6Pw/ED4dbUnA6HRBMEPpglHifOVSX350GANFVMN6AmWI9dNd+H5nG2Qcz0QPxLidchxvw2GUg/c
SCh5x4Ykp3C+8vaewXGaW0tXuVptsNdJnH9j+HHGiSkX1n2qdNKiYvWjNYi0WJprAbdXFwFcf6c3
wiyRX79v6uzM+qWpk+lbLbW2HIaeZy8gCRqppnabC/13fnz9auPn+P/yNrm6y7nb1IGQul/CXf9k
WPYCZ2vPxhlcv6Z0etzr+F5jvrnyNwh+c+fSGD8/S3+5hpM3WslQPicN16DfG7fiXty0T6HyYjwr
1wgGvu/SqTzpr+/Tl7ZOohAKVrBBUkYmZVvdpNeAKSgaRX9z5SHRmmcv1JVQyFfOUQHMNjiSXHOG
SSUOZ5v+vLwPb+JNdQs6059Ht9GFazuXHsEOA5E5cRbZ9pNYNCXJ5IURj3tQn0aKVkJeVFd9LFEf
5tp17T+lsBC+745zUcjXJk8GcwGKoKg8miwaBGVydN81fzck+qfp4HPbma8tnOyy5dBoSzWjBeqg
yvap8j7k6LkfLkSyZ7eRX5o5JT4KahsII5mMJerEvYs1Adv6m6m0uVvA376iZhG5+/d9dzak/9rm
yWTXu2WqJ/5AZm0X7En2OMgeOdxcrrX9I4owID7Ir+ILT+zsgvS11ZOXpROwWKnM6U4xjbQjKBsG
+3drTsn4uzgLrtnFL/db1kK7QVj5/S2fm22RUnBsMfFk9NMQvmxxL2SDTjxJ9etQHaTmnk2Jit5T
sn5839Q0t52uez8bwcaJcwvr9DajtMv0tmGVFyGH9fd+ggRPrub4m/ryrUkZ1/ftnR2n00390d7J
vED90CD5RsutNekyptBOb61ZBD1wEOsLTU2X/t2tnbx00ahhgZjSVIbS1cuBKdTa4n93Nycrh5+m
eIAm9F4pGrNBqY6Wry/8RJyL+qWDmLNTyJeOO3nBRysfk66uyNapRzkCO1dhZF2Z8//FDeFwP03r
X5YpMTXk2gi5oUZK5sb4VqKJyJKPPqguPJyzC8Q/Bh4tnbzVY+43XRrVJEJq4DUcoS+yZBbeKQtt
Ib6Kc3aGzmczg2TyBD8o3Ve7/GHS7KJisyUnfUigeSWzHxcC7AnGe2bM6KQOAS2hczrZSySB1GWa
wFXhDu+U11QArOs3cIYgvvcb8VFcpfc/Uufh+05Xzr7vyAn/bPXkJRRE34z0qdcHB5HNnooV+x36
xJzdnK1vBBuOO+oGmxL8tbZs5+LkX7BQyBnGzvYjXFsLlH+zcuZv0iWOehdmwvMDj8IsTCEJw073
naOXC8iASqIGxMJwMaRPwCXfd8DZNxX1pvoTqIC+7PdRl7R4BfpCNkWXLMUZJIALqW55+oS/zAVf
WpimpS/jWtXTCotIWgCfu9CxRMIGiMIOGy+BOVUwy0dlQ+kLGG+L7bE3C2bC+tKBwdmH/OUSTl7g
wYwkL4tzktMyqKLxJgSBpA2UCfgHFzO573v0QmOnR0CdlMhhLNJYpFEMU0o3sdAjiMElCClNpbfr
75s7m+axoFWjpoV2pp0esWWBMUSpzq44VQQn86pbuUnuasX0nVL1XjI3XyJrIzCRZugC1rWnLls/
+3fmLoSzmqFPAoyfb9mXZ2xaVpjzZTZF/nClt9I+t/DggBJodfmF8XR2wH5p6mTe1zXD7YSMBVrP
hudMaa9zqb0Q0J197b40cTJc4iDRe6Mi6kFLPhM8etKtG8gz+aWZ+OyU96uh06HSRGUOK5xdQa2j
YEIIGXriSm/Lq0SS11kXUSuF9O378XKh/05TNqEwlH4x8qiKptulQb2o44uRxqU2Tpay1uiLpJR5
Rl4jIk0un025v/CWnX9GeFnifIsi9jTtlbvK6Oktz0hM4qvEL5wyUO4yYrbve+tszISKE+cFkWXp
tLfcpBS9eApFY+uqz4kI85cGHSVmr9+3c/Z2vrRz0mP5kIhVLtOOYR7cAOesAvsT9+n7Rs4+li+N
nMz1WGH4Ul7wWCpZeBlr/amJSSR838alDpuu4ctMoMSpq+PJTdI3B2dOUV+/Zz6wc/zFvm9oegn/
sqzw3FFyaRMV4CTElDzPYmfHwq3g+B0nkYPDua0rc1S3divfDtquzC4kK84/pF9Nnkw9cR/Ifj/d
myVw5AxSWsvqXaZcekPPLiC/7sw8DYSaOBxHl3AzpBa20aul1KVbROicdgtLU+wuvElnOxJb6Ulh
ZOBFeTIqJM0S9CIn7sr68C2LPBU1am06JgzArBJuPGzXi0o8Rqahzb5/hGfHimmgclcshPTm1N9f
xopW9KkZJNxoLsursMxX44gTY1R2B7k0Pr9v6+yz+9LWSRQShGGTJQptiVgy4D7ow0MQsU20/H/j
QA+b7n/c1Mm4FOSkreWAcckZ+GsTtit01tff34v0c3b7y+BH3TS59SoTkeP3nhPlyOgtBMHLPPdX
KoJfXQCwnMq2K0+F19Q1Rim15wFFu9Peqz22lnEjqNJjGEu7sRUeVTd5bo3gqKRjPk81eZmDmnZx
fBQaD+NZOXrt/NK4EoTmYLXBh9BDp25j1Q7U5jU1FZ/DRNfpo2ARl/V1aRbXWV3fwBd4yyW9xeMl
uhm0+D0SYMuR2yn6ZCFX2HSZ6b1YU9/p95hh4xhjqFtLCiLk1vpqrHBMC5Dput1Vk+mPfljgYFTU
a9GX510Yx7Paaj5Hi5pZM2ivXYMCLyOg2L/q3A2q5H1jCXdt5q0GQc2dUVNBXo1zQRbx3i9mcg+I
3GyBbUva0VXauWThie3FW6kwtrGb7wY/W8bq1BHR3BPxlqF026J8LyyjrSCBNkBS1NTBMszUXVrA
1ZK81y4aD0ZUzyPK8uRcADDYI6sGgK5ZD2UJ+71MsFgrTbt29ZtYESmngaqsweLJ3I3rd/iQKO5H
FOMvaPrUo5fupnODTSML96U6gFIOTP6yKTC4eqt7866PKUB0pa1btviVloU7ExN4PkVGnQHFcQqC
7rp7tMzqbQgDwHfko0b6pmrwHDG2bYRRYxA/qCaAC7Had8Nkyyndp4iWqCzSHlOhvxfxJaXC6NA0
5rbwjFlr6nbgy6siEeYEsh1Vc/lxbOJDZSS7KkzXltys+lg6tIOEjXsLmHSCmAyYWnW6halgiFG8
m+tbzet3VifNVDkjvVEs87LA0A9btzrZiX18Icr5maM+eUPIl2OoJFKtJVP58PsbkjZpNDJG26UP
uSNRuQgtOrRcXgwrvJI+q2Hr4pVZQrjA3atOIHtWGJ1g7yL21LOmb6p0YfU4M9thbIEjN+sssvLT
zJIgxrWlaeyDUlfZsAPex3K88igDlv3s9tIE8dfF8be2Tma7yBiLQaoLZrs+OYySu/EijuXQ/uJ0
Jocfaou1WZc3d1osYu6oUlKfjmsNR/dlEvf7Qs3FJf5KTuvlSzOOLlzd2Y6QpspCCV01PIHfH40n
Z3qKHJjosMNvGFN/S5/JY2EPsXUhRrjQknKivKnTMFfVPCFxMyzkH3H5XOMI5f0bKUODrc+f9/Mz
3fJlGRN6rBPajFaUUJgHTbTokOqOOAl0AgXZ0cf3z/ZMEPdba6dTf1nFdZbSWolBqdfONL9zvm/h
3LvzWxMn67LbR0VjDDERQVI/6Bn5jsSal8Tapugdx7C89cRuZujSm5q6yzbUN0UT4Oaq63NEBABz
NTBJbc5fhfKljPT5J4p9PSJfMrSnr3Xb1UXtCVyamW+bfSA9wOLGvun7Djjfxb8aOYnzVGFo5Cih
izXjvRxeMGT6/vPPdzCnrRL/EHmdFgIk3qA2EhIUTjxhpuUII9ykVe06LmTOzpVDUUr3FOEslREB
pZ7Jq1Yc7vRsPGIhf2+a6iJwAUXEGYaWaosvx/eXdyb+ZF+lsd/8OX+epoSq1I+pDBbaZSqGL36i
PcajtLLyN7fsV+pwKVV8Jvz8rbWTwSYURGWDTF80IV42LmCPWGBiTjrpsVH92zHorqQBOFJxUdYx
PcaTJeK3lk8mybyUkqowvG6pij6FVi4V6Eq5a6No48uJE1iY3GKJ8X3fypcaPRlbRiHVUoQH3tLf
hf7Melfei9dxR7YRSVD8UCczbNh21YxVfRPNI+c92RmOPpNIkJVLT3DkS4cCZ8c6QnmYqqDaqD39
fTL2RaFStCmSjMuKiLFa1VY4//6efw6Yv3b0rzbk39sQXJcOlXhpvYSklKViCRzN6whBJgL9sEJl
i0tSMV6H+LJmacpZMOYzYBvqktMfCrjq4D6RF2kyOr186zLeO7Gh6mzb6yRiMYPyU6Rl1WsfbLp8
dJQmXIk69iuhZfvSwW8ulX+cfz9+3c7JiK3kLAh6FznxQAlBbnaOIL90CQ63IQ59j9/33aW2pq9/
WVvKMBaGyKTrtB6Ha01fj5q5IDEg6RjZiBcW5nOn1FNG5c/BcKoEEbKMQsOSwdAJj2OB5RaCg3x4
b7AoL+tFj+wlys255eeL7+9y6rFvBsjPFOeXu0SR7LVuw10KdQX2Ti+ufMm4EynsnX3f0FR4/W1L
J6vnGHdjbGm01Dj9jEqLDUa/ZkeW37INe1yA4H5P19LsJxeXb1pyMu4E62HmZnZ1F10X63HeLk24
mVPF7hrnvPWlnP+5agaiP/RUnElYFJ+dhEfJIOqDrjG8hK577PF8iXPcNuRWQkKo5bg94R8gitU2
aPUrOdICBrqMoLXAgdhT3fukia+sHu2LX/mrpGj2jVi95QazZxZUjNUYJlBQVHdKB5iUWl7XCUcJ
Zy1Vff6+r8929a/7ME6Cr1BPi7LwuY9GzOCvPbtqgNv8VakMF+bUs1OYgnPddGyEEO7kHRmj1BXk
OmQer0xcFcGm2blwcRI7dzs6wfvkxMpDOT2e8sS8RUxvtUvKcmEaPistnkYxJkvNXV5fFZm5QebN
F+SFDthAGlN2kjWGcQLV1MaD6bPJxd84MS3bDV668ZEt4cywQMpTny7ibymyQbMwq8aPU4P/rBp4
RcWC3WHzo0HVxTdRNt8FLV57HNZ9/6TOvX5fb+1kfjZrUaMglwW/MUPHFPZCCaEn+jee0knV59eZ
LEw93EgDgwpEycVIFAgEKMnv7+PcZPmlidMR5/dF7IotTRjNU61R3IvrX4VxVYktgeBeuqFLrZ2s
nGHXWkki0hqFKDMpTHFtbTGrObrJIVSW39/Z2Zn5662dPKIxiCQx5fB+WYewf8GdqrgSynhZkZUo
M5i7WekUwdw35QuL99lhT37uj2Ld0zx75QYRpdU0bJYsqQHeQv59j6mXjEPj9/d4TvbxtS7YmN7z
L6uA5Wq1FFs6IyQAagJNrCgzp2imYonhKCZ4mxWJreS3WUBuoXr0FZhvABqSXW09DUKzEBBUYylf
N8cyly+M3rOvyJdumL7+5dpSuIiaEk3dIF3J/meWH1os4i50wDRiTpfBrw95ehZfGvELsS3lhkb8
2Fyj/yTwyVcpnAeANbU1rjJM/vux5UhqJI1lPIQ+do4KHLtNEZYUbz63rrgmw7AojABkXT8T24fv
L/Fn/eTJJf6WVjm5RJb+SvYUYuZGlJ04fIqHrdnfwlJPumE+uO2L2jRHYuoU1LZ0F9bNvOyaPwxd
/6ng6sybR0EhJTGoMPn3dBOYQztwcQlig6K/SVI0qzw4XsIw4fReK0u5cM/nKt5+a+4kZOf4h/XF
Y+avqmAWpeHBSH8YOH2mOMaRHbcpSuTwAZQ6FZR9Cn4AV2d8TWrvNTf2Jo6V9UeFhZuXPWVquo4L
ggdcjy88mDP7it8u8iRqUC1yAiw0LUkIdBrhg2w+dS7MkWDFeo9dgZAK61z60AD+BlE1GwdU2hXe
DbW5qaP3LuVNU1cXrumMXtuUJz8aBXkBBXcnL03mxULpW1q7DPtmFTcaRg0C0Qqk8mGgCDV1mhZA
gNJQifH0fdNnNpWkxmVDoiRcmkr6f3+TBDZybdJmPDIzu1bcctWZVjTr/X5Thvl1ZSx9q9+WQZBf
eAwwv/76DltojDWZ/0kQsU+egyJEbHUGr1lK8rgYxEMGc0Vcs2SLQD+grtSW08G1xcfQgNYwbqr8
QwephSlG1m/y6tFtwREtGnONSxseKk5aTcCFj4B0thpuOmsnUaqFH2Es23L20ZobawqrqnqmSkC5
1Ae55ZuoVGp3Rb3BDsUSF71w9PChbJeSNvOMhiDsprOuvfKxEFcTfe5TxJhOxYUE1RawDCfo7hMY
1dlKMdFuXUflfS5dq9EmzzGPxh97eE1KzxnzYzsefJ0kIciEWSPNO+2pqMpZkzyG+cxtjjHnB+qh
Cx89Ds7T9NAdXWrMA4hM8Qruu6/OTelQZI4/pk4x3GNJaggbV79W+k2W3KfaM6XpMxeuV3urdE4q
P7TyVulueywUa6LegcJSsdyE6rHJfniwmgrFFj+DZmcEu9jceMFNWBwk7UOQj4OI0WrPaQykEqxl
/OSlC1ea8NpLO0N1VP8QCVeV/JA0T+xG7SjFdRZQUxkcGv1H4WLVU71m1HhYY0XI5+TdWhruuThH
Njcxlb3ts+dupVeFYlLlSqgWJWa81bq39hqW3SXlH+F7ywYCoKAdCJ/4Fdl99tkBuKpvjGQrRwRd
YAOFK+ATRgprq9xYdYA6Dy/SCMdJ/aOThmXHalfMRaCFzVOKX2tUPlTtAtd2ZcjnIU421VuAKRd2
QW60EU0MMzni6rzXguPqwnj2Gozo7bTYAw7BOXfIJx443NFdEVyZNUDgjUduVMmeDNKKkYH3SSfZ
CoVDcv4gZrpdFTjelotcmxxgJTmfR8qyjuFowfsSHTO/FpjmlaxyskbYKK2+rM3W1s1nvU1sAe2U
pC2a0N+aubDKuOHWK3BXybdM4xtlvIvyEo7oepTF58onJe/9sKwPTWuWgrFTqPGAxCxggNm2d9Mc
7MPmwIkKdI11HcUwlK2PPKQvMmUhlyaAryy5arRgLjbuk+Y25ArjOz3ChxCWtVckHzX5WbHgsUq+
3UeT1FkSJlRYY2PmcAuKzKQIs+iBAE2WSJFdKDCxCCczbAERMOGYgR7fcYvimg2Jm930GDAJfb2W
Cb+Y98O0T67klpPNH0nfBeUqSLwunJdRhFa2JuLXi8feD4n+x+tYSnHS0vaU/TtDymRtGvMwrbdq
mc/GvnqQFK23la5e4fH1McgcaovSqowDTIhCEkZ6deVK8SoncOJ5F7cKRgZi3e/0tnUE0Vha+N4H
1Eh3ano/+KCRZDO5dqv0WmqqXTX0617PjpZcHkYl28RqMB/YRvk16O+gXY1WBo3EgL6GzHJrmMkh
F/1DakaUhjB0u6JeSuxQetdbR0l8rN3+oHfdtuHED+Aaa4s2bBNcFQIs/2vfey/8dKvXFc76vcWh
ktd+KJZ/lZjBLBzb+3BUCPpM9GF+79uGym+C2m9VdXjSxqp2vFaIHW+oPxqYK17R1nbCWsYJ3Mbs
vF3Vxtdd2s8kgMCwrvce7iodp9cj5edspm0hbKG9DHPFf2p8aeCkrr3JPc6+Uo4vQ3z5i/o5Asqk
ZGB33fiQ4B2bKP1UpTjPleE96TFB7lSVD9KxyI5ITDUQtyz8d9VqZYylIw7VKvbK/dC4zuhR05qn
TiaQUmjUjQ43yw9wlRyFAgpGSchS+7tAbhmvuP6KIZnH4cFtjb1aiZsuGd5cT7yJVXcJ/uczzBoD
LIT0MGpdMIMrjjmXKq00iYPFtsVX1+Ccs42aY1ENUHBCjVmqjo+WEC1yrJ91cfIWbtam2pBXDPwC
Q+T0OcjEbiUK8UoeohsxDleSX97rnb+1omyj+vKkpahyGzEtJZpVg7m/oGzbOsNbReheTMQqjutq
WOAWwqEtzWWYxk+qoF5VJS5hVroXhHgmufrD6AY3YjcK2GqNZOl4DW3Na/eWi6W7qCyNHuBkAhNH
7vT9hKdIXc1pmVu48SUqqMfYNZaRF2BfGN0HabHO5OLO05LrgSMd9KKPkhXdJK0ZUNdPtV1Zb3r4
GYpnOCXAS5HzkVgKHnUXOSuuiVaczcWyWOmNOwfx6aiYAieQSjxm57JAwRnGm7Emx+IGz1pdNThU
d6S8plRkoK9ShZNMUBmddzfopuMrJaawAJMk2e6Hx6S812Cecbi+5jjzmHAsoonVQqIG3jRvw2zc
Vz2Gaz6rtbhMWn1bKr1TQPSIyxspa+0ET23fSpddHTtusk86wWlwFsM4knAO23pGT4/lcJG+IN/F
zg7eZvwma5qDkt7W40eTc+vSICvFcTroEBxr3XiZdjxt8Tho28L0KAOhGBAfPR6uUR9F664fDoV7
04YYwob7DP8EtUrmI9kHqb/t1LUrIV7QKFEP7CB1dPys++J+wGy30UuWp3qnAs4KzdSpdXFex9Vc
03tCX2CIJierLD81NIler3gs5HmD8M5vX1yJObjeur2O5e6N6FU7JULySfWmSD7ctx466H4y/ieZ
IDuqRyo3lxcJqK8C9KFh9tuie1Q5yNYtYLkkKYoh3BTKusHvQp5TbkrlfAMy5jnKoytTAygTPbGe
87LIMARTSoDNtQ74LdaDTWsm8DbfR5eqKqNfZ/TuELmOn+w7jpQ03ycrb+QzXztmw1pobyX3oZcM
J870WQWZMKmTjZE9C6NmS8FRBEaiGs9GQFURWODivnXfzAa1qSjPGvm1mkiX/uug3laQmvqRKKzD
AXks9rqk4zOTzgQA3Krxlo53sf4W4XzXQSr1MafJ2ukEntqlBq4nAL3sphyShaDIs8FqZ1aD/22G
ky0nKEXxLOiD4wn3ioSKJ+XuA4zJRmuhai25ARE3OrpdeDWlR2x9zTK1ycpAi4VfwBUFegMPdrCj
3oK6CYOOGmmz8LdBRuIXzSURVssxfrOsqdVDk7fpI/JtUhFfqSBNvaHY5l60FHx3PgzSLOrDeTXo
c7837MJMZmrmzxv2s3X1MupAVLJxVuBmGg4tUYrqGMMmBlVWNbe48dlCbdk5YgOg9nYgQ47Bn7+V
xJURxjMB6IpMVoDJltTH3cC0gguh46qvlGZ69a03vGgRUJgBSKb4VINuHqRhYUF1abrGFlrM0tE5
iS+q+qQ2Htbh02pFJbaH0kQGaGPF8T5Vt6P+JLmeXRqY0VXPharMSrLCIFo7QkadJ6sQVAZuAgZ1
mGlQiNxRhmH6NKoiswXrgcYyWWh2b/GKjimrkD6vKAPPkpY87ojkJdn0kCZlsX2W4L1IvDuuB8iM
0E8bcnYo/mJkco9BCeSByW7TX5jDg9riUxEQ8THUiVhmjecC0EP4E0BFbV5Ui06L3gXkQOyAHHXI
nLGnrIvgbKr+lYZHXYf5wLItB/080XPbL7jl4Zo7miuAYyLhUc7WyZDaksyRfBWTztymOLnALkua
+1wX8M4jHEQaktRkv8d2PpjqqmQWyLVoHUpwP0t3aWVHfC7HkHbGI6drYrINw3s1uZn8FmWGScRr
brSPBM7meOz7zFasB6kiLovfAsVRs4MebtE1FcUsS1dJvZaAF4eVncuHaPgQo6u6etWz5957zuBs
1Le+JlGjeLQCYlgwUkCW5j0e2wwp3bwO2Atn86KK0Hawjs2bGGPwrLKb6LZ1f1jQGdSXkfMUFUsk
XK3VZqdzgp1CTot/pNmBKMVWyjvX2ivdxkBJwk4lN9jF5nA8KLFmjnU1RpmLvTegzU5/7zPwS+zQ
EvnYxTsOciNx70aHyLpPsY7MDlZ5PUjXlr/yw2oWRXeqv0iHRR5tDfHvarT//C1X8ndM9HuWD2Xg
+fXJH//7Lkv49f+mn/nH9/z373/kR/74yNlr/frbH+ZpHdTDTfNZDsfPqonrPxnV03f+/37xD/fb
uyH//K//yLOqfoX7+fH5mysuOmjE4wq/KNil8mrS2v7n18b++JD9a8KHEOFMcunffAH/+vN/+gJi
nYuPn2iQjuB34De/uepqEiIhzg/w3P35pV++gJy/YDCKlu/nz/0ynNb+ZsnE9qKoGroI8Vv+V2wB
SSOeJg1+v3L9JLsbJag6eQGH5UPnxGv05kM8D+p7v3nMmsZOS3D39huIa1vY6tI7u59KtP0r+Src
uVc4eWbH6theD5/Wtp3l7+EuXrdrUt66oy+LOQXK2xRmNCdZkj2sm3eCCb98w/ZSu5Hmiud43ix1
BDRuWKSiFTt2yTKyrdlwi2X6IYNAw7Jx03Gwktn9Q3qUcZ/v8TXQZhxpNCssTokFknnymuzVB0qI
bGOmZzPTqUg5YZjCjpv/27BKqYlt7jtsgTg246zKnQs70NMLZHkHDJBGf2YuhadxBrCjOnri3FpQ
JLI15qoyl9fkQCnWcOqVMPdsYHQwU5wKs3uPFMCsqn64WN4Pu50CenKVzzdWtHUfoxkGbvfxslqZ
TjZvF/VucFphUc/kH0XguMv8Q1qMM2q3PXaoT+2aYyMoy5vCFp3oNV9bT+aPYFVOmFrjLZ5B612C
hTnQD9SOLLAxjmbdVeVMvkJ4v7qL3GautiUgKASxswYJoyMcsQft5hnbiu24bVce6GGF/eND/vAo
XnfgiJ+lo7QMqbByQWfgrR/ZuLNtZQqtRsf/Qar3E7qG00O5majrCbRpq7XxIh1tzGyPL2Y2F9jX
h3Prbry2Vv5a3iT76iW4SZb5W/7YKwf1g3r02HXujK2RzcFELuu5OWG/bXpviZije2Rjjy2fuPBX
4iJ9aFSYoaPowMsZHyvb3IR3+Q4Uubp4keAHeatiT/ZZhPeSOenWipcWRMxbIqe1jj2hHSxVYB7N
k+7N5ff8R1TNlz2xeLJnHNfLYl1XiW15j8OKAYzDf7/WQii9RwxxFxBARTtbVIfw74cn/zfnQBnN
DRlT/OfRLGLW9+0cSBjHIclvc+Bff/7POVD8m4xEG8XdJD/8O4Cy+6zq//oPwRT/Rr0dR7UaLuIc
O0+VqL/mQIMZE2jlTyNWgpSvk+BPZ0q0jGAtDdiW/8okqJ66i2Pi+fXW1dMDVrOLsNuvwSmzEWo2
crEoQd8KgEsJPm+YGpsNs999Lz6Az+qzG7GdVRsIYchB0if+wLfJL/CiUvHHtIjn/DBfgsedDSt9
/gHZEY0PpO+A932mGOCxehym2dW968a+Tg4Uqir8MEYA2Xu1YYkfb/N3VKwCrAprBfsLyNY2Axzj
vogvfr3MQIGBpZbH5/HQ3aB0ldsZAC75BeTSiuviv4F6DXgVi/2c/RB3pUdcT2VL0kccLVCn1ChT
489hOR76QwP6mRpjcCS9Le75YZ13ogA3yw+BbaIfijlApqvxlqYUG9NjUDIRyEs7Z9F34nfx6q25
qQEeKfMg2YpXLgCPdus+JOBYPsMn92GUnbTdgjwSmbM0G9ZSY6spPDB47Gx3kOrO+U3bTXSltfnZ
UepqG6vwCb7S58RWGV74RhzVrG1lW4v2wCcBgY/fzU9QK7qyeIu21jba8oWFthterFd3AYSm8Gai
MuftR9M14smWvRuwltIZ4BXsyVckGWUm91cLUXeKJy6yK1uLl82zctUfDYc5v+/n6UrkW7AH8+5V
777S7/kPPoVfonklvch33hqcMl4lIJvguKC8JOPT37Sr4YD4N3Cydz+kvgBytGoDwdrwqfyqFvgj
3mrzARrqFVQmXOm3ORcFQPlu+nuuuclt5nYYRVdcrrvwduM+uUvW1LV5u2V/o/9wV0vDMe6zaJE8
SS/imta5gZ6iiTlE5uw9BF2+nXbdwISXqKz9Ry4O0zeuTL6bQNbVgmv0QNr0N0C/uIn+ZjgkEFLX
gaPOsn7RXSv43GtzBX9uh1JtOFeHZAXxaA0oiX9Y6TbKYsrRsdHhOvgEcf6uzY1iG4AQM+6ZfeGB
rqBD03B33QEsfoYjc0e36zttThPyXbDTb71btuBbdcu5g7HRHOmq/flR9Wa6LrqxMZbQoeJwo9ML
Uw8OK+mKEDt6Atgz6euvVXFnfJKRb2HCoFdjXxEat8k7OjpzNQFk9FXwFL0TPbyAepvJjDnyqhxm
OtZn9CQx0v0dIv8YqDWYl2765GQmXfEx/DEFiYOensjHu/85Zf5fXB0mAINpqCLxpiVzUDxNkd9E
yIg0ma2/rA7nfv7P1UH6G5V0HO1O4BOcZqaioz9XB5yzJU3DCwY+pESRKWvSn6uD+TcMYjTJVPBe
FXGBYuH4k8nClyarAdxmOYGD8aL8K6sDLq5cwNfD8ZNrx+SZr385HFfzqozTAfN1pkJD+mBOREWI
4glYnOHvhhvIff7O92bKTpw/UYOi4fvLn6SAIDRfphtXWw23VuxQYZSHcxODKrC0MZ7HC849LC9b
dNVbSFUyekK4ja4CDmipcoRu8v7sBZmSPLbW3g98em3xRtDKV8XulWOz7+842Iq2zKTDPlnBdZAr
W8eFnzmZdNOdfKUZB7V6DSdfw3jTcM0vbTirmcKPTO0c5WHtD+rBC8dZT751Xz9bK3C93mMV/Wg2
jHyndKAdxvVoZ9VVflTNYxWSv1sAB+9KLP4X1qcHHY7jmVUyy2b1MqRKHTUxGfhWfnCvqPAP6qOa
/Bgcv7+V3gfnf7g7r+W2sWwNPxFcyOEWiTmJVLxByQqIRE7E058P7vGMrZ6arj6XXa2S3RYpkASw
91rrT6PqXQ1XDrzpzdzFxREsoAKyAu4bjVW27WqiAGwafL10SAQOXrhHXSiW+bbchnvzBK4Jaqg4
muLsesaZpEQRD+dVBDv1roGbYskeu8dg8kFe3E6303jMmKJ+R3tBsqCXXbC4LCBrYk7DExtQtztp
nilRd2PWBHCe3c7ZpezZB3ySGrsHTgGPzoSdKc0PI+Ov3WqYfjWwkW2z+Biv25t2CkK/pgwlh+Pt
2NRYlQyLD9Q47mzrOIeHWvbNqfble/8+XXm7W82/eYkx2sFHcWVw9UaIg/3U+zey7Emu1ACvKuZ/
2Sq+PnBGWwQ/OKbHG2N5xZhAP9ZLi5J11cl73c3c75GwEIPtddkfupN0iS33O4OT4akrTkRp5MvE
sMe7/Lbki0U3unTP5rZ5Vi9D5817nuboW4KS96zKLVGUnqRuItVnaWbWeuXEyzsO7Em5SAj2Iun2
FWNfCfgUPG4rSgv6i6eapkF2NSSdRMF7Wn0am1XOAJ8Bw7glS3nIzxGy7HaZMZyxh9iZwO56KnMS
JAn5ZnTuyplH3SEs4c4SAiGZi+wgPN7m6yePXPGTqTHDlSMlUEVPk6K5PPXFqhxoJNgaSsLv3rDu
yjHGG5xiURRO0K/ko8IuomHCHrk1QMK78B0MpSG+emKA7N3yO5CUEgMr5nvazed8Nj0ysemFf558
LblXOofTz0XRPDQPXB45r5pHP8k8krMK0a5YSfbwUZyU0q0P3YKoT5Wvj4ktlTBGxJM6iZY27gk4
FfP5MRjUvTz7NAhNTo9Wx6Cda4jS43pQix2BZonqU4wMRz3r7PRpVq/S9sZHOIzWqdpO63GNhGtR
buJwXZBFt70dxRVZIISrffafbb5ohJ0EwNqX+2prHjKNTd8bzkNeOfE58dhZlVeqza44h08hVaDX
rbpttleIjNk/p6tmK7rJZqBw9afssSViovZ7VofOOQzH2BnISYsJwQYLPvV+OkchukRxuvWprfzS
cNI3rhbVp5ajxSoLp/me3YuNw1IIKOAH7UoheU9LF9lDzEgUHUFsMxPtrMVjSkcIy3Bg23aACGPe
9M2lhLlAe33XxFXwJLsKU2nBWobNJ6HckvlcsE2PLJmfEqmIV3lDPRZvUmFlhDZ5596t3YnvqtsW
3ql2GKE5oksK3p7qyWDUfV9hvb4wiH2nXiarkwjOipi77FkkQnBQdpjGfKgUnLpjkUor1WuJEQhD
a54Qn6Z9z/DX8NV6rYPWN+aHVm3GmkrPbC9kjsr5JaI418FLGXnAVkIped38SEXkVpwKr3kWHigS
qzfV1nZ8CpmtS7Zuy4fGjR50JqIvk7YRy130MK4X3CY0xdSG1ELiytzmG4Dro3rENNpOiZPDxWJX
E4Cy65f9st0Invysr/Lv8QL/A8j7hiOvVHfOLTyGiznNkAptOBbYNb0Gy2yDxoAKjZhQ63W8o5AT
PjgRhjMcWQ3wa70UpsvkhZyYtfDU6XzuyyEjjjLamYKnqA+Ez8PaZ05eT48BBZP2wW1tseYzwTe4
9Lptta9X9arYh5LLFRvGR/AQ8WhciR8EL7TYN5Ml+XisR7LTlrMNcET8ovLCbZCGXmWBitvX4+Dr
25lmcuwNO5rsxZHkvtqWzxW1cPapntVzIG1vPD7y9jHDHy6u2gUHUOewdGDJ1fzJmXMF/cQVEGEX
6fUnyHQQzFcpc1UHXV462CyXfF6Xhaltde4tZR9cOHz5GGw5qysQM7cEBrluFnxgECT20v4yrlOH
zxv7EMPOhy3tA2NVm0tDXI13A3g2/IotcrtH4jqlnDCWhcruSz16ke74jBzDUXa85VF3KfYX0Wdq
HqLPDqkiVJE71a04ddqOGEm3X0uLxjd2SJyclJI5/xxJafTGyFEPsCE8a2dnD4SmroRdBwHGJsg+
s9NVyHv87Om4rp6EMPVEyuJCItLSwNNK9ALRJ/E3NjzMmEr8JEXSLeFM9LYkOuXmpsA6QVO6HENy
R1ltnqNirV+Ufc00KXkkZZVPVb3kGy5n+iQ+wEQm0R2jAtGHD1M2R+6B6MqHz8erq991OKKR3zzP
GaGAqO88Qdm98aFP+8Anpd5DeLKoFrl/9QJidLuAPJsS4BGcp/BSlgUMIbvHvKdab4E+BwOIYNcz
HBP31gcsPObmo7qP1voOxsomxGuWa+nQnWWIJL7+dBXWSGu4nEr7PAhuHwKTbKfpfrzuNbCkSgKY
924DSc6eVtnn6V5I641FCGQgORhuAvSLlafipEpMqOBkpV+H58q0TTKgGicq7ljIWfV0bRfhncGe
5PTSu8qFHjJ4wyCS/PmM9KEYdR6wEjZH1mnQUxDIdTRO4Afnot+IceJWxBcRQp2qVIYk8UVPrbCY
jlCjCnj1oZEdb6FEKgd9plm4ZVe442FwFNFP7ZPVkSKxgrMiDOt3C9tOcy/o961BBNh6VDbmcOzU
XUhUE4QBxqzrvLHF3oYuxHdCMVft/rZVqhXmNMOJsjBJEneYnmUa8JZMWDp/klJ9YautuP/vkvvw
YK3yXe58xkw7xcfC8uuP+BCd4kO+E1bCMTxbx2zXPSYf3ca8M47mXt83m+IxxRG45PCBLTmDS4Ys
tsSDP9JhsiB64qpuGuCeFfm29gdIjXQns8lBuMQa8ebKm+WwabQXoj6tBHf3Y+cNTqQvGaGMh+sm
TM4jmeWMZGXMWJmKeqSJu9ACXHNpfdRrct3O407d5Gt12ZK2aRIvSqbwmnVAyFdk/WqbzPCwAXD0
pne7yL9tu8v4Gj9DOY6fm0v8XEULTb1AiNBt/s3ilL4Hdr2HZnZ9v5HZNFLoAe+ojhPKR21SvIrJ
8Wf8bFVOgZ+USlbu1jQBgXhscbxt27HdCukquANnm84MZ4ZT9lSOvp6/Gc3iNu/9S+KzeWMxJ93E
N3nJFm8t+eEn291ziHNkdRA33Ubcc5L65/S7KXn/8D5VNywJaITvs4Tlf/ap2u9Izh+93u/P/7VP
NTC7sDQIwCSawIP9T5+q4IBszrRgMkCNuYX9pU8lO5Qx5typzrGKv/apumFgRckPZX4q/q0+9Q+3
jF8I0l9euvzDSvqXNrVKrFBIx6u5kJHysfEGi/zSnG5A127If0w0XTrDYwHTx7dADJGmuy1Ljxus
NdmNp6sdfCZncGJQTHFRMgnCnE8VSW+3NUi07UEOn5VLo18sFst8rZybzGUiOD0nC0Kcl/igqBum
ltkT1fwI4LO4EV9uuJ+xTzixU1CQr3RviHxImk60kI4BMbwA7sEaHt9DcZcfh9fJHQ73Zuvh3Ock
3myz+E4iQbuKl+ESnsdK9F4UkBPFH4ED6hWkO6ffDq+3h3Y1eP325rUsaFBQVQdovifb2QFyIYAD
jiAzz+31lWiD7QT/WCb62Smx0w5O1PP1NjhlrBk3GrUxctW15BOwmq+S1hNhVa+FDPzbFgisn3zC
5ABwLte9uTbX9Sp5l9H9yW590RiqrcNl/n69m9zGcpo9ye0wgohXEOz6/YAoeYw9rM7a9xhE2h5X
6dKKFqLliK2Pe/BWd4Y9/04rGW803vVRC+yq8MaL5PK3RLH5MbvjstVBqMaztu1OtIelz0TunRaU
+nfTFJ7iHpStso3YDGhkVuorx2VySrm4lFwOXB+au/bIy6hqpyx5MYHpplc7fxZ6+2Y5KsdD0JEu
DX+8hBvImXXsdntpK2078rNWDT51KiNAze9XqiOSjU3C+LtgtxdOy4wSTVxOCjwDTsGWP+l1eRku
4NqKD6jmeeVFiFzZCZeUCvWKAeWnXDkNeDaDAldlTiFjdO1atGTZWqsubP9hZ4/md8VofC1wh3wB
j6do/GJ4je+gZ9HEy1O9KEWUdEsYTLWv7jPtnLqm5SeaO7S0ax7WukLsmQxHinXV2oLoExTwY8Jg
nJWDeCvYT1/g/ZWhK7CuD+291T2Ox/fQNXVaeeOcjv4Gs9q+JdLpGLYB6JFtmBGsNlgE9kxHwBEE
yuAifFFSXDO+w9wsJ3Leh7tGf77F65JsQii5kCsbHgc9WkolJ6pOU/Cab6DCp0l5VwenYRe132v5
uSDlcngV0sf0tlE+KW8gDsiXBgfIFaPrPTkxXEjH63ymzAXNyhbloD9xEb22RwuM0PLLCrYgBD23
PzARkmyyiTysdt3yoH3vdmTuurIXLvvtdR/eUe3jdfqqG+5AHU/NTy0lrIuJfGFHbbdMRNR0yXd6
Y+4pemXxMyZ8JzpM5Py4mKLebOQHXXyXXpDB0hd/qk9Bu47u2OCfB5wvvl8H53a8HW6HjqgNtr5t
+zk6LB4OoYgXQqF4mv42fXoZ6OPk0Gj2HhDwVlpP6/ozMR27e5I0dk2H4pim6cprXGfTCg90YAo/
iLcxWC6+94CIsuS2N0+3o1crPQOqKB9VdEc5fN3W5UNGS6+ClaZetyDE3Z1WDDpUy6ENLAy/7zyq
136uiwGdz+0FTvM8BaFRgl7sQPVZiuJH9EjFny+7Z2l/g8XC+IzWEARSIMsF+4W7jls1cfedksCL
WUf9DVbcSy0f6CrOFJRUMi34Amuc9SNoPc/cOW983QJwS/XcF+Tlq3hooAgXbzFuXEkYwUHfmQr8
fTfR/aB8FslKmceFI6/9tTQhZSUOkj8IjIwWUyJVCb8tIZIxBhS0Jdf8Il60sHBARDNzf6vcH80+
+Hu7BjC4HRiA12umPio3CrBHf30HAbYkL/s+PAsf0r7fEBV7wJD7YD6Ha5ps5ppLMArqfgEE9zO0
7qjrARdidMnlgnJfqnzhYTgKoT/eJaYt3BFlilISwhln7xb5Y36WVz3GJxDRJPVZekiaByP34thL
q4PwacLE+hQ+rc+4nAutHxWYsLbQKdgmSZay3ZtcB96PB4qkl2zgfF+pjTinLLnUhg0EAOmlzc8w
1kLqTeGs5R5e7lRhzHlUBlasOqjXJrt/bXWbhSaw4/f2Vfs0n/LYgdVsCuuwd6pVcseEqWg97RMe
guwzZvWROYwkJ2ESdKmYCQVMt6io2T5kilrJMeM7QyNd1elkGx8cxGu2GMHFY1WzPX65dnXHh/YV
FWJ1iZblnjfI8Y8weLfNZXoVPtVwE/B7vfk/lgq9d2BRRdbRAK6oSISBSQ9FVGjuaTAySIDQIdiT
9Qyq75JxLMTtEMhj3GsuzK+rPVACmPe1fk/pOJ0TUk+vx+q60fsXXXliywanRA56AyLqlh2sCOOg
1WsqTB28TGIC2dlawNrrw/1nZlnfaSGU7sekP6fWUSleTDbDWZa3n85jtQzSD8QcsH97dRPkby3Q
IcNmaPMAOew6j715aJ+L5fyMyueXJcClt0U57sUXVt9OdDicQEiLN8irBhc3OpFpLdTKSlKe9NxO
/qXh/YeiMBSK0ILIfkTc9MN8639Ut1CZ0K/9jsL86fk/q1v5G/7+BHnLWHv9Aan/u7qVwVNw94T2
BD3Kkn9HYVRFhb5ERgDBlCSD/1rdwlIC88fRWv7BVPo7KAy/5wsEI88IEVxZDjeX2r9DMIM5tujI
h3BZIJVgBFjlqR8aH1UY/oWM6r8eCIxrztfky/jCh7qFRjjFBgeqPPaCef///xxA1QkkRGTPpz2D
Tb9U6bE8oueJR3Ze8agzohgoPK9U4xDhfmlljn8U/r9GhcozLPV7P8Bn9suRvrwVQSxGc0w5UhNs
TfGjMKmH/Tgk7St5rruHCUJpVMiueoVKMJoUg+z12iULrLMcNgxYGER0CpUoqyocwzas1yUTtev0
r/byN57gby/0CweNxoUXihOfCJDHJfM1km4IjE4db3zmGjV6vwo32fH6qi4mX2QIO9lvJqNRw1lY
e7qVrXyA7+DX8HYIrVpB6vora8Cvbvd/ejnzy/3lDOF7F6VWxOemSusuKehccPBqe79HiMNiqw6f
VrMVYCkF/ECvn2uF4jV+vLXBX6gYZ9Xx1xOo4IhhceHDj1G/iBgbScFCt6zDZVjWDtCpI+cvf3GN
zO3nn4/x7xWFu/jLm20MWQyw31qmJox5a8wA80TEQPKzJaJ+ku/yBFvd6GK0KnsufDLsP5xObd9T
6zYgcS/itSXk2MR07dPUw7IKJk+HWKWUOZcU9B2wgRTnugoPiGht6aln3tDrqVcMZm/JM8nba0Lr
4ezTWdthM62LGZ9kUpdmI0oLWOy38SRkpyonNCNoGvWtJFdhJSZt6GBRoqED2l/RvWSM+Yocr2zL
8iOAVqJLfDN55aJj+KkjB8BpLTFcDd1wNQKRzkx/aB1qtuwY5ynSSaXGm0SsxtuXBHMVwt6pfG+n
OCXMz0A9V17K9ENWEjco35W4XbbGqSgWYq+5xM2PSBjliAhV7JTUdDGOqy4SYe5o62sFFIuT4FBR
t4rfUfNC0n8JhtkiwFG7VW9WrlF/aOS0C91OREVh0HrW5ZUjDjSbeCuqo9MY2XIY0fiT3hGrrnJj
hnbzikB6nnLhpW6S1RCc6v5S0iDcrEtXbJT4LJivYbUdK9EXmzsJaXBGMmKW7KvsdczuFOOoqS9C
Tt3LoK8pn7GTsau29c0wcWV+YbtJUCmkakRJsIrgeAtYV+NAC8hGcp0hu4nyit2jBeWiuhOTvYkK
+hpnblI/Mtm0b+O4M3WC7ct3y3zAIKcgy2UiliyDwTHtosm1Sj9t8K6ZYMvnNBYxNYJYOuLA1Dc9
oglBLQSFtBH8PALFGRXcQaEz045JqPj020KbeLXmsxZvw+HzGrer1Li6AuDDEAJssK6aybKXP8z8
NJSDEyDQN7PMl7U3cEcC4e7Z6UCevkdT53ciPbIArFe0KywW7U4is41AT5EaPcmA/EUmghWp2ToZ
n40TCPdtlTlCkS0FI7jrC3QXt2dVv9kY+ZJeiB+iXQ63hyxDt2nyxkxAbKZDnxNYE7Pd/YS/TBjv
bjopNzBTkZ6ZpMfSeQWJ4WBZKCEN6JUKccTtPGD40vUPuRYupSR+tLT8OUdFWxv7sTBvf3hc/xOr
oR+0PWW2jlI1Rm/aLHj+H9UQjMXfOSn/7fk/qyEYi5piERys/xjnySy9P2d9M5lR56AGBBPcmeEe
/nvWp30zFA2qt4n5o6pha/Wfaogfiao6m1kw6MM84G8xFpV5oPjrsv31pX/1rxWNQMQboGoW5j33
WrfGS9s3Yc/huGhLZwh/knDiB/yFL8YivpktmMlVyRqG4I4H4QGGwvJ9OjDE66i/w8+yP4f5vnzD
AhqaI3/lwequY2lXPCbLOsSALRV7/jT/9tor4lXwITFsN3eKuYOdAsMQiqIbwI7j0TQDgJz8sB79
RMK2dBU5FlwI4wcbgokieEID/EXm17z6+zD+hntjOb5HzLMqY+7HDQjNcFvUe9U7RJU7iB4PCqLV
sOCJHdSUaAv9D7465geZtZ5WkA57XJhRWc9yTWc8315y1HmniBHmfhqPWrQdzyNw7qViUgn9D/7w
BzURHMSuRwEzP4nvOPyFPBmOouJCJvQNwYVk47G0KS5GYnfBKTiZJ+tQPChvUHhuwCkzIRCUa4Yv
cuXBghyvKqscTnRktZucv1UPYd66yhNTx3RyptVtz3vkuOJOh4Nhd6d0A/9CemFtVHZ64MPEgPgm
ngFOQWghT+9nqt4SVwVHvzTP5nODLBLe91vzfINWF7pw/baAojOT0TjEJiaqtooIBa46zzMO/F7x
rOxy/t+HTid8xNQuHCEOPQ4FCitzDpW3YKaWHDlx/CrDuR3atV7sZnoj1Op+065B69obbp0QZZy6
ZwLQb/iy4qUgKBSQM00PtmDzHOIedAR23mj3waZfTLvK15eV3y9ufI+fEP3rSxh18YgFqB1srmQw
4TUnuvqSNRhmHwVFsBlfWCTnP0xtWa5nAIf2l4xFjFl4jsBIbQ1jkISD/iTCX/yoRy+B2G03isfv
zustT4ceqEZwA1vnvjtcK7c2nOvb+MLPu9qDNRhdNwFS1pMCG4dJkgg3cMtzoP3JgR+75+5gfNwv
ccQzPubaj98PVzx94s/xejSX3WE4lLBwPHEzLtrT/fyNHnVcrAufCRJHOfBt/pfMS24rC81X7yIk
Qxn49mMx+2eu25IOe5yeEgsVFm7xL9Zt1szfuthZrfP1+T/Xbekbay/rMyRFWQdsYd38uW7zI4AZ
mR7jD4iGSvgnRqN/g5cuUmkr9L+kSPCsn1xC/ZtmzbIgnRgUdbYU+TtdLHvH13X795f+g4n+S28R
JmbRpNRti/56kM64Ts4I4W2p4G7tD7APMq90S5eFlHEpbjsggIvan+ngVw37Y1Qa/h9LOkzE8noQ
NoE0p4o8N7cVX6zct1PhyQGmHsuZvg7DrFuPhwdhyZKs7m6nCuFL5ITQdT/7t/Gtkk76CacLXHp3
4jpbietwf0O2//qUr8K9hboaUp28pmXkC3mZ6Ux+cDLeJj+qTzoDTOVSEdVYr6piIzIcy0illKTR
Nhf6QrlR3fmDZ4FUVDvIU1G6vX3CtMqshTA+8rMSstgNGH2RoGFNlwx+xo3VeBw659vkgwL0OCgs
Qnhl8/+wdl4rR14D0reZrzITzXwX5S5jYcKkZ0GPJdlq6cD5Yv96iGjO4LKsh3W35u1XnqGvquRs
3su7mTZfZS5jLz5NPucbdtCXsthl0jvDOabTNAsEBxiL/qjO+8lMBVJ8wbRv+5gVVFwzW1eAE175
s7lXAr9guGs5bDuwDpwO5rltPgQQ3VYwvurcn4fwon81fOSuoUFluOi3MP3ao/4qNviDQRKA1852
EDzAnJjX9fCt12iVqocbc+u9ZR9Wd2zeUCBCO5wDfucjhA77G0kALFrNffGCozycgaudml4UPIep
fbcA5i+TaqcxDoV4ZeK5dyy6Z1o7j+B500/wc1RW5sWoHQrt5LtcUuOzWkF29hk7S3vgEiSrSxMe
26qO7OtLEzrw6p3ry01FC3Q9tSmt1J0C7f67yBF8MVoOJVgZ4Vs4cHgTduQIrF1pE3tdNdPmSCX2
pg068VlSbkfnkYz0VkLZQMEBrEfAG7zWdHOdaVkJusiPUjghHTBfu9HjU8RZQ0G44LLNsz3zwZmo
iiSY6GWPgJHYWZuTNBh7PkptW0JgaVxtG9+W04p/saDhVj4PtzaWn1ruzMljBKI5wDQcnMY3WtWk
DtR3/ITjczp151Z4xkZEX/wcPMBwYJBMxjsHJt7d5bfH8pLhfBR62VO8vF2X1+n5yj08sy4xVd/i
9piLvrkVPBytBx9miPQ9abeDz2B/WKv6vbLrt8ZTudIXI1NnG0z106ATwTp0IT0F2A/Yii/56rpl
rL6FiPjaUkdxmxcOHgc29Mo9N2XYbfNVUPt5s4y4uUqkZYdrAvOVqHlF5BSl94lhPuJi+I7NHpJ4
OqmbvKhSqMVdSXTvCOG24UKFDSTgw1dyK4fbqxEuAwqL4QpEkNP7w7Rd6yEb9Cyczp4BL1wKH+7E
7g5urL6YuZb0crzUl8OABM2GjFuky4dssd4/158gJXaKCBtwzE0cbH9O7+0ODmHkunrwSESktxKd
m3O1NzsRb1VbLLdIMNxya54M+4FQQ7Q5jrhO68yB0OTUC4TLayYxEHlsLFDfez8rnjmldlusuAUB
XQdGeOpJPT0E3rCZhp3aOOXCcKVV/tRRQHKC/WQ1g8CI0DeZK94WjSOywFhn5TzXqRcQLjcAObzC
iLLx4XcKmMKaTbtGhUQZsh+WrNbyOl8N5HbG11PsR6zXwa76hCObhIvpqQke+RjMRfeQji6VIKTl
hcRHsbUOAyDCPE9xxo+scG72eX22PuCKUx0BCVX+POgvQldnkn6iIIrMxxRaFYMviI8jRf8h8wrX
+lDUdfE8cFsktoz6QcRhq/V/rP4M0hn4wx0ClIclg1Cec+K9wV+E8BQ8ERCwrW3d747M3nHKcbpi
p3aPqX5fiA/8heqsMnZc20p+kc664IQU1wWsrXF3rrR7CCvRsGPMcJSFTaZh4OA0qbOcCgyTIQy4
ZuX1I7Jkd9pdxTthwtrDRtpxwvLANp2rIKBe4QVlTA2MRYuKajjo5RP1YIIetAu4+TpYgy6VGYZB
08tV3k9Aq3ZT7CjNRspIHgEZLneSFrtv46xDySnd/E22McU4QXbE0TpABW3u5Daf/wbPSlrFj1N9
UB//ycUX2mF0E8zxkUgof9U04wP7tfj60/N/Fl/yN5R4dMQWXqjMtmfuzc/iS/4GWMEMU1PJeYMo
84vMz/yGsAMNH3WW+kMC+J/iy/wGMUYGQkD+wbwc4cVPUfbxjznpH3rz8KP41///OmaWZmrP700z
Y5pf3rr6ZSDeinKYZWZJxuXspdSwP8Smecol9W40WKNTWFtSjD+BEdT3HbJ9hZTnbuaDhdbRDJuV
1UVLSW1HRlxpblvX8XvCHKZkwnZKImlTtVdP7NXviBY/Yis/V3l2kXqW1i5cynk+LY0qXE+WQjcV
dF7A/i3HmNK15CEUC316UqXBi6d6mRS6FzTG4yRJ7tC8Mx3HeZcNqk+9qTyHDIiUCfmeQvdm5qBo
ZY7PGkpohT49G7eVHuIEZq0asYCgll/3uYDvgzbdTV1i3k1RNCAuEI9aA2nZEDTzQdCCJ3Os92Lx
nKEZlNviYiUM48OHgNa8auu9HJmLUb7uwgLmRpL5Za2Vbjg91v2wFmLlLh3pcOsOIi+RB+hBAA/Z
QqZae+qL24OsIOGWRGWpmVOGKYsM1XLWJt9S5NqqFw3f5Ug41sHVT67qDzGZXEJ7w88tqbeVZXrS
3IrHwS4M3kNsPKwqx4puwjqnWRT4jgWmvAoRT6hMg1U36t10qHS/F/inEZbrIKXvYZ0ewlZ7iCti
l6MqWCb4dxcttVUBkQO1eFrf9VrvjppI1hYNnXE2rtF7f6UpTCQSnUpX1K+tU7VpgqBAu+tCmDoD
KRMM7GTK2Cts6z44J0TTkEZy+ccuL4AnrCqGqJFi+8PPmy7rf8zk8DhgJfgdofzT838uL+I3bCaR
ikkqCQF0cr/M5KRvoo6EF89F4Ea6vl96O5OOUCQF0FBUgiZFGrKfrZ35TUfsRVjJH/oxsMu/s7oY
MxrzO1rDK9cNERcJMnVZ/vj5r63doCt5p7X6IkyyiyZisZSV4l2SES+SyNe3xmBepDaUaN0PtK8+
1VXWQxqGcSEyJW655psQr0UlyO/KuBTxCIEBMkk6GpjQz+jbhjKD+a4w3G+qvSr1L6WuOtmQXAQL
JD1lal0RkCqqjgXnqm1UX74p1VKsaNRafdVxvftIdG9tSBNh9dIqTW+wBKYQWyfTCUx9TyLpOS9D
eSelCt4C4qRuxgqbHqWq72SMQ/XmQ6N5zPSZHa3t6qhJvHGYFkm7HwLxU5MISGpKrYUonSoMEsvR
CbWA2NLSetKjpl7g0qd7MkFVrBTy91KL4Ue3euFFneZl+Ber0WLozSULxrG61XaJN2gn5+3WLCn5
pLsA2760/J6Xs7h1lCANPOh8fJWFoNY0tvQ2GKs9DVq7KgTDbaMCHrumbUJjcLTmQwarud4mt5RH
Z6xkpjyCoC4aEeIYhK656WqoGTUtXxVtjUCIErR+nHTtXsA2Ok63jWG4cUqRe2ucuIQ+Jicu/iep
jk0Dc0pFxRIhrJZGDAFRGDf5FdZ8l66bAYvKyGBNGe5vausSC+XLQfhZYLzZl3Dp1MAPQkRzyIiK
1uT/p9LRsdE1C6pO5Vocp1DEV9x8lMfrMmewF+YoqGStXWP0sxiMYKUmwaMUnq4j3phj6XZ0XXhf
eWZPpLnMnFfKmc71u4wATtN6SYPsVUz1dVDByU/eBBnYo5WXOC4er3CnDLl2UzX35ost67OVVYvx
4pe7/L9sxX8GNkEVGdpjvQgDdpbv/3arxKUilYaO2Ka3WqcbF13xVyDufz0ChASdmkLkhvyC4TYY
2GuKmumLTsEhY3pKitj5f7yHfx9BFb8Ap7FhdhqIGEfo3pA2lChn/tmrvsYMDStIUHyg2l8+y9ms
519L/L/8c1j1OR9fV/0vz//Pqg+ewmbC0v2DPv3LRE/8xmaAcQ7nF73xb94R5jdL5KxT35rUjT80
xf9Z9uFbg6eTF/sD3vlbSIzF4f+06v/6yr/UlNjERdcqi4wFhmMd6968BGpJtWjN1g2EjwGPqDKX
Hnsj349yxjQ4OGNFTMZMZT5hrqe4odLRfIOXCi8JN70QjHRPPXKgMr1ZqxRoEb5LfzGy6SCWEKQq
VUrWpXAlKMNyC2zpXCnFKBLJ4JUyckY22XPRReKiNS4Ty7wMguBFWeUQgED3z7YyEx6Z5kRjvK8n
ZXRHIkUNlE6ickno+fL4ApRtB4FEC25gByNrH5OIQFGDIVxJ06KX2o9JoLO0smQXIwjUbq03TMC+
Wf1hjRJ5TJbcEO0+baic8VZjDG60g2uW0hwra6pPcZ6/aaaiL8SyAAg3ulPRKfq9GYr1nSRoqNgM
bGAHklaPOXMqVaKUk7Pu5qoacl5rQIGK/QAYxJQyP7UiCWkjG84/+/6jLFK5sMFDLYMq539WXXPs
09f778vzf95/0jeMXnU+cBBWerHfJ+po5TW0ENCl/lWQ/ZyoI8FXUd9bdJk4v/xec8EV498kWRbx
vPo7NZc8ryt/uvv+/boBRb8s8xkqanHssNGQkpfeamAOcOkquNcX9bLC37kcnqJ23cTMJK6rbrza
t+nq9Hm0rOvGqU06sbBCvyU6gqKdZZNCSX4YtcIxQyj8zFy6a+sa1vMVsZmgQYstuOiB68D6i/go
Ty9JAWjXCYQBXDSgNzFblHqAXKxy9OK1uWHF159CZSIjodg047CIrwQBpk4y7qcI2sYVo2dk515d
iYYHMnB/C3gLkRG71yv1ARTS8iRO5f9xd15LblvbFv0iuJDDK0kAzKnZ8QXVETlnfP0dkErHkuzy
Lb+6Tqt91CKbee+115pzTOT/LyTHLOVmWtbJXVPhAFffqk5CBfFueYwNYgjj9Gb7loVnmq6litZW
xKwrIRmR61MX1q5FV8aoLBBIs4qJNm+xDxvmpbg3MfhBLrTMq04bZhqgQ/txfUk6H8h30K0juSdC
s7RR42D9l3zXamJ657AQ+QFIOtKULCR5lnz1OlIiUGDr4rpmdTIlMv8CVpqI0WeZk7HqFuAt5dSk
khR3IW643OMWIVKnl36gbmrF6BIDxcoii6qAuBx35n0beB8kU8/dsHuMpY8pp8ocQXGlILNQipf0
rUU6/Hn6YIWTPWHcroX3AOd5nNO6yxATifGAlcXsVUyqhub4XgiE3DwYwshxT1kLTcDhEsnF1Mhb
kYlw40kHQelwhVO/WQBbiksvXyPD4jBfrGVfXIvy+9RNSzUM3RCxrIbi3PJvfkVOQkZTsh6PdWAd
FAsv+tBdfUV7lKN4XRreGvYu7arOpW/nAzgzKn2T0wywLT1Yh1Jn+7JwKIm+TDWeHhBYuEhmS8I0
XUSVBkEqym5aPkkNyr1mZjdu6phGsUxwla9+F6D9N4eKMvQoi5hslUOYDiHvH5dABezdL0vgrKj4
/fo/lkDxD8miZtBVi98u6j8fPBGDsMgZFCjfzV0sUD+WQO0PUnI1mV7Xd6oJd+hHCaIxiiSqnlTv
WbwCTeXfrILK32T6/XzXpXmJ/vnkKUeRb4qlXLstgg3v08M8jR3ySb+I22Afp2f1AHv4iqJDwdQl
vwRKZ6OqDiQGhPRTC0QbCWRY5CKs/zTm68Fm2sJJEdqsOn/jBx10qM+WRny5eBEWEiMoG6OY5ZRb
5HaYSoT+WJTr7kynRkyPw137QNSae8Luuvj8rA0AxDZfjNgoVRzplrzrS8BQ/pIGE5Ff1+EuAAZk
2f01emKuwiQ+VxixRNaWkc7wwTfLYd0d7lI7ec8MN5+eC4ehmT+uGwTqUcfqaqPhiFFVcGFtP9Oj
uCGZW+HvpsIHB3iEwazxiZlduS0Corpv0ak+KN3ZeEPmuk5fpDX2WgxMkEOX/k60u02zeYFtVB6J
3ADayam6XgwNHin0JIyg2osArM/EQgctBJd8tvA3JB9ADTloiB2MO4mWPYyE5XRskR4k2NWp69TV
OUUHsjDuzezWAh1k2Z6pUclOXbwP13Dppk84zGfTfrb2oA+jfeWfF4vPd26B+m64NNt+qNZyZSci
2Qz5oauurb5B7sBwRkgfcjzO8kuxbfCjo5VAgZD017TboVpgmFCpu7jbDRdkldptvKkAp14ZicIZ
QBW0oPnF5cNZ4UDvax5BzNugYhffxBXdJXdIX1FIglyMd4gV0Vxwte6C5qJzkWbwNbg1gK3LrJQV
6N+zbqnyVZavfOdLCu9SRnoFv0PGhy8jvTlxHy3YpyRAqDsx2HMfMTD0KC9GecnSGmxQewwgn/iG
PIPbr4j9nCFPkODnVKA9X1wVghN/DQZpmaFfLp6KJ4MpgpHdunbxMMuUwrv/dIWo0H0nK5aaDALe
Py+PsgE06fcK8ffr/1ge4TdR/lEccqXfnAPSH3QBZ4ipSaYnpSBr7o/lkROaqWAPoAgki1f9aXWk
Y2cRWGPSCEbyb/47xcW3c/hvbbmf7rgq/dZrqIpYqqVOR5LQH3qAyuqiXCrkSy+1NyIGPVBqsoO9
Mz7Xh+zE2Nqg6+HE20ZYivqyiU/0UnqCM1Zmv1ZNm64+EmGfGSBI0XFVOQB6vwDddytSILHH9BeA
Eza+GaaAGLBym2F1AiqU5SV7IN9YEdmmlatqXGLU5P1aXterClPQ9s4I7enswWAqiV+IFh7uTD6I
BUPoMl+R0NZIZ9ihuU5fHcOA7qgIL4IVRc442R60YuVC0nnK0RI+eF8/5CbethVOuM2IYYyAt6VZ
fUjM2+Y/2Yf3NaUOX/rLpEJXrh8U0KFMDkGKr9SbDuapIdhjOBNKPbXZETFXsm6YOsz/IrbxQhEa
vLagAIqFhLogTDYYPjU8Ug5GXuAD4NRBSS2j0P7+JUWvqGq9LXIVpbHH15OCpCPHqfzI+hqWC0Kn
XOGawi31SwbU8xf/Jz5IEpouVzh6qwqMQ7QiDX2MWP4xhSkMQ6Vl0ywUyfYo041Fqx4l09EBobyJ
nd2pJw+oxLAXjm31IoSnnmR0ANmPzZscDZvagziNV2yod4laLZPuS2xOWa+6Csj04EPMnRHhvb6U
YeGpj320q9VjT/5L5MKbFgKH1mCEpd9OAK02aMAxplINuiFCY8p33hZVv08w42nRgZpebG1DcdGC
J7vgTRWZdGx6driVdISQamZOz9P6PJfLpM08jlBVA0cUFv4nQ9JrU7xJ6YN0z9oKjGjFO2iWmeGD
Uu7TdxVoJcI8UVm9oxlPn4SHBndeuzBrMPCOVmwmJrYR46ItikmoN/OOxWj7aXDSy6m6G+9hepgl
6Nz0TNN3T6JJ17BX3BWAGmpsdsWEEKTaooysYOShiUsoDpCJPOo4vnW2G39wDBDjBDBj0A61u07D
7JelGz2V72REFf2YMXqOXNnAcMnEpYkeC7sez4s2eBjTa6ncSdFNZuCu7TK4LDpAwU+53ZacJKyl
9tA3F5xwdXo/aM/Ka16eKhqj1eG4qPUrDUvrAPelSG36wxzVVAXO+bKYX5ks2+DN9F32ea10h12s
L9UP9s/4hpFWFGnkPkNpr7VNhJGOJBa76jeGeher9318KrV1oq/MydGx7OHzQ2BzoEIaAUSgT1or
CBUZ6o/NKnowi0M3vCTZR1Lv4w1WzxLFPk7qOw93LetLhqTkSyDqsyX9YA7hWYbBol6bASN6Bzwn
DuBgMzVuYbq9xpO1BL+B/LYG4yRxpnvyyPCp8NQtgk0Wzzz5+6Hjjq5kdT5OpcEO7lPa7xRpS8O3
MGmPL4z+pJl25UYlaRT00lnSVlHxIhmvgygTAbKTsiuS9LmLjQC13AoKYPBFeKZlLte277/Kymf3
lW4AqjR2qJIe82jVb+Z09smkUZHVOD2UE30NsU3D0K3pPBM4c3Ie14QtguCrm5qvy8iJ4cXpH3WQ
kj9A1zq6juZ7RNBId4z085S9mvljJ+0RDovtfVg8gJvyV6MBK4tztxNk9tRcS/nB1f3rAOfes63K
SZkTkCYhrsbSLvyvubeUqq+BvhoOArlT4jH0Tqp/NZhX1Ns4vJJKSgcuF/CPcJfPIfVXynMr8zRZ
yYOUnkEBozDg0VARK3NtV2sUx+CrDMc4q2uKG7SlndIjI12U+ECbZ6XD9griJ+YZmrp1sTcWM28d
bLVo+x1O4pll1EATiRAZc2KjjybcSyj8G7dtFq20DJ+UZhVsjTN1iYDyw2OgWr922TtMYnQOuBTi
pUTFF8noUsg0icRbf4f+byKQYVzBwmmY9LQJWp+HiGyMxhE/E53yd9zktqV27wj91F3dbr9KJw3t
AagoyaEZGQJLRkMRE+CnUNxJLGs1yQzKal75w5U+2fUR5DSr9JTsQ/8mvsoEEqEUzFb06Pxdau6s
NaU0BnaxfSyW6mOFGUXdtXxK0Hl4ArBA8chxlJnUcEqe6m3yBIb/lCcr/V67N73FfWy8wgpjjBoD
o9CEazCdJEpVH487PZMl30MET3UPag/Lx9p4RUs8WERHGa/o9BB+NJfRY+3dNMulJL8QrnHlRVAy
jCYDTMP/dHFHjWXoOAto0nGg/MezL3Xa3wxdf7v+j+KOHjtQaIJkEM4SZjcLN35oOqj7CLizdJ2W
v4YrjjbfT8UdDT4DZii2DOUbKuXH2ZfOIAoRakJdtsxvtM9/MXXllP03HcCf7/pv5V2v9HJFy9lw
/a5xVeaGxO1BAAtcL3wagFQG83ixnAeNFRNHcAHpqhG0/DFhJFn0rTvlJiZCSQB8QMxEVFuO2hfq
uZ3mrX9uRVtzUzoeBrrmiRAWrjeRzzY14B2EMtqoXVPviokTTxFn/l5pAaJkCc5lIcEMX1YD9vbu
Lusj4mAnopqaJgaUXmtupOCKJkl1J6jikWnkuCq85NgXzZPVRxwO8/HREJG/ywnOsoSQoylZG0p0
xMwGhJmSULfUXVWMZ1Wbg4djzEPSpkSF0hDjZXbtqvTlTWr1GzUGpl+ea7XCZopqk0a/TFMr7ncN
5EMJbEGLMCrkLGeOL2JVubTin8vGvxAnRMgJue/BvCwEavWk5vAN6YMSxlPMERWG6KGelZmTpsO7
WAKu9inl4qTB11+TLozdW69pK3jCjEYEHKFoNz9G01vX1mqQNGLFjc/a6h4M4dOo6I4KOAOHbC8X
/q5Vi2czJm3Q4n77jeqSdfHpy94prfUdyu81rD4iWbPM6QoR1FOKzFhXL1JbUWJk8baTlXHVdrPW
JRw/JP1LUSa2zx7+hZJt8wqEpYijJQYN2GuvlUxLxAPb3fKm0Mm9o51osRv1QmH3icREpvkagYIq
GpP4kKwoIZeWRAttzMq8pFL+GRvJxoOkEErpsvHLDRntG5NAklg2Dk3qD+iJO8kNZPXDT6WDNFB3
y4qjR+q2G4ldI2mpquJlFa/Dlpl58tZTUAVUcj5D2Ex51sxilaL+83wOzmAsm1Q6G7BlaNgug3ib
jPCldtp08aM7iaFxk1BvVCMa39BW83KjDdVGgHwdVvNsCYY2FP+S2b1BxtDk9XYTH2VYm1HX7MZ4
gFHzgZepd2oRk22CulLpSOvM623UamiYI4OFWmwAWjfk3Qc5Ra7o519ePezliCCGCIKnFG7SGJm4
aKJx9JaxAJpnGj4VFAHIx5ySPq2eCse8fdUE1MMGOQl9eck8hIlJp5JcCE0c5Y8HmCUdDGfQP1TK
GTI9mWPTua+ODULWRLZeShLeBDSlrUB8opCPfM7zjIq+dqtY3kSqFZM5WFBs8UZA1m0gk+9I2lEt
5N++dkktdWuQxZl1RIR2w1NtAtFujWztUwdUvnVrJDKFMm+RiNmmrorPqa8eTTVb6wYuwC44FEQj
+Wz+5NevkhC1qfyW6u2y4C0Ph4OmkBi+iP3AJlYBdIgHQAsRkGliEH1CGMjgCmvhLUreJko2P3ny
cn9Xznps1UeTHr80M0BI6htXFnq8WOpmbPudBZZTpgaSouarsiysTaTlZZRvft5tklZ5ytrnGD3E
GLaOhj4iHx4GnXz5sgo3UfEmj9kulq61wCmWCeT+P71vKrSKDYm2ANuUyfjon8dmzNV+G5v9fv0f
+yadD3jZFqvwbBr51vn4c9+EtDDn0qpIhXAQcqs/9k3rD3rQoMLYF3ES0j3+s2dMv2Q2yIMK4yLf
ht3/Yt+kSf3XffPnu279Jl+wWkmPZFGw3FIpvzor21hhd46Klo4CnMJGJGDY62nyIpxTTeGm9P1K
btXNoAb2PLGIkpSSC/B17CuArbVhN7DFSqPm1h3NZiPdFB1DqlNkJa9mFK8aM7ArqtdQbu0UPo5g
fgbluK/kcpPMLRFDXCWxCG8TVXbQLnNG6SQZPmSBB76p57QyefQ/YiwRLSPsjtRLLajdvjSKRVKO
y9ykEVEWpbQaew6sA3omgdFLB+C6Uov3rm2dcHqNknBTl8GF2cBa5MMErM9DRt77tMUzkzIe4lLY
GnaoHAh0XIhxt9LHefxubOtUXicyam2ydCP9WRTtFKlknGZO5ntu3sTnsR0JF4AlxjlbazgL6Uer
FDZjBOpRfW3ayQ2rNF0lib7UlI7bD2yPLkEd07E2RbcZvE0SF24FWTLUeEQRmgAyl05kfbqGzqlO
8nGOgRvtTXeK2n1usQXxCZfRSfssH73jkTFqjdO647Nu+em6JTF3ML1DQpljERlZ9jP8tF1rWB66
jG667z+rUXpKTWM3ZvpRq7tHMardIMWHOOQPkuxfsqQ5kjF6lwvRzTSzo2+SZCOx0jTiYsR+ChV9
2U7ao2chXRjCz3EsDzKytYqtOxyjde/lqzYJ700IUapcvAyyBZYIe7k1XVohPQS1LAkLNS0dj+6W
LAa0e5KT5ZWLoBHfao8DiCfz6Du9fZPM+DKRLjnUIIQEtorlmEYvvjzLGVgNs85719Jeu58MMiOR
CS5av3R1ID2+DsJMFx8TZcLNHZVfZqase0uHMaDdChmphKYkezmVXU1Caco4McSfvcgF8LLmV2Sx
JXSReje1xA30DF275mb65KzloNChfQIQnsJVBnpOMI1zKxNPpvEUqNMpVpS1FHqs6KGTW2iGp8Ha
e0a0Hy0P3mxWf+Yy7J7/7AKMWlPRaQMjlkQbPqt8/nEB/k5L+WkB/rvr/1iAUZyjGzc0bVZFsLj/
dHCR/1ARnUk0nnX9ez7A/xZg4w8uDeSGMw2uP0X8Sbpg/IFwnZVXmqd6OAWlfzW0+239/f2e/848
qapREurU0l0TWLTP6HkUe7qrqblWx4pDBAr+NWvSqQsUPnDm2U9yFc265NHlm0B4FUGPMNQEG2WE
Ihw5FDvVhGpBTqoaPJSxbtJKovWlHo1J7D8m8nanQ1iGHO8LPG7z8h0ISbBRiyTcS15W21NLliGd
vdTBXC7t0BJgotKHdlWVfUWxl9TvXaUf/7Nv1lnajLOfZAlNlzhky4xZ/7FaMP46Qvn9+j/erIhs
mHjMNojvh+mf3qwUEjKqHoQ239Q38wH4R7XAURq19ezkQJfzzR7xvwkz/yRiw4DLxF1FIvevdDYo
Jv9aLfx815XftM1m0iYUkhY+HZQUC8nwkJng2quGt5HIyjCGKK53JhFEQ6y7uCNGVwjlzBkxS3td
fKkTYy2reJKEODjJ89myyUhrILfUpPoPtNeulUGBmTTsY/GgyLkm2nqtRlihAFX2ubCyciD/zYGN
gYYWyQx1eODDg192jhhLV5U5rYeOOACFQ0DVLSxVhLKcsqGo+OFHt/T2rXnVoADo/j7UM/C5tEUN
Gvm0uK1BOAQlF2yPEbEbkfTVFf0+EnFsVtU2i6N3oFgEKr8pXsCJ+BXjkTZ79RLKoRKXLRnusAGK
qVkrIcIaT7NuYXvU1AQgr4TJI8PnapQwE9gDM5JbJ4jnTbg1TGunFPIiIQYph/WSKNLFU7chtydX
1lcfiEs+pe9CR/VQ5hvRbFdTRmN8DEh/YkvCzvLot5PdiNLSt+R2VTA0iDL/XI/xxRuDy3/5k8ry
rc9GARWTufr/ylGNX7UgfNL/cv0/P6mIinXkIN/hH3PT68+63kR2YnGs/4Zn+xWTNmPb5nBJthwG
sL/U9QbSEdEi5YxgScMy/s22wiP8yyf117v+2ye1JOXe9P3Ac/WCplZUROvGHA5SHjgZPWiT7nLL
hII/s2eON300ZxWQqK2M55YyeCheCKHVoCoEX7VySxsNcP3UkpnUS5dCIb18aJJD7qVcM3oT9HRc
ZS2Faefdy4mSkGlY35dNxuVV7yVWAqcQMQoNywgmvYmnts7GaxYISEVnK3RjgP7VT51M5PDkX5JW
dIc4dMxGXA1ltVOIE9ArBqER7nFBJ/MawmwXekuvfpjCYKcXuqujvU6g61uiZ+tosK0CDGzyjDZL
Rb6vvch69amP8jlMSSOResmNI0OimKZlUEi4T1HPd92dbtFfpqBPK+UxsCTCDp7SgfrSQJJlWhvd
x7xl3RvgyzFVNEhshUtnveTNqZpwXkRrH/xF1QeHMtPBoAZfQ/kcosuo5lnrEN6pA95+sYcfnHs8
Hb4jxHhJSZ7NK1r8heDEqrS3pHhVaXV0VhWmbX09fulju/c7cBQTDbGqeAiLPU2+Mek3RSvZQh4Z
TtP2Dkr6ZRPWjT1JhA+nmhFuqqZFPUIue1J0T76feGhXpsC1skpDXRMD3Q1Bo/YNINemURa5bp3T
tLzvRv2oDujO2lLf/meXj2+1GRIy/JH0vdFv/XNbYAYx/tIW+Lvr/1g+KD1nmSq/U9VlE03Zn8sH
AEYseoqFc2p2SM548R8bPVWpziYOhAIhriWzRvxvo+efJLZ4NGjkZNGF/1dqdpad39aP3++7xUP7
WUumQFejWz2x0zuiq160U/zKdAtPd/jKnscP7vwHTqtggPoLycKEXRzVq7AX9tKzehye40eEZm/a
rbRJ4Fg+TU6xKUgAeUFY9QBkOLzWr/JXcqMXLJzkbUGsk+rKrohpOnADl1H8od31a2slbL78k8B/
GFGOb9m9wMSoX9N85d+9I05wiKbMFKNP80X46BjvgpNgJ/ft5h1dKq11a0+bWsr3Agka0KnnjIQd
0a8EKg7usB/2mG8KaeHwH61dmqvIEQ9+9OTLa3Fu/LUjHlFHlB4j8ZWTcjy0dpcdFH/fckxGWbzn
oFed5PGiEKoQbjNxL5nbEBJasFd4vCaO523FJDSbp+6taCxUdati87QVAufVJbME6MvljobkSKKM
/8BRBlvhroBYAF5AtskyzUA5E+MVcl3/lCsHhB4tqoyJc/uH5QEYhutInxDVX4gjc9o0Z3+4pnQY
BtGBWDS+CK9d0WzVsMA3ACWbAI2CGDFrxnxrZFCQvoSPvchgPGzqDXOEWzBjj641ZZU5Z0swI6m/
yD9nNG44Le5rkmwJQkn3vquvsBSsQrsmrcNYs5DDqG2SVVo9WeZRUZ1qQ2qQJG8QPliF2/s4Mrek
YosOGTwFIQ6eE0vSYlJwZh9oS+uWhP4CCqXoaJeaEBIuA7AIhkINxdypg7MUHRrDATDE6QcFXKnf
i8mzBlsENyfYBrgc1NAzs4GALaxYzflNoD7D+kmVtCQ4EEVejzs2XIvEa6ATYwoJuWkHDWgOgiHp
O+zn3CTgSt6GOW0YN3MqUyEfUztyhjX5GP7kVLw84DlICwbBnVB5TQpA9fE4kfkDWFAib4fYr/BS
XkrzESZSvOtxlN4RATUHCUk3/H1LJHYQCgBxLWN7RlAzeUFCschdeB6rObUH8PXi89otrufr2T1/
DtdJtKEuMQnFtj8HxpxREN6YDCDrOGfBMkGZPs843PEj2/n74NHlosayfkYsQoktztk2CNA9h1fy
ilCDL3MfLY73d/cEatixIz82wbqD7CAto21kF4xxqyXklQulQo9Zb6Utvyd19GQyjSuR/9GdO3qP
+tp/IWSHEKs4u29UwEqoW8ylhCo6yc6afALwYQFFv1S7+TXXwSiy4/NWoOJdybdEXnNf1PyF15jP
Whm6HsDoaE6IET9gWoNg4UFSrvTudGy21iv4E17sbDeeeVRkZKJxJMfSb+nFPAzBjWhj27gXPotd
ta7W4aHZDevUDe66zznqKuUl7+DOLKtZMoiMsdvxruGAqyFQVHivLIBXgWUCrKyRCVO/euh0eI80
+rMxLBSkhoPNx0Ve+TO4mwlGQAarCaMsXGcFsykXFWpGM9/6UJqHOHbAxbNvS/fL5gWEg2JBDyMD
QVyIC38VuEoyfxmTC9DqJOR3Q7Ih70BfmCeFEKDMP/XZTV/raFkynt3H/NFKPuBdEV7UW+u2uTTP
TNV4t0uryZHu4vrL+8SO8yFlJ5XRDMiHVbPqHCbvBBxxQ1G/D6W7INwwDurPGloxFDBOa35ar7ws
rYi2Erg8/SjOYIDT73f1NgXJRnPAJbvW0bf6Vwp4Jlw4N6JAF8TIBoB6Vgk59K1NVM+ccveSL54e
FEjVL/gPF3cNmbHCuhH5EUupG7nfQyBEkgJ5SY1nn7IToBuy4khbckejbxweck86aQGlX++/0eQE
5vpW6OJHJIcMqdyxtwHlEwaRbsbg1KMwEZGO3c/R2MkGNlCygaVyq84lLAq93OEVWoATgUfygsxh
VS6aDRd//bbKNnfGblpcYRURlNXMn/DvYJ1wccKL+2wed9wlbp7moPiSvTMnu+OxeSQ1IOojhiWH
RIwd6SIfhpNQY4dYQdDuqyU7BbsPDwoGdpe8pjt+gV8fFUg1F5mPhv/Y6rcMJp5OcNZ8IUSDIPmY
BdeLClw/Im4wJ6gHXwJvTbOb16EcNwmrt0HaGFfkctw89wzpg3wAs83Lz/0QdnR2MUOJLwC8K8jz
hue0S77NmD+eU5Qb97zPUfkWS9pL3Ye+hFaTLvprTUaDuhxtGdjK/Ifn2A2PpkuTtQbhaqyLakVn
Wd0SLALRaOZZYrl9GQ+sZEByRKc7G+vKwqiyqYx1xoHWe6BfJO+aYTl9WsmRReVQ7+b9XYFzz9uq
fOCTo23IUE4IIJ7evYulBLyVyfhoPuD2zJKzNTNTEbVHbO0i9gpkkOLRhxReK2eRgcH00pepTf+1
rSMWRcihi3I2//IBG9ft2pyzjBVGArvgU+ugs3Ff6ruwu1P1DdXxV/aQyXb3pl1HdHkBbwxSFei9
b1FoFoR7PaMvJNUhfuRX+MgpiVAUFng1+D5RVdCwJo4QB1rnFMKVxzJoZ34iE+8m4ESZL4aMyRsm
m+twZX6FxOyWF44xb89MnKwwwExzBtDWH07eZ02+tHLTbsNZvIZvxu0yPcdvGl3ot07m9ai9u2Yj
oBln7LrpaaBn+nsab8rMTfYp65ho8aGCy7IYHMg+KKofDWENu2J4hpM6ONJJw9WbPWvf3gYqWw5q
rcf2ETVSYPN5nF1KAOqIdl+jmowfJflCHx6dXUjgHplge3YCioJm2BTst5h9Ppt3oDvyuSn3Yb4p
hxcrvM9PVLUwa/3d9NrnmzFHetqutJjKYyH0u5Q6TOdUWC79/CEmA9G/JRRp54R3Rk7QRvgo3OCo
tktIG9d2rR/TR/UauMJNuPH33bjLPqv77EUnVgAD40J/rNzmPr4joCaA+YRSkqUc5eUxuv+I3HKn
bPLdf/j8QrFjIMyhcSjS/ZiPC//QqITCxwHnl676X6//4/yCFQa4iwFRASU5N8E1f7Q/ZpcMEb7a
37hx9T9kA/YpxmBmrfQlOdr8kAPxT8w0MQmKBrbgf9lV57Tya/tjdvEQFIwKXdZkWUN3/uvxpalw
x0SxQgmHXtlcl5MdfEgyM51F9DGerHozjbtQWuvdm4Lz3lpL5rVRziDx9gM+3SM7I64SnCyS8i59
t82RyUaTw1Tw6M9flOT4UfgoF2+wv+ZYcjFd6zmMA3QA1rleClR4wJjy0JZt5SiyJc4SvY7Ao5W0
13ezRR9NNSES3UstAStripuB4DPTLcdMK9KCwr3FUR77TP1RwkXjNJ52fLQrRoDM/ZNbclOuhOF1
i3ZNeWSQsk09VLZstmRQkrpBFglgz4jTG/wUkKTDtSCQM8WFt6QEmEtINn1973MzRHNQIic7dLHE
fSAe/oT44JNxQqh5hXgnXFGdLz5Db+1NO+y2/E164VdhHhFthSeBzXGD3LF+Bi0KGrOZjSrpk7gR
PoVP1YaR5jnfuXiYblARy7Yc83OePtJRuxMDuB1PLKcgTknRE6ajgi1q9daXDpUzhQXlQbquns3P
6tlyxpf+Cu6ud4cPE/D/gt8CK6qfOXgn/r81/x4OT/11/lM9s1MtJI/ozGzGow5X7qa+p/i0Xnkg
1NI8DOtV3Gg2d5nMF3HO6hQeCKkkmVxQHIrV6cgRgodoLIUHsuQnYjpcXdvzjPHVWmiuUR4vIL+C
ZCA2t0l3dXYWGtQsxwR95Y5qVeZlSna8q7x1Zvd3ADxsxEEp+SXCXkk4vl2Esbmpa/JbJO6Dyay7
WZriXgshNiLnetGbW6icW22vkbW0QlYvExCdesv6RqStvhB72fbCV80Q3LjvN4GpAULXbGrwA+Mj
CsrEGciIFTf5ZrBlh2BGOmn+JddsNtOtFa9RhWXSIZns6pVvg3IT5IsaF3NiCRv3hGNr7tmR6ah9
yC0a61spHCIohOqSCyb+JfrWHPhSvRNwjLTsljTWj8jbyYslAFTkw5KwWWIAhwD8ocETb8e7T8vW
jvlJXY+LuDgFV5jambmXBJB5kLyobCOO8eqy2hun+AEh1iRc0Lby82IFtHHmNr5JdwJujMfRxS5h
rZQP40aiDBWGtLNuRGwH9ABDQN0ErRSL2rgj8Eu8UVwSpAfB+KHpdpN5GLBLZYuSiBzwaPt5AGah
XSPjeYmjlhypfgZELkMkM+CL34VdHd15wSMVFL/CM44N0LRqn8lUSeNS4gOHBOcJAqcMoo4xgQN5
pYVOdhwvEvhOTbH5cFskELbEtNhhtC7euYT6Um9lMsne0UATWC2/WCLOCSLUKAxR/IIW1O8rZ3Th
gvL7KZdGl3pSPmTvVPmkcFMPwifM5rQVCh6uyZd+T0nZ1h9ZvyzjgymvNU9b8ZsGErsHWyei1Jqr
Wm6pxtq3xdmy8M9zDnK8RkueSE5HtycZn8RxJQTvxk39T4/8YAlpjPxMMBJkoPyzsJapMuOAn3bS
eZDw+/V/7KTSH7T0ZF2lrQcKl5ninzsppFoso/N1v+2xv7qmyHQhghB42zfVLYPCHzupOfcPCW+B
iUHwIUOGfzNI4PZ+3Ul/u+vqt5HgTzgjL9KDwlILy0XAiiR/qScIMcdiA6g26AkLUij3xx6nZttc
R4rwXt0ZvLkbhghNUZMwNO0AazlKrLn0s2G8voCniLPhOHYcTlHXRtnoCOq5wGAlZe8+TvMVm9yd
zAlCHtfRDBJrehxOWl/Q6IgyDNJI6NScDNv50BEx7oskMKV1or2HXnxoKA07H9FPC5mcmGLdaG7c
xowE9aDpFkaSLsqJ7lCmGdZb6bFJm6YNQINSVjmNVXYb4srtBPmqmXQ2zeqkZ/m+Jk24qGYvDmcg
VFGbPrdWlh8Ed8I0ngYvWg6ddZ7C9NAO1TOD3M84nb2rWXPIoxT5MOLaGCtHLU7OQItSNDphO8gk
x/lh0u8EodjGKFjqPHfKZnAE4tF9omElpDazbEou3RY0UZsyn1DVc1NYqxA3Zs/poxgi5p7+U0t5
PlbJvkvbe9EYcfDWCl6V2uAjn5yI7Vhmcb6pqummUyJgEFhEqAwXcRyv0wZ7ab6XuzeLQ141EGKf
I/esvM0QYSXxcGc2wVns5IVnyMsxhpxHhntdo20MwM+BoF9WbXL1vKvSNcuanVRLsYHo4nBtJLxZ
mgRHZDQ3gaFf9CHeWFl4rGl3GZmK/QcoLmVDHx50qd0rWvlKpK3b9nhZC+2W19NixG1T57pT6gLg
gNoJ21McMOw0B3FlpEQiGpzcoNh5o7KNKjqOGBXqIbAnDuRyV7s8yxy/CE5OGvIw/o+7M2tuE+22
8C/iFPNwLgGheR4s+4ayFRsBYhbjrz8POV+qk07X19W3XZ1K2rYGJIuXd++91rP6SYRNTHzqi5IF
bpBLuzZZSauMkiqAzFtgSRDOXI6zXIdRcFUEYQ+0a272j6UhRJOnrrpWJM4T3HbIssH9YR4z9KMm
Dwy6j3qCqo0nt1ocxmzaIlw3SCw90TiZ0ibtrzKcCGBdzqCPuL6tLoh8mCd+t+iLLx+5XSB8imoC
lS64lJri3PWPNnvMnyT4ID6tZnXQjei5flYV5Ymwlr3gs8GQEoZ1IVayioSViEF2pEqznHouxFzy
L66ApNGXgLcUDSbUIJFl+b9VQHiUflm3qSt+u/+PdZsxjULlo46TIRbanysgmSWd4gP15hjP9Se3
K4UJMx2TVFpcFD9XQEAuGQ5zFfh+pOo/VGr8Pr/55cj/rCuKmzCyGl2FCDEuxtTbOQuP/iQ9Lb6T
ct0UkLJfAuX+RqG0qQXmGtowBwLstJo05QRZc6lyMnasbZd9poK/62U2+gWz0aH0oQ5DwYwDYtjF
jK2RD1E23+aN4CJUwXsn1NCKq1b2uq6kbDIfBFCrp/LeGXZ0zzD7yFwnntlONhPObvHSinB8Bt4u
J07g7HZpgcO2t/C6VntFTAlFDxf4CMmiaWip9ILM7srcikG16KtsaWQimkAuPQECESXmECN2buI9
uyQRSOekbBG3X+v7tFNouqZsnsXEeVjWtsilVYlftgxX9159SQV9YxCMmKU08frBnFRqcIqSbqHh
n1eeNSMikXyk+3PsNNxr74nGhcuwMKke2f2leorQ2YQ6qA5CCUGYoEDdEl/UzEomiahcstB8veci
4/fGNmivJpbyGmb3efWMPsXSwGZoNu//2jOVbQZDTZHUL0WUVZxBfyuq+rVX8Vf3/3GmopwacYwi
JySPzObo5x2WihwD0QV8uDHEhQf9MWtFOYXyBv21RhdhjML7eYfFzcnK0ulgfH/Ef7LDYq772w7r
55f+/1kBP+2w2FwRJZT3Jv7NZBE+35kLJRJNzwVJYlz78JITpfwmben5ItkYin5PT3ts+NrDke1/
t4XvTJM6KQ+FcSyBkuOHOUGzf6ae+FZ6F/GNGMUK/j9VCcKA2sGmQKM5FKdUF4itKQjSm35W18op
m0BO5nnWfA/GWPAiwxHhsfOxMV9AqOgwtJcePxqHCq7/2e5rR14X+VQ4xst7a38Mc0rydnMHYMY0
znzXVgOk8sfNfC9fn6vqEBNaa3nIosZZmp3u/EV56lb9xfzKNvoi2xjXTmY8LDrmtIOXjdTxQlrA
LdDt9is+6NPHHE45E2h9T5n2WBlHsN5Yo5Dt7lsAlVuivVyGjGOWpV1NGNg0lg35eW++hYRQk0ZN
jCQ1LbPet6h2npYtanZzCy/mm7nO2yWARBSU43D7eRNm9aLn9Q3bblstxA02JvGQLL8JnrWq7SVR
mo7vFPSYv+mWK+3k2ktV15yEz418yAhrtwUPsMZBcy+Pa7Lkvb7Ib/yqJOyZGfMqj0oWxDZzFn6k
0DJx+TWvO8mmCyQdx2FDPx2HAaAxX7pXwq8EyP/O8GqdTEgnU+MkzdUNWM8pv+wphTD9XbBUOIT9
deNpRwtzi2YDE00uDKygq1uSW3+F7yL8bYdA7vaLPi1qfsbk92HDpjZCDgQonR+F79dgk6/4ubwI
3/mH738xBuBB6Mya++Fq7oWjvmf7lMwsb2zMyCGqILsQmTTYOGb5j0hiNV8aIZAB8VJs0l126C/w
Ux47UASXABbWN+uKqYu9/JpfuW/QQHNJOUBBsyaoTTQdnlisD3Dp3ALRH+IDXluZb/vCaS8i9FE2
0tyPYYQ/DejxQEkaJihcGJkt2gFq5hJHHI8OjyHkyfQv0I/9hU5aNHYCq5BRM34BFxCYSvpw4knP
SV6x36Qt7nUkmEbvgAnUGhIEZmmTtAFsvnb+WIkTxOi8Lh1HbjgZWTCmy5rerYYVL69/5y/Ms+z8
uA1//v/GpkgVMQF5kGqX+6uWvAniBpkuHwZpOCZySLOIuXzTzcLUjZ7zLsXEvMlwxZPj0zCEXllo
2DnOnIrrnZvSu5RkoDz3vQdegae3RJqWqCy/+P90x3vyhROCQ2mItn19Ps4FTMB38fL98Pr3xzeZ
30lz94yqcR9lC3p9IsLGX8VPKjsCxIe5MbOWxqyejqnB2rJfN6QoxctxtD6Xx44eURgJf6cuzbwJ
A8hoTfZvuhw2dMoiecbG3g36HVdzCGtP7a1bzpVlo7hEULdTvP5z8aBHzjdk9jZzrTFdtlqUHnUE
I8tx3Ni4GOEn3ydRUF/Z+dr5y3NpbKyNubMOzTL+bF6Stb+7H4N9sMjW0Tbcg/H5zJmwvwwzUK42
iY1rf44q80wo8VqfB+tgWs4Qhn7iCFOSWVu93qVwzGxud305GcJ5sclZkLJbTKYFWNyBbii/V2ms
HYncI8t8bXFTZVmaC+whUX3umRP1zmfQLYjKEJK5X88ON7AO+Cs3hoCiAQFFYH75pTi9G4+dCvON
Ya64q4VpIL7kA01LdkL1pESOINFhJr6it45PXm1JIHObrO4n39GR4UF1ZDRN2DU+GJU4gnIS0HGK
km9pTnAUOEVDW4+cO5A92YFgOlFZlHQRg2OSexb1hrHV1JmEaDZYwTkRJOAUZGM9yqV4PkFvUONJ
gQiOAJoUMiOzsdQx/alUYB+/xr7dbDQnBqaUHdsTAYTzFCvtcPTrq+9PVUzfcSs4tfQCljZMCzfj
w/ziy27HSdMsg2ZxVxZ54AUmhm/gQ+yl8OvbvmULhhN95e/Y+ZW1Ji6G5iMJM8Xp7hL9xqPWrCnA
IPeQy4RFxg59CmgnyJmQuuAhok01fyzyaTP1SaSpF1p5E8ODLyweG3ZckjQVhrlJSGBCu7J4VtvH
hq6Jo5Q37fkRBkuj+iZAoZDv0xRMpsAwP1NXjZEvAsK7FFLZnwerxu/LGkkGM03WTRWf7wYrivJK
koLGVeNhEw7t35Sv4BthigxZQbzg+0lsKXcKMrqvyGsEEqN6B32dTgYDZyOpNA8Xd1CcITv24NBx
TLLsPeVJaXmIKcnsiJlfeXTYfUADI+0AtXBOIifeRNKCtKVWEl9OGwOLj0ubVLWrm/XGMyYBU3RH
IjKDylh1jca9t27UT0j2oknPW8qIE5frXZxbE1K8PODm7niW0Ptz65U6modt7SIsBvA07jCJJiiu
qlmkPlzAGAo0MIO5qMzn9Lk3Po33ahvBYqBAltlpE8OVL1jeJj4UvtpGKZFh7yJYjQHzplz00AcY
eZtt5pF/VdAQJeITHlbVoOleS3cfP4M8yblm3MegeiAERO+IlzpZ0SXqOFn2wPhrri9+z73EaS5M
6dv64QzKACU++xHm3NWCvRC7kmzST8tRbcCX/Ekx89K6r6YsLxQzlrgAqnr+1+6zqWiRQ6MTRNdI
+SEZfzMT/F4y/9TJ/Kv7/7HPZh+rjox14AOIIdnC/5gJ0slE1CxjtQHDDOyZLfCPfbZOqLQGhhdr
ji6NPoU/9tnEcQEPIKtB1mWKYumfSaJFeqI/Q0L/fOi/ZUc3vhZkPM+0NqyW7l9yiQbJxBKH1wY6
ZWa1/aiVdQ0CW0L5vrsb8u5RFl6li2QnpsxmigOy52VWW/MIQ33Fino/1H146x6NF+vapC0buGeg
MuElvKjasClUFvrK4HNZv1Yp7bEMiWOKOOKWAQEQy6Va5Yi4RnlBKPY7GORwLR4ECwVep8h7CH0v
cl47TcClUKrXffVelMpbkeiwddSLwQ4mtYYF3PMVXIDCHtr7VupJWCnPahyuMPMH26pNLvgecatV
T+g+SjCRCt+lCToPH+XuQeiuM2TaHn1gPtoydkIRzqwMu0WuGDMwqH5WHKNocJK28/S7f6naYiPl
gu+KRf/GwgoqDtMECnOIS8DiQ+JlYgadQ8bokLkmqRBWI7Pext05LvRlEAloeaBH6YW0KQWadCxc
RfViIWfwO3GVJU3h9WOuxr/2HB1rWWwAY2WJE47u1d/VwqNf+adz9K/u/8c5qsicpawB2Is55X41
GI2zBksikA/JgMmz/jhHSUigk0UTTWJ4D+T3p7n9OG0Y3UdwV9XRxfePzlFaYL+eo386dGYm/Pyn
Wrhk/kICroJkdjG4/vSbmNiaz9YclAzjKmZb6Q1lGAWThX2VWdkIcSydZqePok/AkaOi1tgWOrFs
LlNjVLPdsd/cizk3BEIFlhJtFt8dNFSHduq/dYD6AWmMD4noByEVLWMC1ShgOQWwdEavxGEr3pa9
Or20AxuABsXsO/vwPHQpdjSsCR1lCSUbVbH2XcoFeJMjZW+UVDzp0UwQ1YHy34jVrrWXoYcg9Si9
Cqc08+pZPpVnVuegaFyPIhjBM4ytiQK11t18t6UceTPuZPwBJVr2F6WIHflLg5joaStySD/oFwP+
guGVnFtMxTKbayRShNUx81yZ78zDESq0h3gZw3G8IFGASjkXj/ksXTJOKD+I5Ka6cNGcIhpo0f0g
KzXt5DWfpp/MmZeko0yVl+RcfBasE+KLHxIman8O9lwg3et6Rai8ItmVRDdDwsngZPicYDjypKhP
Z9oKwnFheGH1FYjTrNrlj4PoE6CAMkKdlK/NdgjOJLARjdeMs3sm9+A7VrrDnIlflYwsjHECB049
tVLQQ6OhUBfc8O4YiNwoPnQ4j5sOEduwVCfEqforfv2DD4+0nWYL873ew67oN8mMOzVblAV4xeAB
gxVZfiB5Y6TP7nKHpvqNZ4JDaobH6CrGdEzJfIsJBb3kGamiq3jJp8d855k+yRRzlJkcT1jt1LPl
pdneEFfbdtNWB22LEEEPjyWR0WTUsQ5K9YuELlWZkACYe+TVMmS2XDDqtFZ56wuUGaGNOspfcFiz
ql+DTQ2XgNfC8nAXSPk4oHm0APCN71iXrNpoTYidy5v6kdcvVuRpE1+/SNmkVnaNvO2VgyKe6nqW
qj5AeBsQKOh1CJrzburbxY7JDXINW76KV/WBDWWHUrf1zNqeCHvlq6jcUfw6MELGeBd+mCt/9how
NHdFbSZGxFZ8sGcmxUc16XwiHEc4oq+stXiNNq0Lsnin3xq6IsW6CpbKl3h329Llefpqwg1Wj5k6
ixi+UU/f3S5zJWEjozy0KO3ZS/KMp2bADKBjXjXRmFC2QHgu09IpQJCGkjcQwl1TQsn6XEE2pywQ
YjyG0xgWRELveJIthMcSAqhGCNAwBve5wE8RPNAReyK71QnLTC+ItNltZy/k5yVz9b5UZqYbN5Ba
HHM5vHGNR2nuVYrNbhrN9SiOIS/S8KznJUu2KG0Qm+eExIFh+yLmtt0l9fxh7Qz49TiQlsisuUHD
NnymTbIMBJ6bzu40kIRhEov6KBMZodzGEW1Jt0dck7cI9VSiwr9k8kM+6De0bwZ56arl5PWsVtb9
htWFD/uw6Qan1OxTCwT/JH7r1CUCetBGEMlQGiNeH8PQhCk78mLXjNxVUml1StIjr5sU3Cha6KQ9
RwvNwtggAGs1kouez1OUzqfkyD2t6KujbCALbrUoRiLac691swcq8i0ybzRKrwYi9HA6zLsjwANt
W0yBEwgf4jpcaoj9442/T1faVml2m9cX1W4A3qYzed5vd2xo7lt+48F2zDbAZ5FQGfiCS2UVX4PW
rvUJZLA8WjcbZNhPHs95Pzf7Ft+lNDMQ3dCpj73Bn9FlMyda5NY8jbw02klxDK8LLVnwEcng+W58
JF5LwghkARwNiajGUb6/ANND8NAxf01vtNc6eheBGxbzvhyjg6Gxc2hgOq3gXC9EGV04BM8tbwQf
nsytALcVI2vRGUsXtNd7LhY53bnaQU6B/YWLFQ+KmJpuq34WljKc5WLy3IrnJ/KjZBY7JADO/ctT
srfCKOkoWFgiNnmOQBdqVvbIVIik9mcIdEMCHVTaio+nE1xgKtgtG8ozbVuGChM/OmpRNJIfv/dL
TOJ3dIfCkOsNuYRQQju4kNG7btka1zBqtX6v9pOOzWqgnyNGhubgdFCfW/PbYCwTVC/Z4M409Pos
D5ZWTBNOtjvZfOPAl/dgWPM/3TS+Uld1O/mt0PDfgRQmf3Gqn/Pbk9nv1BWWzPovyRKg1L960wZH
gG0Vce860kf57zZt1q+jRnY+v93/x6ZN/B9spkg5/mLUCJaNCQX7L2zj1HTj/PKnTZsOo1yE2IZn
2xy92j9JRNQRyEtAy3/Skf8BQ4bIwN82bb8e+rip+2nTdvfrMn12pjZtrWYqxqY3PNKI3nqN2/LO
fK1QFgrdAkmEyszWTPJ1TzY7yvwQHXMna6tEvZ/UhEs6GJihZmpdRMjI1Ee1LEsFxaGFSSyHmZjC
pNKCuVwNa8nsDo28U/3uW9xMY4mOBeONoW8XUbx9ws+8Z6dYli5CHZJk8p4CfOwDUrPyejcoxUct
hQAsnxao1ri3rSF1SjXwojoc8GKKMoYG7J683zbT3xNQa1lPHl5rqXOJK7YyxmndE4WAWxrVwBRl
M55D4rYDv/Dy4n6SaGIr5HKRlrBJYxWTBPq/OzTW6HH3BHhLcornRKrHPp/5OJhED9od3dthzP9C
65/ffam1AxOnnKoSFUZ/L9abS0x8mJ6T+B4UwJ4SU2WTmIbLRkjhvNDu109ye58HT+SaCVhMo17n
MrRz/aqn3e4RFJDEZDr4jzG7j2FoROzeqMBscOq3c7QadwjFQp/NyX6d1DGoHNyqXUmDDUy3pL4I
rekG4u1Om/H+3jWvnbx8DBvBAozeKk7AUOYhvWWQax8q4e3K4cG4d6ioTndSFwMm/5aFt6Q8hQO9
3u72zFmLnuw2zXWaM1nmqjaUcDf7nWWhMI1aIrG1qc6WRO4sRwk/NeBomsZ+/0EstHAziBms4YAl
yOgF0v9qtZlHz4rZ0DEve9dgBaxbtjwIBwMCJgzmEUyGHKR/9Z29ZxnO8tjnHQBhEA6bYXgX0hYc
70ueye5TfRXwRDwypglBfeYhNRg697J47v/NVSlDdSpEwJKSRlH63ztHKryrP1elv93/xwI3BoaK
wFbQRnxvHLGA/OgcgW8xWeGQYoGF+TUw1PofBBgSVSc5NyjGRw/tjwXO+v6AItNZhrjI3/+ZmEL6
U+eItfmXQ5fHn/+0wBnCU+2fBYajtmF09CDN7y6VTqULzDXzofRMITE2/V0DdJep1jzQ6MBrNbm+
jzL+Rhq9rZIS/ki2lXWQjJQcS3kjPjjfq4rdswp4+24ly0cMaq8WmBCy2tq5+ml0xUdk7HN/06WA
Z/u6nBYyqF2ZAFLzaTd3a6PFwafxjAXbR4dtDcunjtG8Ai37jLZ6qZOJLU9aIEO2ZmLNfHxvL1UV
6dqpRJxmL1yFnJBhU6Q6zditiNnUrNmVNCzW6IfdTNeHRSxlyzx7ym9BZrKtzYDR9EKCsuwZ08/t
s69UjI73DqCeX4G9eJYqo2f/+WLx1thNQU0nGbWjYhGramnTwNRtrGgJ8tL1DXP2jIItIhvgtsWp
SppgBocsgWFRd4CiAPptci2Yqnk6f2oGCJrWkKfjYIUomNIWs0c1ud9jHJ+R8dqY6NMkoV6aYbHR
W3BcUob0OTWjeTCU4MuDfTO0b0pkbf2YnONYWMi+QtJ1UFkTvQvvkzQFsdw/SZGXh/Aod/n033y2
o8XAYj6i/Gn9/A2RCTc6PaFfe1C/3f/H2S7RMqKtO2qk5P9w736c7Yhh2caga9U4sX/1vqPHUFGz
IsSQVfPPSDwD7zvIDLQj8hgA90/0GMoIwf25T8zZ/suhm39C4vlhFomdkpGgfoXlZdHd5ULvaNvG
I5lInKKe4JpSil9QlmfpjUnxVkR7+B6+XJ6jdskzHcjLjUufimDhaEbtIb/p5/7+krK7YZ7VT8dv
waXI+e7Uh7hKE8p8eqFMWO1yYA2YSLJbbNr3isszLvGxrzQRc49ii5yiOaxP7OrKSv202PUXtv8q
TGIuzTMSnZj4pt/onujytZ3WU/mzPQN5nSow1e3sPALQgwUCe2Gjod0a4HU40Y77wO2XL9HrY6dd
+y9jS1ecgxhGEiivPz8Vh5wGF6ZAFP1UmlC2RVzQa12n+Ya+AGPo9zEqtvBYAPv9SREMOUe6v2AF
DgGmh7Spl1Z64ztoFfWocjGX4MFQEN0G8ktS7ymi/fsy1FcVJr/pWBYnTBVZOTagM/CkgFQVLv03
7l298qDD8Aru3p/RMt5RTuvGllFidGT2VtiQNOggpeJFBLRPZkmHnWH8Wx/2o2vn4z7+KewPfD/z
7CBe8pN1rS/WrZTBvzn33XNlLoIZcHVMJPU0WVTrYHEK3hjOwWoDyRu+xW/1uT2Xx2Jf73VHOtFJ
KOZxeUgMj+cx3/2YAT0m6mvzrX/D9zKOfwl00WfoTsvyoOtzHLy8IsIAcOLosScyKUyKuVhO8Gcv
FKjdnu+p2N+wS8+FcHDGQW//tPVRsfAJauQuzyjfKdvhCLqq/k7P3AromgEkse/9FFogPnJpkq7B
jAdsgORJeg6OaT9N9fHrR4w81bFeZ/d+QXEYkXzBDNRVrdcKFJO+4KvHp/iwYCqOf8x07vtODbIE
aZ3uQC58fD7W/NMTRmuq2xq303DlqeAK8IgMbpFDAzTHfcjY1+VrAXnxLFDe5QfhLYvgWH8ER56E
n2A+fAYczk4fDn6CPlqdc0HAzaMvLMiunwFFak/68ynTEeyw7tOlcHUiHYqpb3pp7VLm86JIdbDD
Y7oODCbljI3/zQv3yAxVyacaYXrY8L6/1Fv3v6Sj/x7BieSN5e3Xhfu3+/9YuGVgYmyoJCgU/ykb
f9qmGepoMSTKVRwTXn4R0sl8n9WcIE48huNy+2ObNka+o4MFdPqf2Kx/snATM/rbwv3zoWvjcOPn
bVpdZE0ldozciLerReeJJ076jNkSuQb6N/znqwqLmegMz/WSRBYN19iCbOPRYaMqayPjHGc4H2Ol
Ojf4hRYAQ4s5PQ6NsgSNG60ebAuytmdgkMmvWnXFqVChuycGyh1C0EW2FTvp8TQsAzytiZ19fgA+
Qbv+ON6NG/5r2W7fG/cSeNoOfsRcRqJ2MbzoBqeLhXKMlkKuo3cuLfF+nSOrAgAkfjKPYMSgWLPu
G+ON1JN8l4JQRucNJcL3uolvsw44ZwxBRzq5Eg3YW3Aa9lQ1oAECu/woPvMj6t5N9Q7kBM1Xq9kl
HAI3Bo/6IN95jfyruWXYH9+VzH6usk35+vDCdek794/aG5xhYtrDXjn4p3Aan4O3qnMUDOAti+5W
I7ikde6Ck9OwdXPM+PI1PjQujfrWjQ/FJl7S1H9JkCu++K+6gYQPaNmOtRKP4F5wIEb0+3QezTFa
YuR7ujTI0Oa/GsWk+nzwVn+CHEB/sDY880v8imSUQRkd/Xhh0nh1IaDdP/T5sJQQy2AhY0lSrg0N
+3BhbRDtxJ/SUmYac7lf022wN3KiLGzAoPFK3gZYOY7iEXDG42Ww04/8Q4VygVUT2z5Pmp8lol24
rn76J1C3L6BRXvpiFfcz9cy4IFwoq3C5xensKlATDvAGyCqjHCUVnT6/b4cb/U36ZhIEeZK20i04
sJdIHO0qXYcbHY0JIO4FsLhNN1OQXGleegoPJVljSJOm0baB3/3RvZAVO5GnqL+er7BJkPRFK/Qy
82oJNa9e3tdSbn/LHZkNuy2tMy/2rHn2oRpsLkhjtPF6npMXbOb1Qt+be8uyg016FZYP5754LHps
cuJeXRSbDtVXtkjewrdRbcYMQ3WHmTXA8ZqLoy+HRZUpGKwsOBJOQJ83PuSnhH04s6n5fQdXvJ0I
W/0LtRvTm2kz0zbRC0iueAp5fCJ5uj+Rro8Tsj39q5yzUa9g+iL08s+oIAOCWuz7+f6p7EyFZmq6
KlcM2xYdoi8v3z12eDJENHorazt2ZEbrWzRtl3I5lV+sUe85KTZkeBab8GCg1cRsr2cgg0zErBVH
1czjZbLgfHlukToFtDJP+rS7JWz9Zy0xb6iFlndPzrwBuVuUfZWa97j0NeODTwjF5F5yC7ZUj6u+
NrZpeCiECbTs9NRugIbB032mi4b+FY3njm79c40UjrECV25DxeHDi53XBlATdGbSg5wgCF6OjckU
Ew77JPAl0GZCFwGagS2IL03/+yOWDneQCcHLnrT7s45RS3bDuyvOI4qZDZsjNkPoTRt2ZQu2Tzrq
HH3On2GK3gc+wA4J2pnHG03A0Nr1CaIuWihF6hWebC/Q2DQH2v31LtBwcUFBd2kq84fuykQ7E7XW
HmRwtvlUWj/FSb0dR0jdFKAZiizmRBHsBX44vAUMDj7pZT/Yf/IRHFvvdj/nOWQnqWc88pOesjyj
m46Q6G7YyoRcTbowO+3MD4N20U1HP+vszCygP5Kjum4ObHTqYsZDPeDKTZpDcuPIkxuRcrndZRxe
fwycFMMt3IL4yu2GNyXlpXA/Duzeu7ititxu4f3uHjPitibGxfQes/pbvTN5/f1cZvAzgf/Cw2PG
nLbf4isHXO/OvALegrCFiObAdHOVSX+Mv79z0lrlwwwuRnopPF46RGPgRbxQ3/s3bzfG2b9i4vk3
rL9ve3+PBP91u/Hb/X9sN9Dt0/dRgKTTqIZpxuX8jzqRvYSMH3P0Yo7p8T+3vRET0SznfvIIZ2ST
8Md2g2ByStWx8809+dE/aHtTrf623fjp0Nnd/Gm7EfZJ/kgH2UCn+vb2obhoSTENCozeGQv1DHHi
jTRTWFOYlbGEtFMDFNQwl9zyxHJ5aVb1uzgJTS+bacdwc/WH7WOFNt1if34tYAi9VGjLhZPx6h/S
zEnP0ZtKIBrUq6105mRfmRgFRmgMwxm63iskB022hzszCmnHLhK1ko51eQYmRq7eUSeYZ58GcK2U
c5Hd+UM/t0gNo0k3l8V92BL38HR19PX9nNk7Cx5l2Q3Yl/U+bFioMMJjg2Hky9pGTyduV/6Fmofx
uvnO10Bq4A0ggv3sy22oHLgt9coqdAB4Ucvpq6eN997t9kxQKe9AiQkXLt2sUuMzMFCtXsEGIJ8S
LvpKK5YsmcKF2m8EGeB9J7PTo3RhyZYP+WP805PZVGAt0J1myxA/unLQZHtK943hBat2p6/0VXbj
2VSdAAfc9zzlQzw9ltpILOA7FGDdXnVZIfnCcKx3dFkz+cTBjoGblqe4zTYeVQXJylomM7hdzKqN
TUj1bNpb/mEzJp2eOU8tbDVjBsbxjvaayXY5z1qwmlfpRI+vPYjr3ItKryG5aV8IXqBAIl/AqZ1h
VfeIunMIYl4aE9AzuOXNWXbKTv08P2BSKr5lu+7SJphqHXFVnSiEUA3YMB8XutfgAghsYdHOyUrL
ickAvWu3J/7yUbI/IWmBTrDFVTvXLmS4urfd7WlzsWG4/XqrXrPbiNMaNq+v1U4+BSt+BcJljMUi
GlaZWPyM32b1SkX+OrKifIIDG8JI7y+0/C/VK+8ZUC+mpCyIJHQ9JqlxZIlPbv6SKwvzUv6tpigJ
WDPNl5sGyCmvdhV9y1gCkGGfYWGBIELBWZsv0sC2hlzr1OYhGDlyoaCcHS9TGGVRDV9h43L7/oi4
lFvE1zD2klvL1DZfmLNxggtBxn8bjuzxrdE/wYMJS/4X7QSHlkEx44hSRiIOplkuYAzHNc4h7imt
+2PJPv6t3nbTc+a2R4Ydyc0apgFaXu/pBV84KIkYvFES4Jq5jBaZ5wElMt5TcZYeRE9AWWEt7rN4
Zy3ILXnqdr5BzGYX8PSGgWQcuyBvS3SC5yzZcb3g6mm8a2cuZcEr23EayRhhbvVMWNIXQrwKhY5r
5ThSzsgsGT36fodTJHdJ8/U/rRleEW6DWeQxoThJb5z4bJn5atjK62rR7lkVSB5xkTJVC/wkw7bf
I4BlmGufuZ1Nppodu+KsB/sTeKEnvH4LjtTkL9H5cTZ2Q7BQtN2/9oqGTFS2RIyYdD65pjFZ/ZsC
eixDf7qi/dX9f1zRMIaClUdIN16yRoL3j+sZlTUVNbI7LiPjuOIX7R0qOKYpKlxPSdRUDueP65mo
ixTXQHXkf+z0/4v46F9eOFfdX8tng9Qck9B1Ycom+7nCu98+COCxW7I86TzKJjKkl1hnEmk/iJQn
QvnUjIYdun/4tvxJNE1HuOelONQosvB5IIUKokWlLkH8Ap7SZoprsKqObhFgG26whG/5vc+GzEmf
+Okx1yeB6PQtHncLP8HWbAJveGJbYAtfSVsEVC6ZXst2T3eVgnCBwU3C1OY9I9QsEOCoyYIqWTzE
zzb+hN+jfqGJE4p1d3fxBeERivOv/BQCtGpdfOyNvCk9GCNVPjXRoAt0krrHawSWw//UiFOn4Way
bCkxl690PPmwYsES8aXce5b1Us2IXpqLGVPVeplQPO2qgCuDX7P2ySuRZaASHGgdhRgt2jq1XC4s
OjklKhv6Qojcvs8293ahmv0E7E2fTZ7lIuxd5g8eerKAq3QWF7NMICliONVEVqcpJSGCkQDtk1Bp
26oivKqlpBqmZtzM0u72GGgmE+yFz8FIFvEuaKYSSyylj7TJZ4PohOkqDQePRDD5hajJZCIks+Zt
QIq0Rv+kQTDV0UItlY3vDRwNcaBQXNbQfrDRTvgrhRs3QuccQXCED+YmnbnoUfsv8qaA7AJoJkeG
yZWwYE2SFDuOPnPly+fKF3MNo9+L4sRRWLa3IewZ4Qkw9lK/ltG1GFp7sJBLUQMZ4r6v90zFSHk5
hQJX3W5fBHO2V3yQHoLzvG/pr2QX0ravT3KdEr/c5dlUxuLvFuaNVHh+AWRHt0yjYmVXPjpknKq1
KhAhqS852WXigw9Dc2ZXVKjTZ7ry1amWUo3jmcsKAtHUyM3iyJOatSLMKsp7+h8mBOh17bMLui98
Y7ER2X5xCdBJRBC3XftOvGRX3Xpph3QOywbw1WwaEjqSJotcufbanGlYzRxadzr9xVgkLfwEF1Qk
jxE4/keJYAeE63PdazOflNNyA7veKx/QKOFD1tvHvphbONBcOrv1S5wvaMF++odI/fe2OllpGU7p
ANXBaRDkYTA2/i/ufvjMLKu/rtS/3f+PlRobvjHOvTQVH/8ohv5jrVYxsfOtcQH/IbYBvyybMlZ/
ZuMaw62fmpzkhaC/AXr2PS2Ey8o/qTpY+H+tOv7zog08EcRPiLLxp+mU3ppFHWuNQearIx39x6TC
ihSADhKnY1Ddw5W2xpOOWivuhfQEKmmShHMxwdPD6EnnFJOx3E+10JXmUCyVcts6/UKByo4BVjvm
V1yXOGvLEwXA3TopxZTU44AWAEUDHt9hDM4mII2eKM1O1cNBRCQtgX8TmkW4mIgTSRZaT13B7VTV
7s8UD2+MPpCEdPQrrBWq2YSLxYoeLTaMRafN1fArGoSPAucpglzd8VejypId2ltuuBKn0sMrs2Xw
WV1Z1TlQt5mxa940y//j7ky6kze7Nf1Xap05tdQ3gzNRD6JvbMxEy8a2QA1ICIGkX1/X41Qqb5Kv
zqmvhllxbL+YRkji0d73vhtigzDlvfLi193wwWgmnaQ+iwM/Ew+3Xu5wj4liDnW/CdrgGcgTeVKO
s3lZuqd1crT25yUqunpbzeeAGPz38KcGtEXyrbenD3ldvPZv+lx5Qzk409f6HKBQJgPb3JFcHGgb
eaUtbt/9viocptXS3p5pC/yn/SrWxrc4D7/y3YhJNC0QzQYqPdo1p9i0uyY0Xx+gtbVjfuB7u7t+
DfEjttfpLt2xsevLqzknNWudLDP8sbk5e+2XQv4oBI/gqJf7tpG/UtCd0jVO3gVPRfMSvxrQiFvC
IbBc7K7jy2eGCSNufA7ODMr2nB2y67jFsfq0IqH7AF3ezF2W6bYbJ9AhWWXnmkGs8xh+e0OpDJbW
vQ6w0SMZsJRJPmzO8dkHHny83l6hLuuoF2lVe2ek7+9PT5+ZdZC7/dul8q1R9HjlXTPb8en7GMlJ
xZilMO4mdRqSbZPdjldYrcZtbHG6vVA79xvUap2n9d5nAuObmFqmP6aPa2beCI/NFiySFiIPkwY3
UdK4zOEdndlzkxU+XnrQGcock9Dgjrwkqx21g3LmjOwXZlNGvlIvvmSHpUmObD5mr92qkzNSwkbZ
oikuySJ/oSWhIFdfzG9pjwuwhv0L7j0M1NgMEEqQLXjTjbeDUHx4lMdmsFzz9k7Qcr8pj/iP0m3l
NVzLDiLY8h5eq7EWIeZR9cB+Se5RxrMNSthP6UMGChBUr60/0uk7aAwufoLBJQ0KV4M5LwVsC679
2NzD7yIcTS/+XeC7/gkdAXBV4RNBNrkuTqvRuJjpvMupMu+WwwZnHPvGSWbs8VfF/ZXSpPJO6H3G
xLAwgavcK7LI6hyi4lear1uxvpZxi1P4DdXpmk4D0ACUAIZn8lzQMFD0FHtuGGHghFJ8yrNKdVDo
rn32/7HtwW8KFYtyHfhJk+X/xgqMyDauSr9cdP7V43+/6AB4QSAVlzIF766/ZAWqGP7DLv3NHVNw
nX6/9KDAsRQ+xxobJGZv0K7+aBB04TsmnpEtxrrr38C7rP8L3vX7Oye14M/9gXJ53PucVwkve1pr
Wu6TPG0xh12S9Y2LHF90saZLk9y6I0ngUcbu/K2xir/L2wvWRMhVE6pdTK7n1qoL+slddfESdPbZ
2JrV/iPAn8+HogdDgoaW5xsWPCOqTkwnspCpy9wcjz5lEPkQDrhXxqADCGu6PpQY3HXyhnNTQ+2B
byRYzYNybXhjboGw1m9WozxoemFycJme3+U9YyQZVhIko55m5z5VvukLGOIp3wT7zJVJMW6/96NW
XAuxPXwEbJ4QTDs1zG5U6kdImc4oxo1yrk8fS14iglseyFi71+jiK5X40dUpZQbYBOUMArkDe0JE
DEjfMjoWLt0OPqGY5wMLOLpw3bM+rhefrBEr8R6shximxQaLrBLcGcDj6MFggAkaG8SAG9EIMzJc
tljFCEeI4Y4AVuzvR+wKIW2MHwFmBT6+U2JTPbFXmUiV9hIIQzqkHwr2E6+ADvyTL/CFH8L6a+Wp
U13aLPqBrPPpyd1SsK45GKW+0AkSgGEbwIGdM+wHQyqc5Xb7GAP2u0MkvdHpBDqGm+RGHuodbo7H
PIYwguDhMe68flJ+s+45eXgFDMW2gF/XzZxzQmVkD/6/ObKb/JJR0QEqqEP9MSUukO/5HNaNFAlD
kFadnJIPTW6dZIJZKNyXpzp5vkPBLdcjwBCuUI7UBBeMRUAdEWl9w9ppiWFZcZQmjW8HTCwPi+7z
Ba/LLhBTPM6rfs47nHM+94xNOOlG3qI/oABBFypkXWG/ACSV3Q4OSwMveDi9ah6XNcf2r2EWqNFt
UYDgPt1zeIUIaytjZqY4m61lvLx9egnU32fzA3MX2wpo3ypt/GyfyLzdZjRpmffgJP+J8vpdUxwj
QHd+XxeRFZc0IgHBlXmQyK70URCU3m3zReLjHdZ1ILMOKew4xAH7KaElLg7tNoc3DLDqNnds+xkI
+/cJiCoEDQ5DHUGSI5yrk9wOzfiSFqzBQ6HgMJp+d5ngagBufAnOQHr0sN1nchqfwmeIm9tg+Kbx
QtCyGVnFJ00Y+rIuCfC4tWqHJqYyoU/HF8z798vGl53t2ScQwqXbhzxccaZgMLuzcVjFF+KILuZU
bQpStUygX5g7jMieS/udaVYjnGYvEd+EhEbcwn0wJiGGwAzk0vlSApXh18llQhUva9IDYh4Daikf
lC2ecG65P2MOJTvlnhCLs3d7KyM0W9LMcNsVvzzxgFDa2k2EzCGCWXxxxzfkDxCjRvk0bb5kufXv
CCQ4MU7GzpZaFL5+vxiQURhM4BkrHxufgukmPDPJ0nVqNwU2HnZsFEwl+NyXs5eo67RhiWOnSFsU
MICk2uYmxBy27Z5HAdVJjwesHTeIPmi5k7g7kEGA5iRDU4TqZAO0CUQY3N2rR0xAlEVF9GDUxJ+w
+1sMs/Io7skxReun+icQbzzjUTDuwE3JNYBRyX4/EDpwYUl8eMPs4hvRfZXmPCXDtdzpDvrOiruw
FzqX877fDLMk5hmskZci1v36mbWBstpfO6jfFmirEHZcfCIEUPiDOtdLAObmU/yLSiXmwTj4oY5J
YvuFRNF5/amULu10+VlvzYkLFHpspmaoTs7bu/8EmcRu9qhpfqFMLiPSSuLLy9D7IvcDjj5qHi0h
eDYjPcWVqUn4UGHnMT9DYuevoM1gt0Lsw4+HOQfB7TddaMXWiTqJsgdMGC5U9OOPylGMBEWvEpQC
6purL2+IquUfVDoYJcV6ukNdyk8MeAzh148Ia6bMniu8kPzemrF3QZzPe16uXVCEQbwfd6UwJOAr
EbMedikhEBi8SsJXlrkP0c3niIJKmRV7fPxLCByEN3NlFLarKyQKeLpi70ArRKW2ufrDRmX5ZQ0u
CLPBSglBpUhy2YgSjLOXkppFTADVwwEkO7utwa1vNFFoJWOMX7kzaxe8iY5LJS+RY220yn42+4JX
rh0VDHVOzHaqVRHZmf8gC8HYDYx/7gBM/+wqTkK5LGE7JmFZ8F+DvFRxfwZ5f6q4vzz+lyqO+k0y
BIL8mzvY/4EO5P+pwcwiNFTXSHn7Yaz/UsXpOB2APP/gvwJb+KWKE0YNUO5tyjn+8u9UcfrfxTpQ
vn5/55gx/KWKO5XKkJ2Iow85NStDwxAEjvRSedFjicJ/y3Xi3kej935xniKPQBfMpWoqOuPczQjP
0F64sG+7sUrFI/ndNOc7IutABIUoc+Y2HqEn3tW7LhNHDafPQA8Hl6Ehi/fNTeHG2lOKIocY0oC5
BH3Spozvb2hH7AXX7wfDFwmzExV/PsIRUHUIM+i5ukzcOwypd5MV5fRe6GthXAVWfDqvtXT2fPp6
bAa3sTbB4U86NHG6wBTdvxZOGpFOklF/3RHVOOa6i+vwY/AoMfbQONrTLMOv6kpFITTSC4DOKJ+d
VwbTUQIdsQqygnRiZXPrs7l4EjSTPBz51rhzUudrm4wF9DAEheWYdLmPJcDDoXTN1KlXZXwjN+sR
iB1DNsrc5iU6KKWQY4goAagGHO82Hwp5KxevoQfDNweSV39AI4hUu4yK44y/cWfoDOjb9Sm/MzNF
LskIGbN0oScke0UMm+0ltkHA3QiOkbx3n9ijk61yE7xhFM3cie+3N4KgCnxqA+ixIw8lw7skhNWP
z7z34B6Xa02KVI1qHsKuc9FcC1RfcWGALnHMyumbp/kaX6qp4tKzh7etSnS2Dymn21Lxe0sQmycU
4QMKK9bZY+VjhkGhBhdFTAK6DW7uIM2UVs3Dk7f9XEyQEVczRYWS+4ASwrP4vIfnGiN9RsrwkvlT
DN8Fj3V+hea2HiE8VJc8Eo+5CdPZZfcJG/n2xp5h9itvNeDocgpx7EHVc6Ls532zm7n2cw8msTyZ
wqAxaV8fEJVRydv+BzsUzpjEiM/sljcdnZVjv5LPhXHQ/RnqUzaJCa8+/fH6v5obtk0TJgOPpcz5
L+TDwk4/w+9HKHt/psfPZe1pHnWM4N5cmPw6/HH0gq3Q2Jj+2OSL+fJZzFIxDV4XMbZWxHzTBcBt
zseAAy51W//ZvFGBApKnSI9hBdvvKpg1Wly8bRbdmnJCg69CASi5FEFFbEz5N1VTPr5zBzyuANTv
O73gZQkNY4YLXch+5yU1gIqx8PNnFzBgp8CSD8ZUbCx3qvAGYgLOFy/x3ktfZ92Ffq37lnh6DgTk
JfudrWUuLwbBD+uV5+BZeULU0JeIKu95nxG/JJ6B2T438tSkdMGKMmrZ4U1YACTW609UFTlgwipr
9MW/fl64fcPSJOJOVHP7H8U2RZH5RRyTXPh29TFS6TFAGQMKFNYKWEH5R/n6jG9ku+mERLokfkRA
M96wrCPDV8fY5BXwfOwvHmBEwBe4JvzI4imXoDwhnIY99FwA7aD1hUBXo812ESvuSrSt3pQA5pk8
fzVdedJS/9y4D4CRPbmv1fOmO1NOdpyqGPbN2htz5jPq3nGDnyKlyJOKgQCDBRVEcxUFA1JttgWT
LWbbNxHB7ojB9OXI8gQUmGYbVuQLltrt1Ss/jHVL4xnIJwA9DJ77JKBa7IdP3ADJ4co4oSeD+4ZX
n4sawJkT6Rkw12DOAu9jjMKbGfGkYhvAyCgAydEMZRzfe8ymKBGF69JMEL6EGN0fxK8Pch+OwE4U
OHC6KGvM9+Fwm5CW1fkUh9RdBKofiLNien7eczMuULy7m8/uOu+Zag/m/OolMTCZ+WVFxsirUF47
OyomeHHM67qAjCyE+Yi+bxPALvtFm1EvMaFenKb8wrJdCeyAqkfd4Q7Frro7T/wNyymeCZT35JzZ
4GDXT9Xtp7RM5nfvXbdlO3l6aRl02DZb7n1wn9TCX90XGQo6yZ8/31WuOXRCjrvJMNqY0E2dDmcv
Oq1Ky7m4CkM14rV9CcPAlhlOZOVRQexG593GYi1kuL9/kikFO41K/7atyFUIpGo+nDymo9f3oQ2T
FVgCJt/MRU+jCWTa6wunxgWjdGzINtm4n8hHwEE79WwG9wR59E5Z+unT00zXuk057ilWIwAesuqN
rpBzMb+678BSEoZgoljFE0THxdDQ+JQqXCLxuD1/S/MylhdweQ3ThWXcJ/5F+a7O0BcKQA5rxmTw
EdxXEqCLA1ONE7e/uzuGnHNymwLYdsNBm0pnH2eI2CIFj4M3g1c0rybDgVOUjwkHXt9xrJrRCjKH
INd1AVl5nE6CdpcfOStOUgi2uv5nV5LokvDox1rr/6WSpNT8Gx7458f/UUkqIr2YHOHfhk2/T6DA
CakDYeEz+wLw+zPZnvRPiQGVSeiNScbOn8pIRSIJR6XMNH+e8N+qI4EV/6KSgv32+3YL0v+f0UC1
bNuTcccVDshEn+JNYs0wqu8lfyDecWeeppW331fYCoTdrN2cYepc30YTe1immkik6+CqkL/yDPOP
Ux4YbyecmR2+bCLI5jXZGfEomWQsHV4TW5z2CRpgbAbKuI7cIeMTIZNugz4Jp8N928+w8297R1ZB
KeoDjtEj3DQLwiHDzDqYyUHVmTDMJGvZPxdVAppmvF8fhzNeqH6eTejRwjuWtny/BICayZexayP+
gJnDaYo6QPWoIygJtIN2SG9Byy2bXgqth2cc8t6JjYP1RYoajpmY3d6gYrsWH1J6PZhe71ShJ3xK
KzdlicJK9+x0e4hi2NhCFOMGVfnuAE6sML1PNUjTl/hTtUItfDQ+96GDt3l9qjh9esKFMaZqKRiB
Eax6eSHQ5uyqGZfblK2mCy+Zjhl4a2VUaJiVfVakyHxd5NdmZb9qNm7wzg3rPbAXCS5UWLJ+EGiO
QHNLOOUzJAWHYvQN2rb9TtAnmXGmKA9KVinhql32kckMUSWN5bS9bJV3tofi88ZhQeRECfZ4XXer
YXKL09A+VBEGLIlbwZ+DHKivcLdw8e+/feAoEuDzR6kqvVsv10kRiCTUQD3FN7jV38+VEZYxxctC
XpJ6Hj+CYdkFxR4LQGv+jF64ZFRuTFzLzbt+19/NdW4vru/6ifw7oqjfiTo+3hc9DIXaN7LPWvAD
yTtjUrQCpqbPBvv8Tl+vsCR/7Dsw9hF0K3KWQB2eHSabnxXmqKX+9hjtcCg2K8gTkUxCTJeKK/mq
Vtjp8ky1gbl/qi/2O0YysLap2ihjzoInd4mpfy7ZXiN3hnqF3ap5NXF0X0xVNb9d6VM55kgssGUf
wxANupD6eWmNBXxFn8MQsvMJiAIIC8EIF4qEvc0Vn51FcVo00gRXpR7szj4H67RcZ6/ZB/+L75eo
wxXSbRfyTN89NyzhLPmEnHJyi7RVfQfsI6xNngvqIK7cPys51wYrFtduagUuvAPJTjHtnwvI+Q6N
U51RSgoC6M3pPyFPkloDLVuUmkkEb9GmALk7qhpS7B2HELBOT6Y/7E2iT3XKyc6ARKilO/KH5slp
CtcwiTQvYfNxxoGnLoOS5S5Jp0CoCYWG/3i/3xinKl5hBO+XNUS6rUkn93b9JEgPtiYJfkS+vmvb
Wt5geWSdDkkTpnuVkepjbYe3bMxlC5MXqn9WGHV/XzFBG97602E0hOXx3M0fCuxWGyNkwLAJuNcT
5PfnbJdnZ/jnOvUbbimU3Q93WR4nzR4LoqDxzrDa76s2DZvWNY42chmaR+iIZUA9xiB5eCmXBiDR
m9ZONAI0Br8dP88YPj0+lHaChdGybiIYNFN1AhOECq5y3olgFSM9yvQQ5+bd6BkqlxkHXprm2MVS
u5XBJWT44by3x/OYbNbIYupBFzZJj9dFtSsOjxbhHjS+xOU9RgnuTlm02bzoSFUTem5tmvPH/u5r
I68DymdGvOwdSrMhmcJyn8jXTUYDcgPXNqactbRxfJG5SsYR3KYPugJWX/wjAJVYbeCA4jHTuaxH
4c1Xw7fqxDSZvAxmh2gbOKh0PrQafIdMeqFKpzQF7cJch064dnCfpVnW8phRwimyEw89OBFR5v2j
YHjxbZGLirM50CfcTw8xJR4zLmeag9rbKWZaEeCaAYloxUlb/ITUklMS6C7CBEptUcFwoGQHIBAr
nf1jxSFWyBpt0ZXi1upbfJCAQTufapVKGERNuk3kmVXOgQLx2pItCJRa8y7yourRSp4xX2YcC8SX
J4dEj0AaI/yFer5B2TLGLI5HbTpw9PEKlpDl9JmbI6v9qmacUrw4QR40GqxAxR7ZAv+Gq3rC44Pl
CGYm/2qpgGG0iQEEvQXLte2D+LHEjWLWPpYD3Gu5dHzz6+UoQXEV5uHcgxVNmbUTkj6VGfcZYW31
Y31KiCSdJ0su0uFPexvjCkZ/xpnQ/YRR4relpI7WBsJuEfvyPLZhSZmNX0176mL8xq9IZ4J2cveS
CXkmE5DQBVqxOspmSqS7qnv38Uv2FA8P2liKr4t6MewaylEPmRPbQLIMQdViXKUmjHqIi0imFTxf
fPtOr5DRcoft+UdXi5YNmROtuozfqfxfU5bAHf8mqzf++vg/qkUNe0ZiDOBD/bho/EFZAnc0TFs3
fouRMn/hLeHsiMWqMJyUuAPuHn+qF4V9xv+fOPMHVrwWfXq9jD//8z90AZj+uuHaX2hL6pWgplGd
WSFjy2ZSYMjomeYMqCsw7eiuLAjcI1uJE2zH9CPmo0rPyHn9c6Ycf8Sty99e7n9c2nJ5PV/uzX/+
B85I/6JqhTZmsmNlU+cQ/LlqTfO+fhpaStbCd7Wn5lO30nxEeqvDLBKgCqAIaTv8CAJz6+4DUiaV
kvUFomRKHlFV5DDw2bUjXMrffmoJothoWDtIVJI5T77456ne54zEW6cfgcpfZ3iQUV+QFQc6P2x4
EPd/9jPopHbErTC5IavT/2b1vth3C6YIrAqXo0rDijyCARNQH/aBiACLEF0o07cPcigJbrovRSai
ABRP+xPqMXQElXcjjsrLgQchw9TTcpUxwMtdeeTi5jGSUFe6XCXNVz1uDrcNOc+T9tCstC9lJ+Ez
12NY5Fgv9+U5TuOcdGVB+jGKiOv43S8Mv3g7QelkfvhuBwKGJLXxC3TN+KI01rHP070M5YCBzmX0
gSgWiBjneFsfkxczUD8xv5nVq37W4MkY6xY+d9nR5qp432HcidIV/JPIF/FOUF7o01HGcBYH+pX1
BThbQP0F2KS+p2QV97TQWoLQIVgAK+VHi5H9URpWDSQzH7MRjiYlqcD/vAq2DZ4Fn4jzebC0ufVj
lA9kThk7Ae5R7iprxvUcbYpSK12wj8/MnJAJMNT7sViAdUp4YQ1hCz4SICGkrXy1LVfP2rmunrsf
daH9+tgQN3Pag2WeY+NF8ZvBoayk6g8Eckro9Dz7tCZ3MrS/Hw0R1XYbSk8vWd0pHQJd85tv+Tja
FAFINUbuzy9+Xhb8NkAxdUqSjpEN+vpHHQ64TnK/y+JST27ptDzYjXvLhfv7vfLOPr0RVpzqa/Ol
ftQ7u5pkQaX4ReWV6RgWWp37ae5lAbQ5yKjn4BomTwAIxzYmuSGG16Ord/IS+BHLBIRieselSnaH
JubNjxW82DOfazlfOPsbT1h+fJJBVeHUBWV4eQTcPLrPoRcQrxoZAE+yPzbesCV3GDvfPnhOUMf4
/goWNL59PKIb01S8XTkv8SAFBV0C/0mqpx+0zeChRaGUeMRYlr9x++hFwSnw7DOZJyKe9HIFvysc
EIChAmjEJHMJVUr7hrjIlT7VGScaU71p5R/12WNS+e2xKkNtA6i3qqHxEdN4PqTGh7ZhRJf4I4Jb
7ZmyqL0HOPHdfW0C00XDNIRLUue7te5jVkxWZw1E1YXq7g6u2B2sGOxPQGkMGL7A0cjRhDj9lduT
HWoTgSiutPTFSF9Ygt3ryT+XLpQzvp7NOUx9IiiymZBLTbrJ6MrnVQfB+VxUEXY3MRb6OxKWaEHY
7KXqNuMrFWkWXeb5sp8y3L0wniFohYVUI+j8vCqv0EICOSimt3JxyQNrV/ASxFRCBlFceXpVxsaw
wx23Z/VQ5ufLC78gpwKGT264NRY3UHwNcXPqV6TRUmgoUBUo3ZhlGpHJ+JimVn78lO4Dgi5lfB05
xcctYuvwnKDMo40aa9P6jS5DQuyEdYir6VNbgHjkxcnJFJtKFW80PLA9G/ciUqm22MKj+QFaktWQ
nQfmqwqg9Ll4hBWfXAE3UkYBPWq43RZYlCICpbi3oEh0IffmldAB7QCj6jP6p5FQZnaMpHlGXSiN
MAvlNCDLc6EPK4DXx6o8La8ewG2/oTJkyiqwLOLfQGqFkWYol3OEMkcDmEtIRCHl9WPuD1LACtrP
hnKunaZqOceEkzfHU1S3KQ6a+V7d5TeRRofH4qy5z/JyUZa0W6n0rTQqdqg+b4+NA1lr6KUL+ezm
GtoEOBUM+R8rhKVIbXNm4AG+mBlqh1vwE/IJgeelX8HGK/yNhAGv+zqdT+gT7tKEHXw+Fj4zJFJl
X3pUGHjt6kCD/Kz2NfUihKHqyEBKolhE179KLTTcZbXM0mmOpO7tOYrPC1uK64aRoKdYq5N/0pfV
GZaTjt3M6gI9NGtno+RYl7EdnaxvDQPRW82J7HChC9XrAeOq0B5TqmK4X3CcIYD9bzP+Ufta8BbJ
Dbo6FaRWTKfO4WkU/WOLQEHhVimIKLnQ7kDeox77L3jrgj3+J8jwXz3+jyIQarpuECRnQ13/tQKk
lFPgtBvCxZuQuV/5g8iKkNcSdIUbCPzCX0tAMEYT7roMG1DHLvzfGT3/UCN/hQz/ut0kk/7JnyMx
bnrx0DKTjGLTaVVoLRdE41fYQ2jn1Qv2fs91WbW7wooSi1bUxKi6w/pbfxsRDadL38Y1Da74cu0e
KNob5RLcB32cJtY2f/YQVfRyU1+GuLWvm9aEZVvbZC1VQ875aZC/fKIFyooGOd0ZJogGLKNjEGDi
hFSaXXRTIZGdccanuCiTSB2Izb0lc/0O3WOhkd1RqLlH+OdOfpof7MioGMGRqrGkeZC5bd/WSY+2
XZW9LH2/F0fzss0fo6CQv0HJLreTJyPQswHnO8bWI5Cj5JL6z6u0RBTVrpSsjuxGXTYyDjrKzZWq
CsOzsWZ1kaSmRGSAsT91MrWYDTQ4BI+a1+KGjqeWA9lu8ffBzQLkwRgMZ6jk6KRAnWKJvArW0mgq
J/Je5zKZ1uQiW9rbVWFAXeNJoJBWVVozu+oDJb+9pf1o/OxlfBNN/Aj6uZE9VkaSvFpWHcgmXlAl
Div4E5BJ2mZuNrLCh4LcqlBijJLv5w/9nKL0qRR5eu9fJPs6u1bYPgADyNloelJxWukHbUXRHsj9
jFzZDiCjZLZnTay7TFxp8VJpw1GVe0bhOpsrkax5VZTxuTvhjKXAsYaHrqqUKqe+TXzbSqPBvr20
8hVqNz2pldxmlvmP7i6FLgTNiILrKO5trBv/xcJCd8l44M+ziL89/o+FRVUN+XfLNhwZf11bNBYW
uMkG8kTj509/sFq4WZZI8ECq86O4/4XVojHBkC0eRUwx68y/tbawIP2ts/vTtmts4K/mP6NcKlts
B83Q6NwKlwgofY55RFNSfysrwOSxPbU/yzmE1QMlEm5eSDKGSAixz6tigQHLRI4QPOMab0aPpTqF
6oJLGPnmDgZknvi/xytE/A+flWAq8R8XNHxPMp1aZHOqM4xIUBLjws+3DEx5jT7yfo5SgwyDh6+a
sESlcW25ZyxtlMbvlDuITzfrjjnAvZI9Mud+OePBTKlpMppsJhkeJyCJVJMnqs3yqLdM7mAp1rGU
Lh9ypKTz/DFp0zlC8BMxCB7zSuEZO3n6atBjIH6PEhpXGzyurr+r8PyYZm+DuQb9T0KsWvL56Y0E
zrzye6QHhEG11na49B6R31eTnCUHOdHteILkXaT06XdS2pjOvDywJmMsKcYxoM2Ec11cBHQLa3ZH
baQ7z0mcwUKeZtM7QJImyG2kpk/oeOW33PmEDAHlrsSBiYrkkHyBpYLkedoBfjPMuwN8DPLW0RYh
XVAd5eHZSVB2Cx7OjgADC/WnjL0Cz8iAVHBJiDxgqwyA9ZOr4VJDyAG+rZmTfyLPDOzQDO8+YWQ/
5ip6rwfKZYvBQBF36xu+8KkT2vQVamirM1g86kFRPWs6zH/zLZDGXIcgSsgH+UBprB4k9NQhMVQk
hjrdSrQDzpKM4BmuTcSzJf27fAofW02iMJIXp6vot/rrmg6Y2LCunOGX03TOaG0+AlMEUbi3xKPL
THHunDDPwvOe/tHyVCydQOdhNKA/pN3Ci71JI3vef2k5Hm67ZpURYQp3WIqYOdv5h0TGTPWaf1xl
H+sBwp9BF21649I3cQTapKV3TZbNaHq/bk0MK+DH5h+4wdXjkmHQKdCgV/PeAQql8OnGxbgYy4Tb
ex0HsIeYibBfDi0tuFezDBIs8683GL95nNpeX80KYl8mwytJhBvVmgwxyp/i+fLU5pLtn+ulAr8+
29HkYpbF9KyGEPx0lbkxOyRYFKbIUs6RpsXyY4WaWPkuzHVVQmz0z3zc8hUnAqWlbEaZPa5aX46g
4OKXZU6vHdY5jzeOyiiZytyrgvtkIneyJ/CpZHxxzEmlE97KiaAf0o7LWqQXwMBnAB6izBnuSDYZ
UeeWCgPGOP+fZ+3p5QJannvPznuONg2+Bs/AIg1NtDnniMJBxN2pUHecmzrXP5X1aXYKyclCkUCY
TcKMyy0nSADCK0My7JbaYpLXnzQXRGNZJFsuibfq5re1RiDj1UWdxAGw4c5+V5ZjvFkIbZg3Me/A
WcszZFd/ucx0ypYM+Y5f7Jl2ZYSFJ8Se+whB9WWhzSHEU051j9ldnfORybNxItMZzFVIbcky6cCr
Nlg5PmjbYPu1r8rTr24hTbrCODH3R8r7mcIm98orJ6Oryr4xIpyHGaIHrJP1cALrmVIKMl21HMWo
qk4zJFmcEszMlNtcx8upJssrIFg3CZ8N/KlLg/m8U+90e0VvD28BWYAlssaIxBUEID5D2vL+KmL9
Ps67QTyBk8rB45v5L0vVgzrK8JKNWngG6Ji8EgTwcABV+bqRakj+EgFpWu0RAd7h94yNA6ZlzZ1A
cj4U3XdbwEYadF/ntE+b7elWR32fg3/jEOjqzVK7ruwiPM/MOcrHlTpGAxC2k/RlNmCJxoqOBuRH
FaLfPDbtMQSkAF/KXYuJFSlj2it+cCgJKcQInlGInkvDYvRKUcm4ls14KzWMFxxtUZ98ot5GDB6f
BN051aZdV59saP1+35rR+SBSxPXZuNJDUJhW48PBB9rXX1ll74tu/Bhftg1xEQrskwJTkrjnbSyk
cRriGBY94GIJH/KVCQVR8s4LPfPNzBcfRfA013o14uErm1Sz01f5mCh86Pvxqf8w4OuLXhVk8haA
SqrWjA+eGK/fmcY4GHF8aRG0mUfnnFtBnjnLTvJRrZTcHXApnTUbbMvxNdv3brmEhg4/iCnyETKT
yDLgnLk44EfuLt+3CyOiY9904WVymWhRN0MOh3MN2CdI4O4ecrWCQb+pF/rTt5jV2KbTV+jaDHwr
qktUdZGcbeQDs1S+mDqgkmOaiL/4ack0lYBJVnEBEhXhJUK98MmoGoJat+7WTxAAhpNMsfvP0Re3
F/FzyWref3Yi1AToSMwudZ+FXSLx2oHMxuT2uYRrBNmNae4w1zymsLDv+k9ueUgI4bHoYuQoJCGp
A6UNNhYDMEwBOGUc1K39J0kcSy7uzDX7TzZWnfG0xlSdcWfx+mwbU8UI8EqQ/yDsoSLlNYe5NAbz
8rGBfueZwUiU7c+IFTC8W7OZ4L8MZekUlkW8ZIv55BOeI3Aw3pE05h785D2KN3OdoelQtpD44N6t
eAYGsP1nEfef8gH4Sp0BhnB6sMVH3s31KIawbBC7kJeW9ZW0YTI7zNklNWKtAD5eBSWg9kyXksCA
fMVL2++8GHcf5nzDDGjA2Iwf7DWrCZn1T6RxY08a8DdiLyEOsinsSpzPqDIIDuLB7OglU0K8f0bP
Rf/JX5dsFX+HN5l6fMH6QhHCVpjEh5i7JLDf2R6MzdgN3A3mIdmvzI5B6BrvevztCD7QlhE20nvt
Iybj5fIj7nm7Le5cmg5lmH+dUAxsik21aGe3BctXhYokYdjKPFm0bYztT3NjLz1XQwwRD0seAMFI
wsPtCzwI0Md+ubbgRFeokOCBED+mHWh082auSVJ7LsVJCK024PrYwQf0yE7SUaWN+TpfcPKH1/La
VhNsVNONvjX3avp1mT2jdJPlfvaMuCBuhNGqFUi0o3W5b0Zxi4oLrTXrLaIG9X1IMbB/rvRsaXvp
IkWslb1Y+qzjZvv0yc2lAbEa6aq4ZcAnEBNVGSoaXqmj4iNdPKnerACPC5S0o3RyrvFBjKRqclNi
CfQYrVHu3nP/3npqjb5Z2+oHUmr4iJk71MCM01fH6evbG3IkgcRjOvnFwBJNGay1fkV1BwZsqThb
dF+D/mqSEaRr8A9wKAd4e8zvJzyCA7Pe3Z8zLXk7P+Y6jnKP5ZUX1fj0r66Iyi5cBs4ZXOCJoWGO
SReJH4WbVVO2t2i956uL4hXz2RqvWvF2QOa+cEQodrgyNMDKdVgghnrHlMs54fH4aq0b6R/dDYqR
m2xoJuoBlU7rv+kG5b85wf7t8b90g8zzZBzfFEJJfoQMf5DTRJI64A9CB/U354Q/ukFDkwRvDUM3
wUL787DR5la2V4TeKYhm/w1yGt3jv5jz/fLecQz/czc4dE2SamlhhdLkMsaqr3CkSYNfvuxJk3SO
c8jUSnxzAcHMkid6wm2Z4E2t0rmEUSqJIJsn9A6U5yUrvItjkm96hk/GzRTUOUxehHE8UDTzNtK7
kCjJDm6qL3zq+AzSchZoWh8MdeQ9U8x3JInS9wi/A/D72r1NsSvsYsx16tp9pP+LuzNbThzt1vS9
9HGrWvMQ0b0PQEjMMxj7RGFjWyNonrj6fuT9565M146sruizPyIjPWBAAvF9a73rHVwTBgkehzSP
7HEzfkrRoNGnXrwhoWp8ocDHE9wcX3ygftz8hycIAttfP67qrrkAqBzkHRHo1UXa+OdoGX4KTCRh
zVMK20Y45Ljfr94HDAVUjzaCT6gE3QYuArmpwF+Ipb70UQhJCwdalOGQ+d5uFOgjDDuvzbUD0pqp
LuJZZlMzGDXEf0HUn6Demvl77ZK+qvNslr7W6Dau5EduYMXi/Tq3NpeHo/MGCAfA5pEKpe3SOM0l
TMhXb+e0Xg7N3gtGVxPvFcYC9Q1hfzOsQGVYKCPhnfWsXiQrbz+YSONefepLfJ4h3o36NwGqy90N
uaFftNNktWMNneFgHY2NrbbFOXvf7kswag9I/z6Hjcj/abGkGRbqA4FezWDg1u7zPegcA5AezRhB
shj1Qe2vJwodp7VgB+/eSZYLMIFL6hk3MWr9ouCdTNbRoMOJNqxQI/DLpnET3yWyN7b2NJDdnuVp
4O2nMJVtKPu5jY3uDhSRkRM7Nmbf3Y7cXepalZI9QapgVxBpVgnBSuiHA3HwL0KBIMM8oaNOJswy
TbL1WEwBJF6FMwqCaHJ/M2/LJB7qE1rX6lRCtkeFFkK/GMu4liUzNrlgdLVe2y2sJcqW6BNvckM7
MT5dg8PO4uUWXwcEuMO47K0ciHwSdB1tDaWN4oICAftyR1ojHFX5KIgv0XLQP5NEjSu5tBm0FTgk
4euETfylgI7JlBsSDS17+BS52IfOv1zWmPSAGGZsNdXo/lF0N1j353bPOcq3LUPXh2JzgjBJhy4e
TcuXpR9J7ExbF/VZc8SVYpNhSHroWFu2e+mI4oVpro86aKJjdrS5iTgG0/5PdAWFi6rOmeqarwzv
mQyTvNcx9l2Z0W2K8IAih/0+h2XPyFGcoah4Rr8AO21PTQKJjeoqildZ/GnkixgxnZZR6Jz7jb/E
gikY7wcBBsF3JejINhsu1fI5tPYdIyLqpYH71wauf0Po1LyoBewyyWm9K+ypNtj2JbCpPO0QPX1R
6hgLDqILeqepsoI6ucMzZSQf8NTIbpP+uTEO5Oc1ij67+UzHUO6a2DxKtlI4MNACvBxo7njjd9rL
DYERfCYivpxwGe3uUHmY2p7iA5aR/CBOZYz3NrBwh+1WfkshiQGC3S/cRgxYvGEfbquFLO6HXxzY
m+N48+h23OshO5lbxK785qVTsdnmmR3R4PN3VGAuMpX7cJ1ToWFlT1lGOdbt9CVEP2soEZnXYpoM
iVScMXXPKT9HyhTrdmQMOdmwqC70ebVQJad4o2usnkh5au6zvpk8ctdiIMbHCPpSPA7Iqn48wQiQ
nTiK9lgX8omJKztsx6m+rruRCgqEBOqxsyDkUlAGqYuIXVlC3ejXsJrGnh265pICkvcfeiKFaemg
rUBMoUGmsz5gJvn1rPuAi4KDJQUy77PiQlidJ8We0V793O3x3jUYTQ8TafGdapiTtV55yEEChU5H
wVnnncsHAqTfPJW5zZQamiHsMbhmUC2tD5Hll8MMqM06Y813zO4YWrasnff7eRgVY3YIzwzIzHuF
yMUI7RwMU4ux99HuYE4zXWP5Ftf9vttiZj7Qoa2lsAT2EbaaDfQUgdE5KK/GZJkQmb5IIjuWJgVr
xSRrV7VyUkNH6Xk39afKJX5OVmHYkq+w78pZFp8wHSvH0WlXvi2iFQNxqvBsYIwpyGnitzt+nDMC
tvflnCmgBNIZEnA4wmCIUKkYgodojDFWQ7sHpAeIl10H9GGqEWmJulXY8TIG93PcrfkGzUlVnXjJ
gwX53wOjkCBPpFgHdFSKse7mkDUmCVBtqmzvbLyDxgYuXiDySUaHt4+2OAu8p3sAJ1vZJq445aIc
Y2BoYx46Sadz71NAFOIxUU+WXI2lCxnHgFzoi5FLh88/9l+fNB6m8pp/Tu/nekdKLGK0twQjxw8W
H7DFxoZAzZYEp6SYWAsij2nTdurphgc4y1e9w4GpcB4HPNnOwrQeX6DAuWxc/RiDo3wi78Q7+Y27
B6puhrN+dvXaF4iOeXrWDsN+XVVQkSonWkobIFVHXYHaEQKyebzXSIWr58w2IQ1M8ujCzoxIGVNH
aQbVENu7PHPZ3nX44BfoRuILGaCDktnj9SM7sLri/srvzzyg//llHonBey6O6mn+Zs0Q3D/VC4x1
kPxgCGEjVRlrz1NRmmidqzXTevrpVWsGwjfaENd3rMFriE5JBf0Y8WssKfiHolhqJlNu6MtFDiVf
JH53Sb5pPXQpNhU6KFWkj0lzYMeky7m7LXlssEzolfDAy+JJgGTZn8WwF7EDdMxsnp3kt+JDfrp3
YwCwAHs+O4V7A78IhISXf3nL57cNBqCH3mJpIpIU2D0fJS86hQHJRiPSHAGRPviOr/G/rzcz0X+S
aIoYOSLTMGVcJ3/bACiizFT4p3HQf3f/Hw2A+AdGL7qMwlmmt1AV6usfDQA3MS0WUaEgiflV5Kz/
IVLfD2U+cmYNFcqfo2ZugpKnmLia6TgSYj7zDxqAv/D8vh26acGz/HkalD846EJrKrfdWWin5EFJ
ZbF92XxlmAAHj29YZdXBLAD9FRnGGTEya4a0cG/5ieZWWMThLOvW/OJBxi+ljrpA0g8rY/if+cRS
XpknYDT0/eoKl5XEZkIRk0J44A8gL8pITl6CJYvD1but67nhn3huDkYqGHg8DpG0JI60n3KvwnsJ
+i0cCSdBpWhtk8uD9GrKo5WxzIs9tTxHAXUyVEEr+Up9f7/wkdcGXwOOn2EIq61Q4p6fT/C05Gil
AwRhqGac9IKzYCtRVywPYYhq9amw4R7qJ26DaAgjmaOgHbgSZ5TuStZy0RW7SWO4OG1+/RVWiS2Y
LN4HrMisKtaUgxgAgJ5ViifTivljI3RbUldJ0HDKudiveIm8D/6Wow7GHBpvBARnliNOpZzzMsCu
RFkiuhK+vXy5X/5T/sdBPjY6KzptFPQlFAkbeCW9SwDGhqV2A/WZg4YsyYgDlfaoHesnXggwiTSa
Q9zkcAZsE7+GlbriMIMxasmBOEm1iv0oCPWi2dY7ViUfZTWCIWOMBKm6HyEesqS3L+oE80n++Eu5
zC/5A5KqZwi8IW061JJsDcUzNStB0ahneMT+JWkW0BDl/V3YYXpKMQsZEUrY5EEa71w9RRfmZPzt
YBSEkcpru7cWw06CvIfH7Q7ItfkRmchQ/aJl4kHY51qISQseCytpeeCmfplc05hAzNxkOEUsOgKG
GH3RJCQ2Yu4NkwNCt5E9vaF3hvv4mJHtsWFXe8w00QaZU0dPS1QHMNaxKK5t5i3Hj4aCzCeIIqzs
6M17l7d9NDKX9XOuTwHKBykHipSefEkeABxIf+0OvjjHGsYreqe22P5a1EFQVwvVqU8F34LN93Mi
vMMR0qsNNhVckfKKT8YCqqvj9ZM7JFUAQBjlk0G7IaAMYC7moGeKqJAZ8cFS/LLZ0ZdDiDDBy41+
hEgwUPDAgWPqdsBcb/ElTTZOKuMecKqriZV/N6Eupcj28f9mapcPFjHcgWoMTYtFcQrYC1yJ7ITy
v98MyCtQOpUcXRBckx146QYAlxtvF/5OW6akdq1BYZlMDKDludtJHd46+OTS2nE/POQcnuBubUFg
Hy7AIK7i1Q79dAf0TJXIw3IBQWPbcWZ8BeOUXhAyS+pw/Hx7BpLudsIHD4+Oi+P1yUHK7SceldyH
/LYBF75dJCDOZAGQzE/c20dJw4FXI1HYfZ1C1c+GV4L6kwaTfoMPwokWbjjLfMrdwMJR8PCtPrvz
6sSsMz70PX5pnKQXjoQp8Dt0NLq8Gej4BMUSy5yAjm74H0n5WaGuDZeqzTld0+bAzTwZoVWPdQ9/
G4n+LlAdToLjNk68EcbppuwHvNmkHWQFg1i3g1dIj8VdYV/2g1qcg+UNA9vl+4gWOAY27ygjT5wm
v6VO9xxeei4UjLNd3jZxxknwWBVsVdqmSh+Ox3olDtZYD27eyI+z2VyX93DsKOpx8lZXGH8zgkMw
zi+I/PmERsh0QqyfLMZYSPrZCMQlRuCsedDPtemQqjX8zi4xYuLFv2bzuzhPdNtchJdsjuB5NcxR
UFh3rj7Vp9kc/l7jIm9GYT7hobVTfMWiCRNzHLvQYg2HxSMOWna+tBsOJb7gXZ6iu2XItDsNfxJf
AJoR63bsWohXBrSZ45Xw7X6sjI8TpEKsYhVA/QqafL9NMWEamIOUxo3L4aDyQiM+uMTg3wzVES9f
c3rqXtBg+mMOjYkMwphq4D/O+XMemse3JhyK8VHMB+tz6lwOHesDziaXILnyPClHAfuSVbtGiTZ4
EQ6HSvrHKrURjHEHblBOX6XH//qFqV9+7fDXNOuL0A+qbz/+B376/Pvfw33+62/+49cfucu/HnJI
tvrlh8m9Cqt+V38U/f6jrJPqRzkx/OX/643/qoaOffbxf/5HlpbVK/5p7x9/qZJkjGQMIguHvArj
91YyivQtcGsoVb7f/88qS6FIAoXV0CoM5i8/V1kQarCu0SDnwb4ZbvoBs2rkK+oGxJs/vQJ/WMlw
kzJUYCoQqwhL8B+RbhR9UEv8JOr4fujmNy8Zrbil0LGMwhWaRcg+az0F12hLpPxRZ7iru/nNjtBJ
5vj4Ec3p9MU1pqAxXy1hFTMQzZ46BHIQb7xNxRryqesOKCMMrkH5QIaDvyzhk7STWh2rjuFNUG3Z
9X2MqlSjWEGP7njaLC2YYC0at8sIq3foeXxlZmLhZWHI57X9ydQImOCQsMtalTUGXcTclKOs8iD0
4SBnsqkxx2GVsiGv+A7dh0VK33yaCXyWIrvy53bS7sywvgr1Ja6lyQ1MhoE08/J2HjZ4Ppibmm7E
Ys0Vt1m5BT3IUlgdsbKsBdZDg+k4Q0w6adAxVGFBcxAHsTDUffr0Mzt8yaTLNdYjF0RpoKXkyZ4V
t9sPUkvgyQ0/JDLyN/EIxoLJmXpsny0kggogAv4xY/Zs2n6neDKZU/LJZIoUbRm4Eyw/0thPPbuN
7ARrFtCUY7yCRBRGdvAGvonrm3tlPdqqtqtOjLkpX8Ex4NfrCOBwXmA2SIpGC6xRMjIVx8w32VYt
B3RQ+GBR16e3bj0MaKlNEDDWO5Z5JnqMtl+1CWJYVnbjzsiMDW7YAJ77TXpBEIiRAOABG8+YXEQ2
k+sDRd76ywVlIEADmIAOsBBawYwBM6I9flMCQFxuVxZBkJNceodZHV9YCWFhAq2IZCBZcwAUaNn3
CSxuPGZH6+en0uZFH2NuNsIi4xVLimYHvEJKOa0ie5BtTsjepArFeIHSv3CCWT1ZgbK/dgPeixkP
RI/4ju/pQmyWACswAz6ti4zDOH3th7YNmE99mJMHSBQSu2o1MJfua6yVX6XsBZyJar1Cm1xKWEAg
NsRsJ64ih9oFn712yEkxniHnfiLUbCZZN4c/omUX3BapBzEJ6oqN0OhXWvxHugIJSIR5jtOlMmgL
v8pvsKOwwowYZJNXDF1igMNedSP1qjl6N+ZkUBvw3X3N70cpW/uRU3wwjhTY1D+M9rnLSYMi1YUS
ldkmWlbj0i7lJWSyf+PVXNIHs1Qoi4OnAYOz3/fMqOO+7QZ/vf+P1Vz6A4dwFZ9yrGOhfv+8mst/
iITeqnCNadhZ8n9azfU/NBUqt0m2kvKVgP1zz6yyP1iDnlAm2egfzsy+r+UcODuJKUMEN3W8HX7t
mPXEiPW6i2XyW4VTY1lzQZKnfXDIO2ns3aNjH4qb+JGPun8x93/Z6n8W5UnAEL/uIsMzwwFlYEc0
k2J+lwYKhfbo4pBct/SoNvu0oRrO7+Mbg6I8I91PfckrPq23tybAvEBvob7EdqZC0jSDyU9v338j
EPye9A1F/ddj+fYqPDTJj1OPYxEk+u5XD0CrBO02mwhXFQZfCrkPw7RZIb9NwSudCZ4B2RBPyL85
kOGJftlahwP5yq8iE0SEWfvr25GWdR6UoSq5skWoIm7MBiVudFuF4SlmMzXCjamVTo6RRERM3t88
ufz7J/8Sc15f9+HdR1Qp/U9LV2Nd6njyBBpqXihunOJQoMA3CRZlsWyrweYLOwNK9q58L2k0f38A
Q93w/eTBq0gFNfAr4ex/PflSVKPav4mS23R3DDOe9dtBaj6bRz/qw9dITSd60Y7/+VNy2St8lHTM
lL8DRmWai77l1ZIbPDr8XKcJ59jVeACJLw1DPBxHEvq53z8na8lfTvPn5/xuodIUUV2nPR5BmjC+
YXon6OJMNla3ai92598/lzS8Zt9f05+f7NsFJev9PW30VnIjqRtp/blGXSjdi6lhMm7Tnvs8ceTB
iyHd/38+8TfJbZBLfeSXnKWiXyM1tqsWZw6xAfjBUZAUURkJWPuomI7/3WUk/d0LPNz+03Vs9tVD
aMqH5N7NU6viAh0ffN0uzJXf08/ATKlqWk/hbNw+AiC2IgonTYv40zcYW1qd+/tXYuAc/O4dGG7/
6WjULpRTSeQdYASg+pu7cM3hTKr5NIOee4uyv7m65L9U5ywhP7/j36rzPDC0exp0ktsWySilGZSe
6nZzI+IbymsqwHuEnFxabzVOJCkTuQSD4D5aSeaoqG52FU2V7FwZM8OEiFOu+kxCD4u0M6YAbQmO
UOe/f3kAef+7F+jPvff7RqApjzAK1UxiI4AxJrw3GMNIzJQ12Z+qzSthx7NHi699chRACEKIpUlj
jqQbIuU7V3NJclXxIEzVMzgJZiw41gqPcxxiRlAIq1vNEFhIz0ZnrFS9vvhZEkMt9oR1EHuHzlRW
QYmtefIm5M01zPt0pvj5Wesnqqk0M72rHGtwUkvh5Gu2JeGU82j8UWnqi3sv5a5BmKw0DAa7ezsp
G/WU+qY8UQt4VnGGBEiNUOBikQjTJNBDBkQrM29kO1Q/1Mi8mA0y+N4zCjixZjsxVGKKG11jrhpD
T45CaGXS3vRz8OU4d/wCmETErVxUmMrkyl7rMAOukUQh8VaJlTFVRAKYJCHEa2rU1xb24HhQ97nA
3+Hy2F21/FX0r4VyKqSejO9nT21R4a5EndAw4UULp3dKwzTad8KHFqduUTM5zoH2BkYuKXoWkBvk
V7PHoTi1Zn7rXxoLe3TV/OxQFDAQBtW8HUTpw0qKSVFVpNh0456BfZ+pdkJEhRG/Fi0DdxxdpDo+
V11wrPVdkLk59JXcAFM1YU7cHtM7ycdROPVa+MXkYYRt6jaBuCgC2RHVChfw7D2s6CliaV7kaBd0
oooha7c4XOhQev1gAXKd+Vhppv42Uh5bs0Ukrb/7DMDC/OSz4Nu9gtUTacmmBAVCIeYw0VcxKQlJ
0C/DBoJ+oMNSS/xxOwjP+sc0K0GO5B6B+uM2NqHIm8AoJh8g0dpqRMhWyTJp8VvSAD6jx6ZO4df1
Vz3Zy94mbegygG8zWL83rlu1wVM58saJ8OlJ2z58ySTk0BlhjeTWF8xvk0XOOYb0HkIEHxSFs3lI
KpE4duAtBSVLOXQY+bzriZwr12kKhZzWpUYrL90IMOZqQz0VVfn0hm3nwwep07upJ/KGBO1YwmO1
LFcQFG8lJNqasSXxyCF4malA+1DuYJwVXqJN+JLr/bEQaCc5as3fJwEEj7rlksfg1Zvq6llRCX2M
Xqz7IW4+Ewzo7vVTB+c+VkmUv0G6uRvjJBMcDDgLNN/ZMK4WVuG9BSu+T3KSYn32oUfLrPA2aIXP
ZfQEFTLAgzQH4FPOBs1Jc9+nrNYBcmQ+sAY+pnVEFolGjgWRu/pIxAm9IaZYCs4yH8gUZXwYLepq
ZnBJ32I+Fo2IrR87DlICRdo3Xmf7d3SswaJCylEyDYroCBkeRv7My7RFotKFEwVtwFm5gUdmXCTN
qg9PAdfx7U5K8KTxUeYMUYRvFXawPXhCHQBRH4Pu/GB5FaNNFqHKTwIYWaCVMElul0x/Z0hvtx2t
nO7UST4RvWlQuVFMoWnu+sdBV2aomhxBP9eECITHh+/EzGnjyBy3XJQdzLOKCYxaXkr/Cf/BoDtm
+vkRXNP8I29gS7X7TPjMYOvkyatUnyKzgNF/sPwXlu9RcTvcRD4kt6OFp07sn9VwQQL6SLu5Firu
SmCIohS2n12y8GY3+jxSn8sMETPcG+P9zpqnK+4dN9v7PhIX1ONhcA0trCaqdcyR5Vk07mMcl7Ri
oj5QU+Mumaj07VtJ8nEf/7xBYm0F7HU3rVTabbp5tI+LeEMN45GKMNSW2rv3eE756N2DHFtMjr+f
Z3137RrsZqQe0BN/2EhcWYCeMhaIFgusp0y94LWFO99gg4Y0Rg0g5T62OhlaZWSX8sWwPhXv9OBC
twq8dONPQULNIek4b8/KO6+YyzgorBNHrXHdMIiArlucLgPnrsJWbT/6YN3HL4o2v9f7DjvvO9cY
FzMjtFY/p1U+j71rBwc1BZVBFDfqe/YAJuVG7Y978Tmxjje14/rCCSrH+UF5slSydhRUKIGdQbDP
HkzVfXHk3bCeLJ+TZE1/OJYkYdpJOxNpSI+PUto6cboou2srHOFnYnwPXu0DoRuPUdcK4wI1fmNU
UwuhRxeJY5xWA3ByCXqGJ2+F5FNRp2n/gCKCWX7IR32lIQkrkEy4UbMRo2PmT7EKuZcQ+zmHRzYV
omzs1Rs+vZU8y/Nt2GLxFCwNYa1WJAHg7+ANIBi7MQT+o6i1bt1rI1M8eCUe/vU4anCqjOEIEJck
CQGuB1OtPN/TpwpFa4gDqhHodh3tmyByBNMukcpkCFAA3fPwiRBgu6/fY1hboeURt4TDNF6nQnyb
l9l7AJ4vPIhjwF5NigjCJAtI8xBuBVcV/Q9Ii9m+9RkSp3SVkLJT4HeG3CXtkRDp1cUzuAuOfSbC
jSoByhGOWs8FxzWUaPAtvMZRzaOQnVP/pSML2pPwjYBxlTTXKq3sPrhDXlhWD5RYiEzM21FMtxbk
yezQ3pVZIGXj+lGigMHEQ5uqEGqoFTDSn0mZaH/VUP+uuDk+PAO8LVpDkhkNyW/EqtCJ/8pO+H7/
H0iL+Ieoa5qGww9QyvDAf3ITRFI2MTySrV+FqvofqiWpGCEZig5uLtMp/MDMuYlkHQVhNEfKQ5r/
hJkAzfl7kcuY4KfTtr43fQL4smFltYslcjXLcqrGpbQsth22Ws/hougqxkQ+eRzdVglcFZGT+ILp
OnBjPSney33yPKRpBvXkTXzlt/yr16niGrdx9S4tN/wM6c3hyy09FNsGm0YLmaltuhBh7eHOTsyP
hTXlHlh/ETdJ1YMFZMC6oX9yFDH5g0+3+1Pjb+/GB9YR4SLGNwi0+E54YRVi1UNQG35nJYAjikwR
RvRArmBsD3S5FFdMupmNw6eFSTtwR5neJbgSdUO4Zd866M1u7bQRyW6LErc7djxOsGiaed8MiTaE
JpIv4vI8Ij+HIdw/851z5x+ik2EEqlTvOqkNvsNwF/JdbhGvOSkwAlzKZPje8zcmtumzbJwHamRY
T8RgENYgocIDhIUFc+fGWwItl62bo+MomA+T/YhH5SpY4zBIbJwjT42Pxx7tDvxCVCLb4hzOOMBN
ioFmSDJHgYkyr41ilxuROGzWxxfmpswnywEVwQeGiNCVMRfccECIkMsA5+6l/aO3GcE7TULIUVqT
lycwPj3eoJfjFBRM5KWWuq8+y4lQOo8MgsC60R0xf47zTT3D9YqXNMB/pNn76L3Sd+ETh0BCOKbx
c/5OAUKqmPKKJTE9BKM+2S4ZTo/w+GPgh5sWoSAg5Ez54guebNiQaAg7UGth/6sNWi1zylAQ05UU
BB4hF1M9wshlFzfFpeqG65jQpHBdx089hS+UDZ0w4n6iH2+fygHHyWICx1HARqGbDBYiTE31uR/L
k0ZBBAwVDp8SZoqMdNt5RVHmtdU4syae9dIH4khQLxDPqr3/GX6S98TBGEEO9D6/N9POO3AeCQLX
m/7RHrw6HluEMzHu4J0ShsCkSBj3nZ1t5XjDmXrBJZMSl1D1/MWsrZnB9WUU2+h+Iho8bl8SXJJk
1KJtOX0Is+b533oBFrH8UGRdBPmle/79AizK36Fu6GXf7v/nAqwg7R/MRAxAvF+gbvEPBScSOGDS
f5mU/BhcwgEDfRZNc7AKYLXl+f5chIHF8S6xTE1jsPnP9CEEa/x1Ef750M1vi/CtbXCukOXKVTSs
jDrnTCzK6FyOXt7MMSQsCtyvFDJYVeAMg1ObNH6ePCUQapC8wWGOcS2HlEuTjm07mjF03dS38zLI
no1irsPuskz6e3Ix3+D+wyRjhOMxXoJYhlcO3iHdmsAAHH0pGye3IVWYJRSFrlwMqvgbluBTH3/h
VwhHxZfDckZwMkIAOEJvhBP1axIg6PCIOKvSlXfGL5lv4R1BckLiwAJsTCEvma9MGLGNq3fNBo1+
xgdxzPgTVQNMe7qmHSZ3ug1zifAJpk3loKBnAH5jkjt4oaUrPzuAG92nqFjJc9iyivYb6BkYvmKl
xRxPeWnmrnASTvlF3ixpW1xKyXhZX2k5o09xA5uWYpXfLrc+lmsK9Bhl5S/Fg/AxCBPJd3giT+uI
Bv8GsxghG9lOyKHL0RAuyQiA/YkVv38PnoTz7ZIsMJzlBaGMxNmpH1NzG/CnoKWxBmJ+DmAFk8sb
gifYcoQPDpdFGQKJCSVn0GXCLaIVHEtrVz1GT/I73mFEmrDdsCxjFvEYJeoqeJP2GJ4+9o892U9r
VzxQ6FVQmaMpT9YlNhKA/MpQG7gnvcqHDvINYkdhxLGyWbTKKHoK3kRS1If5bAl3u1sWFfkYdvIm
b+uBYiXtQ2MyovOCjr7OFuBp0Jrudtu6YcsewyuNr13ietOY/YP4BUQM7KOcB88C74Vdj72YaLgJ
ZHS0DMR4OIow5tcDKJSudGs0MtzJ5HkymQyd+xzBJS08IdEkFfDyUUkYw2z3TkoTPRsM4Nf0CmPf
YXCLsAFOrRMe1alqs9lBywI1hGdjVO+3S2ugB/XFxYNW1nN4TB5xex9lvHyV8/AuUHmGFoOlWhhM
6hXMVSfaQMEaNJP3Ysm7Ztdzb5E7xoe3mLPJmFMcEOft4Ra68VVTHNzTzAVWWuwAg83quDRXwxi4
Z8KyJI97CF9oC7BZfoTkonZb7sMWxsYlGri/di/q+rFiKGyacFgGf1bcaez4Wk18nTAry9waHz2C
lNv6vqZlfPDRTS7tjvzAHCsKXFWZBA/+qgxXyzl8QmwZYRgSk4s46nGA5tltHgdsegdWI4Nd6V3D
0+vL11XkEl08zNXNwmd5ydJw9j4UeYwhIxNgZWBM8lH/YjGyUngfjwNPAYbB/9kVQr0rvrRDEkRC
QglT76UNSxJECkfmrff6xQWFqwq3ATYjhzrkWkGqw/NVITMUI/XsyqNypNzMM0W4TRhLc3prIC+h
NOY80qs1tYjOWcAqFZUVLNIHwm1jZAz+X9HSgCuJhwLxYKwcxdxT6//Eov89+xKJUapJ54CMkWms
/jfb4het+hfW9F/v/2NblP8wFdXUVHoSy4DpDCv5R2fCTfQrhHwa+OH86ulv/GGJFvNfHeWkrEMD
+nNbNHhA+NIMraD1SHQw/6Q3wb7/+7Y4HLqli5ZmsQXL8jfWdB/7aurVAAFqST7z7oY0v5kkh2jj
2cU0t+NxCYzHhfgRHLzKxvsx/rjJTopB+BTbClFamM/5Cg9MwE3vE3g63xsPUn4YngWXHhTHQbpl
WxcTQxweZSee8vHxTVsmmFE209CV1qzLG+Opm2ZTi/UdkaN7m0uINYnPMOzbuVmGaDeTpTG9ncC/
evKjOnBTIq6DaQE/gvRJfywtyJjPMltaCE8ioyW4FgKJGaj3XjQwj5OFqMz13lkH5Y23ATg/itP2
rXyCWyEulPVtxTy12Mh4Ok9iIirH5q6e3I8pW1M2yvKpqSxalgdXmmKQsR3oqEF0CGznpZ+w5YfT
APNzignAqA1SP2mQO8GA2mnTEvUYIj3A6fmNQBf4NPuCT62TIxgKR2B0jA0sanbSOm/r6GIsyJFa
FbWjPWwdowftZM7YDKW9SvjOonWlI9hu+dkl49sUm4/3bJMczZW+wrXn0sxCpB0274S2iHc+LD11
XZLr/BaOmqW1AZfNtsZbmxKZMsq0KWguDlpE5nl2GdvxRJEn900b4c04SqVLrj/5pF2G84ghNKQl
pigQeq86NjgW72j2phZrwV8X2xRNttq9lq1BG2fX+gWZX0mUSO8Y1bwCvUf4xKx8Fq/VuYldPCfc
TuI92SoXmCqjl3JEZzs6+iMMcvCDB8KZ+EutfG3Ys+O5vxAOIpsvC6F/BiDHT0b9rGb+As+4l/BD
n+0zurYc39nWRb3FHqfhVE1Ak+IyrZrj1wmjkfTmnemQJOlauJW21AsCKUHdykfT8sxWNJ4fxNHU
32jHAurUsR7fL2fWaJjpWLRfYPXrdT7plK1yaC6PetwzIRgpTs4LyKWJN5ldryIHH5UF22qq3aaP
fTPtTxlXwXID1tW5WTMrtLEI27ufNuFSMFz2GOEYnLQtz1hcUR0b13a43vaaAzV9Vx00ALy34FAt
ctwpGpqhHSkBUI91rBvkaQoRSZoSULFNpKWfVXP0WPxTd7RpfWvfuUY6W6a0RTb6pIkjuu4npHfZ
lOu/BwENxrVsR+uHy4NShFQeUU/pC8VJiDXwbRpO47METS13wk8PU8s75cqkFCZVsWOkJn4S3AZw
1mWrDmq1E74Oit9m1u5bfE+6UYguDy65/UBLHC5NPD0X3uw2V+xqBr/CM58s0anKTa/MGm9fPUsb
b5XII+VqGjaIf4jFsIxHDpKMdiN2Ux2lJ6C9NPE/8GzgDQY7kS81vjokGgUgBoCcI+hOoTxqr3hr
EIb6piyqQ0dxxzwMNjCBbsbIVxnxrAOwf6hzVeBI4ljfBheca0g2W0kHHGFSR7nvq2irW/YjGwnh
BEWbfyZWx2Rc3OEUO/iydIfmQM4E7/3jydxWU1BSn0o3ABzBdeHaeqQRSJNwSfuPo46B7Em05cFw
WKCPDmakaWvyGpVCJNn3ci6LrqXPwttMLLcdeuLIVlM76UbeE7zgbHR7OA95F2+FeXy572QUk+P2
CV4esmnEZnPeBlThlTA39H3OksnM9I56dmwYc9bJkFjQBlawy4hQFxdBOm/QMt65lUD1cRvbpgor
cWHiL6zZt49qIT737w9W5cf4vi7f8WWqDwRzPjPQSi1m6WNtRyEJwZ3SkwK3GjM8MT8Ak7P3nCAR
/T5xyBrBw0oJJ/LDTYgOypZ1si6HQLVFtCXHb4SQ3jWWwUlgMkgiGVVn5mTwxild2o32oZq8jUwS
RvUb4DxTqsfGQwPSj6RreMY1bO1vxKfUHB3C1tHTadC7wONZ6pSqa5LUp+NEPdZVx19rUPYlu1PH
7T7F5y32x1yROBnSCUB9Jn9C3/gBuJSjH8QNaJK2580KNTtXGQ3RBo2ZXCEDfPV2Crm1oyyaIDtR
vnKhcXJjDWCkwmzR4KURJzGX0qdObt59Gc04nmvgGrN6OpjyXONnzVik5a4guG0Jy5EYqpG19dbl
Il1QWcZncT4kG3S24b+l1iVS8NXONinRnbJjwS1EQl0M1Fd8kAZDFvCZcYzhFOGfeE4FNjNEqXKK
vUHcnG1M6pOprz3U1LgmkqZNliwDWwyYUOQiSGBTu9azCOI6IRki2aNIT2hfjg/aD+AYf9hHZ43O
shtMFbokZnsQ021sY+woO6DmvU/xWRaI5BkryVTrT2U1K2M00EerPOfbVDy0Ksm4YwVraXwK/GNq
7vVy9X+5O7PlxNFsCz8RHZolbtEIYjZgmxuFDbZAEqBZSE9/vt91KjKrTkef6NuKysrBgAY07b32
Gvp0q0sY1US+jjtn1m0HfcfPLt3n1fyqxmBV8MtaHorq8HEhtA5OJsx07MFhmqKQzdADdZd5S+jI
1037FC0BuSAjJYEzf1TyaV/LTq5gFD5IghP/rJ92WcwvCSfNMHs2x2zsdokeNMO5TiOntSpHueOM
nRtzk7xeEGA771sG9FNT8a7FrKYYNqqXB6IIKWI1YcMg0dD9Xl9Jmncb0X86B0ijcnhDc/qpTykh
dqV3/oO4848tnU0odBK0LeIERKX6nyB9Q0Dzfy+d//b5X6WzDgQvnD4kAxeRv5bOeOjicQJNXmgK
Zdb6J6Jk/QuIytKE4a4Bp3Gs/CqdrX9JVNtQ7Fiq8Dn5r2JVf0r3v5F7BHT1566DqFFan35R5uJy
POh0qBG1R0CukgbfCNsIJFxaiKEs1SQe832HFsdP02+wnQRjWxzuMwAhc5WpLgM2rP3Uz9sTufsK
WpTKKWrOmPTlhk97L4zruFARJoLTA5JnU2gWMnk52nuzHOb9/SXS3mOCIsnPejqfnxpp6u3uiD/A
biDWI5ng+Ti9uRSblI3ttFpeA4D4QJ3zrIBmw1bjhgHBeYxT3GUpAkeH6XXsJHe7Wz5MckvHnvUB
ZkSgjCvY6+xCSTJ2lJ2rfqFSKTao5NJyi24tBwsQOzaUM4Ry0gJMiaeC9ZWGOiJAKk6vmBUz6mnn
5mZoyZZvPLuIvXq+3Q7Vd/XNc/YivG5Rr4FFoVxjU1KhljNqjzst4wKL0jjGvoOvVQSPw3qnnBuf
Y4UNW7Uv2lexGX92e/X1WfotOkkI2sHoCmJG7h7VHKrgzc3GD4WoQC5wZrEh1kGrB/4ailctcMWV
zVnxtPXPOFuWjPMfduGDvexhG+HeWGNitoBe4dPX9NT2mQ/FReVO4vXV/om0LJ0ofDhsFg/kynZ6
zF4wmd88tImuYneMmNSJqAJQVrtqaecBHh44mwEjuJeLp+CZTrXgPuaq33vpCNeKvQqlpSO28lUK
rEBTTgnIjSllTnOZzAA7wEDu+3L7kKlJsIipebIAbj1NZ7zoxliQFgF7aHdTZdIzo4DPCZXH2lxR
bBELCT5hTp+cFaogGDBUMTUiEUT1y/+pBE0/TR29OaZDWHMWqfq7eQBwsVAyQS0HckIcZO6r9+F7
oOTg83iMcDJE363s9gXm7joFDvfhERaK40OzVphN8AD8MA975hQ8tap1u7yEum15l9ntnenGsn8p
3hEW4IUgUuy1QP66b+A1ueSwf5a+TF4QgkS83p72sC9WOBvMjBDuvm2EQoiVuXjPMQdHtEUWOqHk
HYLBamUQeXO309eh3RXvqtvBc8DCgs0SrhYGEquHg0My2g3ED5QBJFkpyOTkpbyse+ce3gPAF8Cx
LWK2oFlhZ9BukEJlwUy3lXm53efbD2Qqo5vzPChe/aFBuZjeoRQgcmCChi+hsrGg5Su7vnSyfCnR
/TiXLW+TyfBs7WpaLi2KuHNxplFdM51J8NmHrAPZS5DS7NLYmfglX0LFgcPXBFFo4JstTPKHoxVg
P4sSZFK0IZbwUUhmJ1Iv4X1PmNVThEidxl98KRhjE3wEs0eLUHXdXbzxGYmJEPO7eyH7AA8NJRjL
AX9hrZLhXhk7XdaoUIEGmRtlqFtUZ6CvOeInCC5+6MoV83RZfcPLjeiCIxM5iFNgelaA//QPNHe+
5/74iw8xgyLLXhIO+O29fUcmbNzWwGiFQ+iJAMMwyA4qFgzvSXi8pslLfKUYD/BWAIRHqX3Ae8S/
Fh0JTshI0K3dycI4U0aaLq6yrd2+N5fVpX7PwFTvo2nUnm7J5jpwyWHR3c0eGCAY9I03rM4iHGCb
3T92+IP9vAm8pfOcllVh4cXA+z88qlH08+j87VH97z7/56OaeEoewxoR6GNV+NAzxvkT5eIlpGxi
MCQbJiN4Xvr1qEbExks6mBv6NY0H6J/DH+tf6BKwocegwOBR/98NfzAb+CvK9bdNhw/w10f16Fap
aRHdTR8PU71NMdD0jXJdnoi5yms/ApIlZyLC5aSB2OOOvPH8BwEQ0LOYrqAOdxsbYCkXrdsNe4r7
Ex6ZwmfmJUaF8bAoWpS1mRuRw3spFMDdPDqmFw87AYHTOuoZuJiVMAUSq4A3tGEChPGflLqGNceb
uvmqsAO7BNWiwk4QFXLYf3Ux+jpPD/WwXhk4U9Ot4Wkbv6JTYjLE/KZ89/i9Hm2Yu/fYv4q0cNW5
kfbrYoFUvvMQJjuQBzQ9qIg7FzOl8p038ZSODv2SpykLggGM9xUZnBAJ4gNjIwb5IoOIN3Xb7NRT
G7RrVOnv3ZaPRgfezNL5LN5Lw4Yf4QnN4zgN+cDPc/s+Y6msUnP5CTr28RDKO/y0Bq5ybChpXzdi
ASpR4T9mPZor1kCNkTnX5xZnrt5cGtpMqOdeqKwEqSBGRV++YwdVCyLmVKdoGaZs6mNpgdOVo+fC
PFG0rEZkIoUPbj+etoezx0GjRQKQF0Zn2Rvozml4qWbg6M/snaw7IAx8wrsNgwB2ml3JIW8tWTHf
BS5fNkM3ERd5sVHtEfaJG7L46shMoREkwuW6obUyXNyckhlwR7fV56JKEQFS2FTjziIGXCjxU/af
3WbhvMxP+MKiK2UVVlhW/lmiu0d8zJHptqzgeR6mvCc6kPy558cwnGAdSLM+Ep4A5Xv5jhUWAe7i
yPRLzc2boMIhdM50UN51W175mfYRE0Vv+iTdaQzVY8lmszXibFHXnBb4GByNwxNfArN5jQ6PCnsE
tlDekTEP85IzgXGhENwHxjyF4QSuRqDlc0tEubA/epwYHRWqMPEUQz3BhBC5rDjm2H0pkLhuzeAI
3gS0TnChNSMr1ID8CwwK46QDn8NtIaatBNqE/LtIv7IBfpiNf6YkXJVGZOUsn+fKHoxpRbR72ge4
bEwx+taDMvugbhXY4fOlX5aE9vFsfURHHAL6xb3copqULJHDQheZTDCpvZ0IouYZxboWNQE+8oIH
pt9ucAqQfkK7u7nqEt9DALkYTplfMvZRQgjOZ8cHKhy2Wni3os6Ed8KADrM3SZi6YTqA63Aqvh72
DQBKGGDxC3taAtuz8OebUnYYcuGaPjPmwglV+GOJEm5P0kKQkMfKxwPya1BVjhwen2TXzNhw1o7w
kdhHzEiJpulfhuOd0PeM4qvBPPe5ZBRGy8sjHvIyd50oFC+PQ/TkhjTnIT8cWVikbG8RHJHbmsya
mlFX7DTSzTE/2g2PZcGyKLdQNGCHoEDn8G0EB4R9N6AmraR4z4PbusyxQN3vEZm7V2GmROxkVL99
mwlsH0f/LiTitzb5nqiNGyZBr9R4BD52DnGlKY7lw6S5LEcD7JdJBj11ARaThfWSSWOE1H8x3qnY
qzNsThy9mOB7rchuAcD/oFVyLqkTKR/4pcq6jQHRg1Kwc+PmFUeo4buFtrpR4PQ+hrUpz+758oY/
gBngDtCoy75doJTNcUrRlsaahKsucRM4ILcwjRbCfgHXbAfcB3bguykKD0dlBP7SwklksPsOznQ7
P4m2MSlYKRixwnPaXb0mZ/i6hXvZ0EoAcxqnyJpeqPk28S7zczubwYtp7dJyyHT08dfAdFrdGudK
XQK4EMjKfwVSWw9bLWQWKN46r8Q3i4xH/LDwYaNjuRwuixhn8o7/L8g2yLvglILa+cRT8upptIV1
F4yoiE7WN6j4Q5912J6TSwnTWJuNMKQ8RRijjzzzsXgyh6HugvQ4NjGJg10pBTWGd/g9DNDBfBw4
hnSTDEQxu+ORm7fb6NRDSmg3UH7v12D0sGtf8ZbXubqMoGwj0cZcPnp9fuvK7pYSgLQa8MnSoNkc
YsYzoYI516by+tfLjJKrHxYdT5wZpaD2Dtx8v7Fd87T3otoXjHOCmwKc+kXsp+7rvk/QqHf1e/i3
E50hPfxbYMPrlN7y8wn+3Ur+xUJhMI+HNRCevmkjt4nFBchNBggIu7wcB7HPPH+VecClnzrWmlWg
d86I8ODNzaD49Z9fFldpYF2w4ElcfRToup2BsBkwd534DZSnJP7cmHVI35DIOhdc+ek0UJ5vS8YU
8LCZF6mhyKF6bKHjx4+pUqweCRzTrQ6pOyVn2u6566+U44GpGHDRiwx8vygdnP1ZqXBIy0/5ibmP
GPHO+A3HGxyK5kiSO/WoCmpupPpWNQkxhAPtHV4IhYKkJu1q1kBhjOto42JpOs2nxCvOrG8KfMr3
pz+QIaxQ/TPXpcFpfeGOYSF+Tj11zzWNX8Td5d7wzy6CFYKYIHFLJmqp/68IVihK/14E/+3zv4pg
TSFQ01LBpf43cOlXEayrphjkjhWFoa9O/fmrCGb0CyxFjjxeEqQI/V4Eq5pQB0ONMkXB/l8ZZBlC
bPw7XvVTBP+26WLPfserTKkZd88Ycx/0A20RDE9ljWhp3TbDCjdG8Inr4gqG5ahUCpiU8HBHuoOf
6hkfga6DWj7Bd+4TfguX2Q+VxSIwhcoYwIiag5IBz9Q7ZiUu2XKDwEGoH7yk2UC4L5e3AAcEqjiy
Fon9phBCQwvaDCMVTIpbYzsv8GnkGjpn7/d361BRSoliRJ+3L8ZXveK+vqpf+oUZqhaUl8+yl08P
GXIMiPXjJGPknlY4/H0/4gKaC1a9Xb4GSJfhezWF3xmza39CRTIwnCu0eQYxPBpf3fulWhcVTFTX
shhrRF+ZLLm9UuO38mXKAMpD6+lNUMIC0xVvpNI3JzhDLlt43yfmDAnBzNFrZfF08hLrpA+vyiG5
6fajZgLu3iHO8q0Utjn6iPJl/9ExL5EnEje1O1Cgtseh4qGizBm4JlcKJvzaPn0uIn05qPuqw8Lm
qMtUotNkvOl8TURrDqFZ+PfVtTkW8tv4tV+0OxKR5tnFv9RTa5ZR1dR0EQu5mhppUNUEeqdHo3MM
FKcg99fJ8YoLJm7+sce4oY6mDOZN8AIcRh3t8FlPH1scAiYSsSaTBWKvzjm+vY2DMIQ4wkRKAH3x
+oYYe6iDy8BNyTaqM3TLcgq6gsVxlEGA95/ccxn+3vlWSVqH4IJ91lLlCesIIyCKYCoS0usy9ad4
zjCO4Cl+W0EbwnkIPhG1FJUToBhVFmWjMF0fmARAARaV4ZdYQowRL25D6xO1Jt6uz+H9Pu7gOGFx
RTmDvzC9A3o7RIWXV94P54yzjvq2wFVCpC9SJcj6hjou0ieAYhhCUtAyDeXTvH1YGnP+zVwZvbeY
vOa0dzeeC+p10xAD69zhlYl5r10BBp37d5wVcFWcVtML9CZwFkxirexdBgqqgAY9AeZ1c+MxuZAc
ebcxtwR7gQFVwuLbwL6xtoA0VGO1PTM/bsyBxCDNNhhZIZVzRwgTNIgY4tcY3ejNG9z64740Z+bs
tjPQEymT6GSiOWMkW5oWXSKeHIRzZq8qq6/SuZyvHxxRnX9dtuVgowHBH0NhhkT2RX/BZsLLm63y
DKF2jBb6sOL3VpqyDD6ZDC5/aYDxCHP/6GOfv+aXRY0jtn2t3Tvxhel8rGx4JapnloqdsF2NmfaD
TB31+jMVT3iu8MlADTVyi+yoz+J8Ndx9pfEpNp7MwLieOke6ONU8bmZStNKg0z241EXcBvXPU5ry
SZMZsRSUzfaa7uuRq3hsllIys3RHlssUOP9gUR0Y2rAkX7zTzwWE6HQ+UjZso8pwvZ9cVDf/MCSk
QXZZeSyQOk93R/jqSgG/sxL2iFdYOVvGDrII3sXPWQR/5y8sSP7mlfwjOo19vij5EXZsOJ9iN/LB
Zg8uzP1EmL34pyWtzTSQYh9ac324xBTeU97L2lJLrNN4ejdtGzWTuyho+bMtJ+J/eJVJNjGP2TcG
0lg6jziSpxqTfwiQOQbINswI3bQhKkbczEniOV7nvIY+jfEXtdbl29z3ZwWLuzViwds8nYJ2Rre5
gicLetUS2aVBedTNpK61x9qES6CL/PFtZh4Ah8lhq4UCawj7nXnod5BpesbUK6bXYoqb8RRYwUol
Zqv2AFOOia1s4jHuWADX1cv9tkSqQxDWiJqWSbESMaqMnfKSe928p0BZ1sAmTPlnpZfYHIvCEUaN
XyIcHf9BKXrjd1gY11YcMlwKhrCJRFTLTe483HD1mBvObZ2jDXpSRBrJQlo+1+09ee1j2b+qDEqr
b23MoL6vLv/wakfD4YJxl8Ev8z9P5xRL+XeQ318//6vaQSHDsnE20UWWJHzqX9UOsJ4xJkYS/tof
L/2qdnQNzxMMRyTGc8Lz8y+QnwmDXFVxEv2hgv/p37X+Q1L/h1tY/PX433//7jDCHPDfVDu/7frf
+d4Z69ekNDJ8AhHTDdxiBjow1kaPYPwIKgZFPFofmIpg+UTEzyR7YQxXxVMxhnsdaVMmRlqzqr6k
dM1YiEeNmB68KErIyEhF1SV+donnsrRlynRLHaZ2cgjhBIeBat+nTJ/kkD8gpSH5rb7kgCSwrlso
XXCLbSZSVYETEyS4wldf5VBW96yQd7IYMqzSjaC66cvsxaCAQOMmtjSFqNG5D0GIEZlh8TxbsRC4
6QwFw+us2kdfZEHheLochVxah5/e4kG/O1G5qkC6zB5sglkCJLD61LuSPC1fYRoUOaJqdohhofXV
RPOakNprz8XWiRTtawDQ9kl4sNSM/LobVu0ZvAbBLsa9jrS25u2aUIQXJXEs+pZzB7cYqcd6eE03
3f4OZjbs7mfqjgQdk/GRnOqVCvGDUTuC7JSQ5+tCWvfrdqatDKh5j5uXbGu+6ZvTmNmWwjAO45JJ
CYyKt3LFxA0Ay/rS52CEBgrDSZm9P5kbgD5qY0Fj18lp+2FRRy1DTkEpW9SYXQdfVx/UAdgA6Y7I
p/kqaJfwjL9D5JM+JIDbQ62IFG0dMKy7vEaNrXiXLADDY9lEmeOI6GrXNxWyT7KMEAZTLg4kgcLb
OQu3UYl+7UNhWspQDcgwDbGRZvnGh/UxTGGTbPslM9fogGBo/IEWur3szHAcViQVBLADN7dNs0+P
ImO8WHAubsxPPNbkFMsXhF+YOp3j51TEyE0aCQvVJRKBq7LrYmwsvxp/nL8BWQ6GK05yMgLv8xiO
WBto50vjlThp00b2Z011Tp1MMhcsSJPYqaqSNukM0Cjx4P9H1wlapgVn0NIYUQZC5zFir87ejXjV
5xRZqPKxK7fNckoBHyHWUeAsDl7JRaXh9o2EekWCujNUdvFVLTKHkxZOzlN4s3Jzxrg1YCukoymO
JNafM2jLInbCJnqcSMbX4bPiY3JA/Bu7kXvEfJEJD6YEzZPfgCxjymbswGFRwpTGYhWM+QlsFzzP
0SG+TQlRCLh4wcWh5NvDzQVakf0vg0w05dAlc0wmZLLxbt9IOetkynsoz7JDLf6twcIm9aOfAEt1
b/m3xCiMlhwueIahohU+/adPLNCbL1EevkmFU9T+sFH4MlPv8fZ4A8ACOHs4onTUQmVnRdM2AOY7
1+W8uXtx7eNeUXkGtphT5m4klJCGbXw8ohvK3dVgrZN+oWBS1h2v1nHIfBlWLF8WdefRIA42+KkO
nJoUahyIyBMhd0u2W8iXXhncw0RpJzBzRPFbh/y8py+BMQ+2KS9y9CrQJ/nl6O8xyVSfSA2AOog7
pKzFa1R/rIe59lHMgPPor/Jp8fTnczCPy7zcg8WiRWAcTLT1HYgRhJIrnPwHovIur8r9BKSM5z6H
pSYUQGOMHE/QCACWkg9mY6XHsd9jjreS6VwKW4H9WZIwODj0G0G6YOMhPyIPQWrn4sRvR0Hs56CN
lZCSO/JsRC4GNKVyNuJipkPVGw+Rswoi8tOaMhT22R5t7Uc744yUt/1JdxTRXJqDw14rDogxF4Dm
+ItxqbCxBP2oN+Ch+t5oXodjF/Q7UaswaTWea3BZ7PkBPXtrgRvejs4ISQK3nJFzOzGYhRf3gvIg
CZm0NkWAk/yC4ad45dGG6Rtunjg9q2+U9T/J4SCyuG3M9D0YLuT8E2Btu4HNh72TQaK5mX/KtzXf
K+pmNrVgI4F22UBsSZmm8gM2Bg854STKfHeMgqLd3Ko5fH1KrjGSI+26Qd9MNAz6oh8suPCePtCy
mG2DY5NCALZMBoGAg1g09zyxJWC7awWHW1onzUHEwfcEdL4df1zt0QG3d6Qnwg02B0Vi/L8nu52Q
pTAa2TNC1+8f6q1bpAzSujlDatgJjGIyzmuN0hyqIlbykK4IPb+F3QsrFipAc/nEJBVgPiNnnZB4
PEXlBa/dTrjZ9arLAUFiMXKw/bsWU8gAbcgXyR79yBIFyh2h67DEPuJmatp8W+wKyQ9cS3BeVZdM
dn3Pj8S3W4LodytxWNoNHxB6E3aaTX0gogD6570k0rNQPsqsXEDcfDIl9P0B9g8oLzgNNoeQUwK7
QZXbviuS2nkTsLy8YN+q0YYzxf4xI2RBgG91/Ar3TAXBBjtcwQMKQcJblJZfWniVnBJeGix5gAS3
/iLiSydulOKAw4Y3NyoynQWrXGfA1JsxJjdWgc5/G2v+XXlFVf+kgfUtWz2PGzdGhpW4Ay0wlOPP
cnS6JMRJB5m21nd4lsFEfeKlMikuHpJTJfdhsyayZ6ExqRO0adLy9no1q/A5AhhxLaY1NmkTCiGX
lEio1u2bPnmMCvQplN8HLKImN47bW2JgU4H79ZESoyF4RTo0L0zyd03uR2TiUcP3DPB9o5vf7/Mc
N00N1zgf44rmU/o0tv9kvNEYM0pnkA2ZTTfl/7cC/ys/DtDu/3z+VwXO8BywUTf0MWZ6Ajn8VYEr
lnCDtRC1AC/+behO5Dv0N0buCD9ETNZvQ3eRHUC7IEuITyiZ/4sKHIEL+/Y3wPEv267+zdNNvtXP
rsB50K/bEHVTekgTQvZuPhzMifpYqGPNfxBpM1wwdnBNGn2eHilATE46/KRsJyJetCcTFiDErStX
x1y6B9Wf6I+dirc3RqMEiqh2k0wJqBqZwQiNIgKCLGigXmVBknx0WQASsh01fhUtB2t6j1bJxb3p
JMeK7M+MATWJJ8xjQ66pHIm2OnXoKet2ClB4IxmeTndBnF4/OIkG3XfCK8y5RvlExWL5PX65rqRP
DPMuMwJzuiAt3Go4PeqwNdb5olS8WHaj5WhHKU7UwH7Q1GQSQ8gvJsMoKJBOQM99z0+Y7ifPdJ4L
+VfEaJrOVrjj7xLp+2rFBKzePXRd1Hpql84tNP6jzS33KzpbiIVjV1njk+1cvMQh/3JBBQxIF1rY
2JFwaBaedluVbg8/nYZjUr09UJwP9mAJQAcqO3eMErBKhSMjGztt/ay/DSxpPjvUqRVWS0o3U875
KymTa+ivrVuQE4LvNZX2w43VU5ZgA6seKSuLTMBnwoW9M9xxQvoqvj8TnhJTQa5C6YlTUgQfYt7W
+4zQrrytnRtZ93uJqtZc5PERBh2lLg5fxsqwTY8Rja/418chmw9IaCnNbBnS05nM3WaJX8nCuAR1
PCe1hZyYH6N2eSuauZw9Xl7kl5EC0b8g9hSAQJ+LKX32wbfymlsbg6k0xry22Qyu9AyeTZin71D7
1KvKDGnHbJwnIalOZ4aV8qcxvCkNttme0lB49jPdhLa+oPdCXIAChNn3jegSQKqZPiw08ie60GKn
cGGrs1m8y/tVciAnVofHcROl1+QVhQ9wdo5jN4PPYFTMzDyARUgOOWZdg6/DVeo3BtCJteb3hmBv
hBWIOR6zx0zZN8fnC74Vk4JsCjqg93ptHLJ3yXLaaUOW3anRV2OCKcakPBVazhg/ShnYUz2jfNDY
MaFq4s8GS+R1/2GAOgGd7XBXOmvfoxOSnRra4LeQJs+iTfqhniRCi+jgphjuYhoEJvUSHXl8Tq9o
qJ+M3xBJIoz21aAZzwXCyHgauhdCJD0oV+yqAn4PnYCSHd4H6d0aacr392Y7msDBOV+Dapm8P7b9
B24q3Uf3gcvKGpENGPtR+0a4pHwb+JXVbveYX7+eAfti75B8TD4/P4/F5Pgkg/iybg4oSJRvtj4B
a/KQbHjG7LhafVJKTj6LSeTfd01hV6/F54WIzdoZQyDzcnoZ50a0UDtXkPa083pKr8pGGJNqGX2T
/gwNZF5s+cYwp6JvWEPxuBKBAVxOv9E7FrEOtCZQJlBuJ/bzzK1NKJDJZvBO0DCZS8rwEuIRsakZ
FPIxj/YAITPgMkCdTHQVoJ7EbYynbkwIko3cIChIikACI+0rnIUPNJUlGhboElf4gfljI7pMojZA
3JqxDTfW+oCQQyMJFxa6h2DPHFsD7oqGgxrRbyjFHyGoR4BMDFpd6SE2VRaEcrtIdHyq/GzLJJJb
NDMJrsb96BVfebfzEestpIU4YjdOmYSKnqseL228pHHAEdNY5HRTeYnP/rRfS2sf7zObuZBqel21
QlotrS/mDgJpdt0p53bsCIZe/5mHsCtZDFxUzoLGK3S7a3apDS9W1zfYVY/PLDj71Le8bu3A5odt
EwUIT/BLq2/wZPOATZCuvrRGx8Pa7nQZBeFquY+qmzeBt3LDgZaMfdCUDdJ2/Pxqs/XKlFdOLeJl
7lT6DHux3E+LqbJTds8t7lMshaiBNbFsS5q3FULwN2bLKncaOAvDT05EO0PZPC9OCsd2TzwFB7Av
HI4rbTX31+JkcLPlqiTQ4kf6zuuXb4TjJoPieRQ88Cg8EeudBDlqx7d4fhIL62IC3rbPjZC9YSXC
m/hEWvtIMPhLPXtuuL1c0SejRqtt7CNZw3NDb0O8B+kUEE3WxpwBx3NLDAUmGoKMUxu78Ud//fyJ
h+jXzJxQgpAJbIokYYTcgq9S0Fs66Hr4qHZZVu9UoVxdHLGxOL5Cr/8TtpuiSF8CnogVvtMsgCnb
kGDIh/jiXCdIYonWOyAIgoaCGF7eJlqMesEMhjzm2Bsur4L60ijL/oz5ivkSo7chckJzLq8ik5i5
DCOcbg3PiPXTgtl6co5Q3T3tapWemrUqHS3KA8vW3jD0iBb9qTtB0RpPfNavTNbPYLzkJB0dmH2t
aT3C8VFZqwtosGFPSHN/UpUNTigigtBO0eFIu/Qd+5KYPDmvCxByjPwWmfr4pZn1IqQyjuzvR/A8
jbwiRIn6smleIcnQeBQ5KZXWWlHs23uyHW+sF3Nxv3NMmyCBLXAbGzaSarA2OK7K8n4Ch5OOP2hH
69NO/HSforO5hQ8Tp1sXGxmeUBxxJgfWa7kx76/mF/Fl5kexvm/1xNc5YE4DYQ6CWDQHSlESEn6I
62mpwHHKv7jQhcoZG4TGvnCETc3T/3FI1/f0mwGcHhoUNJA2GRRAFLQqrJNNwTUH7MEHP1rd+NDD
g9roJht6uEX51X/2r3Bp6Zo7m0Rr0K0pz/bRwWAQx1mEFIjb2pL0EigImKvaqVMu8i+R1elw+FeX
3kZvP8KNsa08uEs6wABfv5pM45udFAcleAIoFcqyyt57tJiQrdb6aGotySNdlL5CA/SaJl7qkKoD
RqW9whXcxIAzWGFypjAnuAIltW0YAwecm2AE5Cjf51KQQ8GB1kRnaeVvtV9/xQ0wa74r+LLNZYNl
EJGKeINNI/A0TAF1R0pXRukbn9kmfcEzblPukyP1ySbbQDGngpxZoRHKWKmToHIisEjf6+WMzmik
CA1/v2BMkRVTnS0WDu1X3kBUkHAP4U7L/fbWB/CZIYNynQLEIufns8j5CWjN3tT7TiwptPaSFuIN
CTNrRogeHZayGAeixbrPWJZRhIj8ebu4e1/k+Sh8rkZDyJdBWdlt0PpznkFHekNWqmU+Zs0QU9k0
XjD2VHEkMRHc7OPVhNUB5yITHKA3wYdM+v0VO0e+fpghZ7joP3T0S/A4o366AJM2rtwes6dbSdzs
bQqDBb52z3SttR7FrUir/koaQt8QZ2QysLbupwjHUTw4dx+imHNBA+yNJXJN+NKDIvGkyfXQVrMb
2QcPjLBm5cjWr171VVgM1zwUi2MNpjtlYqU5iv4Iulv7/oSGD8Ed9dwswRUfDV2jkQuLbGwR06y2
/c66FmFUkeg3tQanJXPnEsAWRNSVkCGbABUOTtGsteLlBqiROErvyGtiObNmo2JT1N9uzj+7P2Ue
owtDNuHSQxP5H0nhCtSVv/Jh6Cb/+vnf+1ON8BMTKoow/vnLhEiRRcAJQdU4wCsya/01ITJkvPJx
I2BCI6vCgehXf0qrKyZEBh/GoO2/ijKhs/037SnG/OjAdAz65Z8J0m/6rT6rO/PaJJDCUSHQdXF9
isyxRlzAwB8YpRGHfD/BGmZusMIYCJ8gTjjsiBV9w4WE+wfWGuay9zH72fdQDDJuyPBc14PqcuE9
V1xntHPC+wNj4saGUWNMk2KKtbugcuEvnnrxt7Zo7x43kXS85oLmamVD2AJ+YcA7vDDtFJYluHrw
N+4CNQMg8Qv1xHP1E+oM33fFiAeC6kZZQOwZSXPFXOKgW0y5o2S6rRGOjjuuZBNOYdyW5GKyxzgR
2cUGiaWXznB8FO4GchjPMImdkiZirUfLB3MdNZS+bpTrpncN9DisDZc7qoSv8Wup+dHTH2mAcvtx
h94f9a9dJX5ECdJ58YWs3K8n5pmwehHV5C/oNtR8RmvzfBkQXI1t5cscEJ+P18qjXrWynWC5qxKp
TTgKeh/WcpmVVD/V47MteFCG3oNZFNZ3H09oFNJa4rk4rOSxD1wAgpCTmMRUCke1LHh8YNAovsaO
xG4gqHoSv44hR5ObBOcQI9gUIivZk2RYqvArXqrvMbUkIMGjjMlR6Yj1C0wFNtJUgekpHeWsd5lr
0S+/9GULdr+8ihn1/BqvEFBjQTHqcGClQJvomlvVpHjSotJuX2f98bEl9RvbzvuuO1yErzXquMcR
pZ/6CU99qVro8kQ0HYqfzhmvnuTX9vte9JYhjrpf98jWiO4wyOMELYHXQhf9gDeTZhfvBl5HVTb6
4NlMojCkScB4iiqB5Zo2w34pe9fifd5i9UPci6D93pGhaW6K8V3HCQ+Z/E69QLQZTMi3Jzq/HTFh
DH+g+wJ748hDdEpIOejSLyOhzx0K7VV+pA1u99qrEtxBSAnlzBiGeteX68tdRI1cSU7vg9STAvpT
oWZ/eAMxrqiaEHzFdhIAh07Gs/uWOec6PsPXwKN5eVkmH/2bFKY89i+Tlz3+ne0x/XwgLFvBgyaK
iypy/EGpCNeb8jWlyq1zm6Bmh+yvi5AA45wInRlqOmjEPcw3T7je8dv4IDJkmnUSFut8Kx+K3WNX
CqJIeWDQGJWBZvnW26i3+SVsSmcWRyH1s2Nyp1nnbcyRitLRJqcy6KZGMLjJtpjG6/wgz9IpKuPZ
dU5vF3bvVN6vjxc09k5J+qyxJQL2iBCpS+18EzdCA1Xv+9fEWhqdr7xDSaaF4xcCtNHhxGhoMnzH
CBD4j3BpjKUgvvsDp4yn2R5jYdjHmoszsVP5GE50LoYX3pa5XuKDUihAvGsNgi5hygGOVd54pDnW
Odo0cG5wnPUUOCEWRswOQ8YFQ+px60nMgVcXau55dm4QZ68vZwTd4EC0HAjLPvIdwEC9y9cpZhOV
kFXMRJN/XyFR+bpukMs/xLwOVlrjM8tEMAJsNi+W2RoW0pSy7y3F9eWNCdgN3hdnkHt5eU6+Wr7U
NWDSEweSZwj2hwvZJzRmNjLPvFuLVa4DPU+W5nnuc2qbwEbw2i90a1uA/6pekGEMSE8bSqNRUfM+
iRP0BeuVEQ9vQyonxhBm7LVbuFWh+QFTW3L2lKBiLoJDbzSlz8gRYAgR50uWzNJuJieLNPaVyrUG
bv9eIamz2OowGKj93FoP5YfVf5cYRWubEhfoy7Z9S8jKowjL5Ql6QujXOuijXXcYyIbWPLqSpqdx
UFm3x7QHMV7lzMRDhHsvmiFpR0461GBOuVRaMFuAbj9hAmJbYgLvjE/jFZr0y2jKCCh9I+4o76dZ
QOCRcgFdcqKQ6YXojRm+CAsxyfujAVyOW9LewHKQKfUB5eDDWowYBw8Et22+DXKr5/UDog4OXlNa
AJeZV9IHdDYa59otaDfanLFKeoIoTAEL6aigH6NeZZxIH0EknGC3PUJ5Wgndqn2vnWYM/SxwpOUD
eeLEwswOzOzcdXNaFuV/uDuzJkXxtO1/IjqQReCUfXE31UxPjNQ0QRFEAVk+/fsjezqmuqfffmJO
JyqmOqcqq8o0gf99X+tMcGPg1NySZhkRFER+5YBENr+WU4e9IPxKnKFvvl9xSpJbZo2CLIqPRu1L
M3rJGzM+Ql+8eLcwJJOh1SzJx5pwGHK3csS4ZG3JQ6AWEzVpEIEQKVMhIijrLO4773AuQxmtE6bO
E2PykgOTnIj/2UkPFQ8DlyFrCsSAgVvvn0OuUDID1/8y6f3dn/9j0hPpmEOnPBTQUevzQzf8wUSI
v/0hECKx+tcpj2Ar6AkmTjgMeoD/PeWRfSUBXxrIgIwRf+1/NeXJf7X+/cfL5l/6VfV8z0cpOdF3
6n2iblmBuoxLHup4pVQa6BRn1CbObbRwb1X4SlZlk6EK6dwuOzcjxaxG5/T5nY2QR4B3ZC9uH33s
3lUQxMt4bNPftE7VanKIx5/PPF1Jj7HTCJOSECieos0ig6IltOK96VECGs8nENDIqSvuqotNFut1
nzwF+AC7eHwqO5JQ+IR8PGNyZA680m/QJuzXDFCXG+E3XcHH6+cIuYlQW03eW1Tf0V3pjJsgW+br
2zxbllM+4vEMtx6WPKp//8Fcs1QjUNm8YLQzDYC/c7UGau82NyBoEvoKfqj2wWIitWsvc5DBytNH
6jWSW7wWBnf8Xkp8dSdc5yMleAByEFAkOe5jMLsXWJrQkoZa9MCel1LqajIDEsg12onnm4ugxNF5
iAukEyCD3ErO48GTPx97SmsCYN70lfiwrl9TvfcSNXiiwjnY6Xhx+9FLlffPWxnJqifyIJBScvlJ
5OE3x95oPK8x2WQ+6QjoygkZyC6WAfA8fzQOL45xcqRj1reZTHG4NK6o2n08kdRZJUQXWgGr+V2f
3KUooYScsEiyjg03n995kIgm589j04wtiWQsJNTMqQTO/oTmvPAjN25S+PxWZbhi4d77EPv/PTQo
mCNBZldBQqQs2s7r6o6U4fOMJxZT55Au7ks4iwTR917VQmyoHf5E0AfJfY69G7FgKoIM60V0WeFm
txnRTUP+EWKzet6gU0gjofnOLqlTww7BcrDbFnbmHDjUnyqyDQRrdvea6/yDL/pzF6r/aJ0DGJaN
bl3hovPB9QwIm1zZ3Ary2+6xh3vtkUUa6T48k6VUaRDlH5sY0ci0uqFhI2ggeyEgJUwyBVZi0kVq
kiD4Zz5GjKHLw4sqIuMSSgz9H9JdAyYCawXMJQCy/kCM1cuExZkZsh2HVHbSku+aPpMIWCIkYAT9
pD4no2wUVB1RTbGb3y9O/5qQ2JzKVIXM2pUQtyhysb/dqi0up46AIaJ+pncQarSyKyC9h9tzfUbi
T7iDsY5Lwn5O4F+wOwwdTfJGHeQh6FYV6Rvjfm4Iq5g1hJ1nLYx3AiW3eYsy7oqWiMk2r/s1zZRE
EGnwETD5/iN7k5G/avfL/DHXGgdkUtSgGPj6cQejd+ZT9DCWSZooH/jUjWktvF2RchESczm4/7Mn
Dty1LGnKsKlLhKxjcPn5Un9viRs6Wf91vMw+M7pW2fQHgviXE+fv/vwfJ87oN8rmiXkZ2uv+RXD/
ceKMfhsTbUxAhqT/4AdITP+NLdCCKg8GeEU1htDDf586+m/EKfJL4ljjGMNy899w3zTL/we28OuX
PhL/Qn0nRWLQCqJrHlIIAQGYLGCrHVFtuebZLj47P0u/Ae3kt0syZxiHUuo1h8hRXF4MM7iRlcuO
p/ySvvW7A7ogTQubsLG7re/F/fV8KFVH09NQwIesggWQL4ckBv/L2N4CR7j5+6At6eftxxNwoIY2
SZnRQBxAKOv0Go3ZraJewWVwkE14cOsbUwIwLs8ae4OYi/LVxJODdFC+I/bvXHldDGGhzI6HczvP
T+IsvYa3d+YyhyxlAA3AjgeaTVeIRP79w5lfP22bpbiXgRpBLhTsJ6CYS3ZWpjeNiqceEXpt4Id0
rovH2LzPiFJ2JVTiBmrxHL6bs+jiw8Xes1m1xtXwCBPG33lqPd5Lt3DkaTeX3voB+GfcdsmG6Gd9
uUgzc7zNP8ZbSY9U9WEllKYjJfhoX2Gc0btlHxSzR/GeN2GB/v0Ba8QLGeFrziZCaYvhYVpmdv5c
jhHU5u8GK69KLpip0Cg0ssfT54kEPwl8Ef0ginaq6mNbgLMgiAoV0TcIAwqF6jaMAK9TznQOX1qb
SHQg7Uxj/WR75UGRrjvFfRokAwX8LHSupgcE7KnvxuNNzL1X6afxkno40hMVza7SiSKF/F+IUD43
nTWO2kZNMSsC6ds4SbrF2tbHnnZzx5p9rRw+eCXgGza/RXS/3Eb8sQsii9vwj950n59rwaFwKnH4
nQcGHf65E80aFkLEs7jB8SqowTy3QZ+md1KuCRJiKvCGAJ+3Gu0i5AwyMcw5dTbHRoKQTHY+Y6pj
+fVMJ+DkSrh87pZXmqvGVt4iqrLKDxb3IXZYZTcynMrPj5pThdJbsR6H7I0fbTJDbVsKfu9VPQc9
3T3k9QHXSnMZz/3BUaeKvGbG4OCT6CVhHQHk2UiqDWtO+tlzDXJSsePGFqe6JJjklZax/xBA0ykZ
dg7ElxZupQbdRjkbLvZ5xBQfr7W4KeYPUnsejZ/Mx15dTe5bfdp02IyWBRBxSYr/6L5vynMrGTjj
6WLPfTgfVtM+ghwsCsAXEdDKZxFrPq478UNhw1W7m3U4BGVBYDSsWq635LCBwGDTJlYOLYjABptR
2JWP2EWRWuWvQRAn5BboCyrhpXzflXVQ35fdfakxZHCIKhVyP6708kOXBqEu6JBO5Bpo+Ityo1Dq
qItdM2Hl6pw55nWsjv0RoTUNRTdkBmQCISFvp61gH8XpI9TpeuhuHh6tcgXBavOdhGm1urN2RLPJ
nbbPnKPE5EYmRWLNocBtCAWIcDI3Ny3JqvHeWHHsPjYPL3aoxVrEyxIrCcDGRpu9iPUE5TCPK3OX
mwsExXblAwmai9JGVzaNMXSMDFt9IlC2kt7u7q6k2LFEjJTwkXCKt/ntqyNMEwHey4k/GYV4HXc4
kx1s+MO8fTyz4YI3kFDnHg0sh27+1APhOiAOosVYSe4iXkfJ0nHlsJc+cDL1JnFAd485Uq0t8JFt
86mgGDaUIJZ3sX550y6zKu5dDcK/wPYvYcJCdUwP06hRQdl4ONsjzIK8u7eUJoIh7rKPLsvrw36u
X8iLFoOzkXDS+/Qx1XwEslzVmgIy18g9pme4ZXoppLcaz5j4cZnGG2FlkLSHqfBAe7XV9vaTVTsb
E2a4Sx3+JeM2vX/UcWMr6GJLZBlYknrYzk6xQboulqRPgfLKj2YowYM/4s6hTRN/+5UQRJ6x44cv
tdexiUwI8g6DI0nj2XvZM2f2tVc8ZcQrVgGbOB6nllIU72MBzSYh0SzfZLgb3UdXjYllsFPS1TFD
8iBEttvOLsLAISKlRbxJWpBCBraN5LRbQ60W3rDM35+rC63bkjylOKg8lk+3p9aNTNVKRzEl3vYy
IEyKlutVlsx6dTYxkCydS6i0dnFHuJ495/RwYr6w4zIOjbOiHYK4pdIJJjMnoJQv8cBh9cpO+fX9
iS4Hjv+KDLxOfN7kpnxt02flPcqFcR7uOYAT7EnQ2emBbnA/BcfERUCgviVG35d5ofB4sJO9EGiN
qT0dZF6CC+n2PzvBsTzLkkRZPdZkqCGm/X+c4BjE/uwf+rs//8cEJ/0mDV23DHEDLvDH8CYNpTxM
Yb+7g8SBM/pjeNN+UxkRyfZBoaiCX/xiHdJ+U7RhouO3JfW/7bgfyerghP5zbSdftgrZhBcJ47XM
nPgrZlAVcaXkV+KCoHsMX+BHGY6nnXedyEgEGoicJLhOCCOgG+a9etf3KpscDINYEsUKav5OFklH
xFzRmc/nMS0B2DETBpfwPn3tYid32S8ZULAHjvFPy6QG8vElkkiOCxHfEAYMs7sZDc9X6NXzDcFI
NFhkLkQEWuSv3s8ovp3ygzi5l5+70pkAzdsaBbp3ai3DwnKJLxG9iRToX+3qCkJKDo2VIdTB3nqL
Ova3ifF5oGEHGh5YDK8TlQ8YUwehBuyAfnDFoDK7heDowXWO/v9xphCvf1UhJkUkm5xmJUfry0eK
LyI+pgKQIj6i3cZtSDZ3ovidvA6Elon0EgmkyKgTlnZl+uC1s2LeN8khMuCjrs7hIyEe8GAP2SAh
zh4FJZIJQjMERUsOGLFV+ca0o5yD7DvnnjiYNuRpFcWbZsHTjEOdfO3u5RCjsbzKN9y/9mXPeMCB
z6FSZit4KtQKL8DL2OkT6wYOTv07udDXpYwQQWNTizoNUaStHawXDNWL3ro0ag+2qi3FuztuUP/7
aeoBtXAA1Q2SxRRF+pY4Dg0RnooUX+Ovk2Ee2Lkf4ShbPhU/p03ysZGGief2KcVefEPKv2VP3WkN
5q2AYk0V7qi0Zd0uVsMLp7T9W3y/zdpQf0N1xACjy+aqQ092zkXEhbKeWdlbTddiPut41Ao865pl
ls6eL1xRhDc/Cx8+PeVhhqrfpA7Qu9qPjeaSgOZhuhBqkzVg8KgBJuCmScLXQNihrDOxidf8VVNy
p9+e8xtxR5ovfha9e0VxsGY+KRyReEZHHLn31MGbJpQWbdigXTOixOd9lJ1jYmNfbkq2euppO81X
deIAXgg+wpy8bj5/5MrFR7YqqOQwj9xahFOh+ccPuqk3BDFOSwAelhGcd/7LIe7FfU2LPS3CJNhZ
Q2ZPfXHk7SeN9gtt2Z3i2lKnmGIbAf+N+JXYGEweTjEnkPHzSeDFpNzqy/5UuS/e//enrcFIjLm7
LvsE08j5MEGzulCCyxJUOqiCg4eC4+BJTh/U3mXJ9zm3mUSb2Tz20QiS/cWd7t08caYZYcuJX6oR
wUwwF7kL2OZgooKWKb3LwMrg6rt7dy8OMy/zElfgHh1/PI9gK0ykEDTjq1NSThmHHOCXc8eb9DCD
hAxx9FkWLizzOMhfqy95ciH0HUbRIiLdvZhBcLcgfF5mZa5Owwg9/BjS6BmNo8HxMoi/wF7gSwb3
i2KP+Rnwi48Wp9jjxusmRbvBa2OZRCNCwMAVtX5in1NriEe+W4n9QED78xLwsbi3xX2GT9DhruGC
QkzhUBM5I7SMF84liVobM07XmPmR69vjC4PZ2fWQig6zG5VbDmDWEOTOdMMUiDXs53/qLsVrxN/G
ZRVKgs8IJTikdvGZiqmYjYuKJJC9C+lRl8H1w6eO/HpK+oGvRVq1Fkg96KbPee3VU0gL/z7NNsYm
3yEp6ubozmCHe4dwICTPAFzwK6JsUWfs3DWK+IKO0KHEErlhSTQgV5VUA8Iriei8tBDW4uZId8GH
aNF4/j1tXWxUdx7x5BHa5ZE8G8hXcfW6LuBTJM0EvOq/OANY6FCrC3dy4a9Ub73/qHrpE9jcQLck
AtBMiDClM+k7RUnwtMffx9Sn922N8OV8gABLbGFEBrubSu5wcRB9LRJMbOEvMwp+tokW7XDzU9uC
iLFmItTg4GkX9AY7KSq3NZBsSjgcWwXNQpBokw/SjGSyXyfGsubqb4Zgby2jnYVQG7smlZIEd6tf
jvY8n1A9XrwMswiiGMSK6lTe62udjJrvG0g5qh/2611xQP63G3DoL7SIIxVenu4cIit0S2M/Rr56
pw3CFFHZVTbrUgVUQX7nwe59Jlq64MoNMCrFBvHySsswYh+BqlrHqN3kqASasyDsCI3p0yEiSD44
sWQns0oKb6Wb4o5yiK/7CQq4SHZt39hxqQyjHmkoVbCyIVoKaX4BcLjlXcRhCWar8903haet557s
yu6dSKbKQfuYWQdkhVOCna8PziXrSqQSSRj+uSK4qO8GAhitPGoCEjbM8U6JynkRMpBmNq3C6MDI
47EOZsl30RRuNlfUOHXr2D5RiaMVHjlCm3s7y97Fuby/fudmktO+Pq3SoO6ijhVj0fYbsYvExGkd
/G1TdT9EHGHaE00NPRXuLPzFGd9L+fQy1gea8R6lTEf3pL4UWFvvdp2+ZoLah8r5ij9RSp+82yW5
Em5DyFNHVmeaUjPXshvHjWqro+XjAE7ECfhy9ba0iocWKO0QSlvt5FrxULI/mjq6GguRhTStC3L9
GBRiyeqV93F5XShx+Xm7F7sknYK0tGlwbYk7bg2GdrrkMjslzoqLn9SQgDh+2YrB6aF4r9NrBET8
WdSnQ7+WJveFNBEn9Vt72Urkn0oKZxG2u1wj5F9oLXREAMKz2x3it7JH2FMrG3KQc4c4MBoAPpSR
gzgXpyXb0su5gNkD8TfONcYGGSRLlH9TZvlqU6fzbK01/jibgk0bDPkv3qUrMg/OuV4xJRXIxxWT
oL9+PWPrth90jwcCwNxxZUqREDVLtDIof6boZVRbm5DKFKhvyNA+0l3KRe08mWGoJEXvsngJ/JRM
NWwqNiaKC7HLmWmgxZH99jpTCMwh5BY79EwAZbsd82bJe6w2wy+z0GoLYoStCwkzVxK07I47jDjx
ZPqEuefpiX4Dewh6Uzc9GhNpBUOq2pddYYurwyfqpLthQxVVHzXAOa81aelF6EyMItrFaQq8V7j7
erMpF9nLsAy/4oUMpWPVlt5gXtkhuBFt+7FVsYK0+hkwcigbcvjDwIT9l4TrTxpQxYKFlgW/sC7F
WmdRNSw1mcG5ZsW685rlQQmpZDGQlsB4eWBSHpdhJQQtyEaU7dj7FNCk+ms7akKcao1hC3C10owA
CbxjzRKOlgQO1O0zFE5UrRWEZAMnoozqL0eiHzAydB4eR15ATuIgmtVBumzR40fkzyG6vYKcapT7
8MbrqzIPXrGfFuH1YV4ZScxml85RcoTSqlqVLOzeYUba4cwgXRZuiKg4q4oDMdKUdYGVokg9cL3h
mpKeO2SMiU5knIlA4u7WPpaVg5NcwRggyoqXM4KVBg95OUVlN+QFNyiFuGDg3vmuEBvKa++U6Nbg
vu/XvInMEFzbMtrO/F1AgYXgmN6XjroR+UmmP7olh1LukGwm7D+J/m3gCHmYKd9SdJ09GpHowTca
fZlSffHu4Bg8nPlMqTzza3EJ0jB+A0CG52ZSEydle5QpgUgU5Ko3Tlddfufz2ISpq+IzEIcOlIg8
zVUyUAyL7/UBLEgqEHuO7W7F2w1xLijkDCtRu9BYqJmkXtRnGpHBR0UdbLlP4nIGKsxlxRd8e0+z
gP/Hh6mGJOL2zufJb/wiiarV23iT14GCdfsmkB9CN3BZWnRdDc7H0Q4UtmHJF0knCg7nA1QTSjcu
vz0kP28njoW2Rs1ahnRy/S9v42OMhDps+ZAmRqHtP2/jo4GV+IVPYRv/jz//xzY++o1VnM1aGQ2R
+X9i8PktwkMkDSGnRIGV9AuLT0/uCK7ekOB2dOWH4P9Dqzn+jcJHVTMMRaQWgN/+b/gU5a98yr9e
ugIKgWtRISz4zxu5NOoTuX1kpFj5OKUx9DAXvolWZ3ET0cHk4f+D90NElAcEXbhk+Dn4yj2E5+mw
BWFY313Cwh0RY0DVtNPuRugcxx/dgqmY2cFYDcCmFGRTbXbbGTMFMuT8IHYVzzT9OYQU+nfrtYZT
JtTcLiLUS1Hv9/4lJOILevvFFJ0w99OnaBH+GuKip/qK0I+IDZqhOvVVH44Hx1FpvmWbZjqIBpmD
EyvmuGe4spN1H7VD/fbdOsNju2CXM/BYUkbicBSxFivb51qx+AJtyaHPEQfUChEDOQ0uOiTVp7o8
tTvSgfEWAkmyj0BpRiDD7ATMO3bqYZiipeRlxmNT/E5Xsltv4bXXowkJbl8x9ivqtp08GDBZFzjZ
zkxhosyq02HZ2r19VA82aUvzCbCu1YefTCzmRHRf4W3LlzIV3dr+cCZglFj+njfzHrRO+nU4lW/N
5JF4ENPzl1PNrtFrBjfAa7nPjtcFVLT7hjeUuYyUL4imAKh2S3A/6YbH166KyCtrbcH8Yoiy3vmE
+6y126AN7ksWsxTdGUMnGK3J8qRYPXoHpgMHEt5rvzsCVZGb29gofezbQQcCoXq6Ce0L92GTNsV4
Qh56a4M5tvt6LSEa11fZrvq4eun6thzBxs9BRduCZoPgu/Qbs8OkoVdmCYYokGR8vu2BRJMQboFE
LqLXNvgAl1fzY3HgfWAkMIvlJ8GUkcw34rl+LKHJfNaFKW52/3SYF5+ibXgl2bPjSLBxfDDGdDuO
KZ+TAUdAvYs6z7DzMy6QfFMhHVgakFCu4L6PbOksR+wsFKY5qcMqzTlJ0Iz5HmEt2H/fIySoDK2E
62/uqVUfy2N2NIZA1THYPBsZrTKjSCmjxhcWjyOn5Aa7IEkfx9v5wq7DcSpMpNkoUFbjWR0ZNhmz
gRz88kD6u5Ce4a79M872pwfSEBv+K86WPW5p12W3kUfP0UwPodCCy+zg0X62bbzUQSbMSE8oPRiA
2WyfCxjB4b5SMew61Praj2nOjdKOrLcpCkfylBH2hnEYT+EWuGvi/cvX0SP0mLymBNLaxQx7oGnU
9mNNkm1wwP9e2JV72MfkzTiHpU8dAY3KdBCgUzVnpVu6yWc6XMr4IR5WvKgD4tpgQNzbNKuikthU
E2gGg56VzY0PxNHWP79DUOX//BYpA1T5i0i9rY1SQ5VEQJndu4hIvxSnc+jHA67Ya/Pn00bVXLnZ
jghz+zYx1skb2w6fKqzpQLp8suI4lOtYzWS4qG7eECOgLFlsLVgtU+YhNtfMEWJDlOTm2BPIBTos
K3f7fTWxYDvUdZqbq2MNX58QGB9IW82dvH2udD8Ja19FrncjwrdfsB87d4Kmm0/03m7vEuvi37c4
j4LxJ0u6CX8KvpduyG6whClqoNmw8WOL5vkq+6QaWoev1N/XDrsXGTZj7KTQTKr33MGxrC/BboHF
xCROchUm4YY1a4KJ09mx1crOqT8mPOUOPml+zsvpqXAyCf/ZI53lWZBN+vA6u0/4Jg5sjRho2Mdq
Io0vLrM42bY7UA+7BCxBqQRcIrqYXbwL0g4WTfCI4eHOsWClAYr/KX8N+TKyJ77HFkR5ZheIYgx7
RI2YdjWXKTaqlIzksaMv+Y4Q0+L88wVBVujfXRAjZaiqxOJPP/KfL4i6THJVF68jT5mK3gjZ+JZ8
I/AtdkCL6Ac1wiv/RnMeyUnMhN4oIoTei6eplXkP8n3uy3KfhkMv1sV8R/HMOC74XZh9QgUZpYN/
Fo5Z4eQTzwi5IN6OBwAeMEDxi0BBm0QqLKQRTbGWOqmnZHFyrJ3PJQ/gq333Um+g97IJRvwonmje
4gzg1uAwqPcjKNsN4GPJtzZf97ynhTuFuLUap9v2bwWv5/KphLGv0iPG+i2ZVdB43SbhDqcUawNS
1BPNPiBR+oJ2Fms4MxoORAy+XE4DdFWasX/UKLtHIvQBIc7xiRKLN4a4AToO4RgJpdEcWgzxZ6JB
oyeWS2/421iQ6G1bpvurbgozIvmtDKM1x2UgY3zIF+mMu8QleWkF8cd/X1/w47SJgS854imbNLJ1
D2hYBcEiy5TkIsV5rkm/2tNKE1FBBu7TfA+Dy3Cgl1iw09ljS7alrzjGrg1iczV4F0xtd1MDHZhP
jpA71FZszAks5sRhHS956xiel/e5FN3Cp9OGIDC1Ye7KQ5heAbiGP3C/uYdDiOv/1H6PQiBpnaYS
J317bjVAr3dhn07wrAIS6ZMnELqx4o7QWT2JNUPtSAnmbTokvoLEUs/n6A+7cuSwdqUPDj3illsW
knnja3ZC2TqdnHMV+yVPpsRTF+luWMEQE9ak+ulOnJt1NOLI3LWo1eY33tOrRR4IAssGEIm7mUo8
6n++029tnV2DG57zodMu/oxn0tMsecHOZQVuNnKN2qLdC8AF0Emzi+skNtbqejRHqh3qnmZ+benX
JWCzw4lIggkHGokMBX41Dwef/5yli/GpIwSIXyRlmkY+26G7T1/IVCA+v19h76H4btxCdQ83ogKw
xQA1fdcTmTIa8nNMcpvW94mOGq3jX0F42ZCpEwpYAwfX4LU1i/M3pfMfyZQI8OkYJ4tqI6fZjEgw
4C2RGRwqjhzDTbm4bAEyeZMQECeAHzo1ifdo5RJSoV+nF9GNgnstqBF3aRwLdcQzhmCKUZ6yg1qX
0ntan8CYWXBZUIzsJZ/6iR648g3BjKT6ii/63VHyJZNAVd446/Khu2xntn+b8s106jDjmpOcfVQC
j5jFlBIc/DqzMWB+RCy4RxuPW+0zF/J2ygY9ABW4GYhBJTnpa1z+zoP+Lu/6m9Nfkv4ikvp9qP/3
o0wfDFq/nG3i4a631+LCF0I3JIS9PGmjzCJNgFuot1F2WGJYuSiB+Bipq32fIXJC89LbzAN2g2XC
a3ngCuHla1N4sSsPfwIb/4geV5Szby87mTQQbCUgKyHzdq5YPzfyKWf/RJ85Uawcut+kb3RyfWOE
snICfseW0AD2E95hDVbk2xSvtdsuKnvaOcfUgXkzhXljDS8EgYk1svECWeWy3QHaYRPKHC7iJfwL
z6+cR8Vh+ZhRfmDGDgGmDilxc0BZrOeAu7etwhP3RIppPrsjGnh/TPR1yxtAjv0knwnfZCG5qCDQ
TJxVx1gqrsqR2YYfkjsKpTUn1jk23xDFsnvoTOencFIyh3tHXtCQ53VW3s6rFUXsrDCLnqdfZqHD
YHlf8WUNFaRcsCT5Ehme2d+UqFuHUGW2yRHHAtd7qLxMqq3mko08iFn/uTK8ZCVbr6GQqZje/o9Z
Z/RDq/7HOPjL9fCXo60ZX7qsGHE9SHsR8ia+DFxgRW3XpJ6ROWZkeGHIJPaUJSEUijd2xKVmd8cH
fa79vLN6lyim2Xdi5tZ4pgxQXW2N5gSKggO7T2CkTMQ/LIbMRDC4IEmuHiohtQhrvCt8fzpSGiEb
LXE+Nk80/W5oI3EMN3Ouc/3Dw7oLDq9zcbLQeZwTxgry07CUOXKr6fC2slJQYDXznv6iDQkZtupJ
zrAwXM+ao1lYydgKMgsRjKlDVDx9Ak28PrxPRnv05JJ55YtxUVLDdWaWaJdzHt9YtIs9RCE5qqJ/
WTdgJsCg2v9xKyLJ/+ep4kdF/8utqMtCpRltCrObMbpoxHlcgyujd5gEnaWupVCYPwP00eguFJNm
NOQcHgH4mDm2lzOVLFS3wPOkHoD/3Trun5AzDNexm0Vf4SzZtjjInkxKtUlmH2Ns7aCFt/PpTZ/c
LO3rSWgWfJJdTJgYbfgDV1sTn7/kKLAAlkNu4U9xWwQxEyZpng4hh+RztG+Z05uLs7pT/fmWedTc
8uz2jOhq057JoOdhDlxcV7JDuavF9H/zgbZfzomVzFQhCkd2tUA8NZzIxRuVrHbyPjgiz9By3CvG
FOrKE2awhFSZPJkrdRguQOIF+LgNgbZkj5yUWO8EkrvMnncHIG6vL3DED+cMKyFZ/SfZmHTErZkO
l1TZWrEz8He8Qs4YNltYbwCEp19yn4PAMtL8zMnWSWKyzJm/F6lDKBhE12N6yCHnjg0t0yIELe/b
qXiZ5I2/0YmLF4yJxFECiBHCIQbSDWYEyvHJMYBjekqRiQlQaZGV9AMgMAo53Qfk0WsnzMQgIRza
GdvZ+5g5inmK/f/5Hn/yr3TEQ4C6XLatLTqXqPRIROGR9KT4hOjjnixJnAjO3UbZZ57ZvpwcMH2D
nB7A4LLk/YbS7cMLCR+QfmsCpX2giPBA6zerGW4sW4Cg5J987nQGSIioZeGPhjSWabKWFg/viExg
L4XVSWXOJs4tJIkGBOeNE3R3WRqg7rCsmsb9q7/FfE7JejtQrPdp7SqwSgMWQUbUYgPv7Sb+1RzW
oKf1rRO/ttwUJsXJAa+SU9sefG0Pkg2Oo13i8q6B24TNdDRhv0v4lrGpzGJuaWF5f8vN8+Bs5b2r
uaeZsrPpBaBpgGYIOR/qQZ5DuWCbEB/TByJfoXyUJ1o0ZmCVwBsm7XrYcmKNpgjSVJk3yXypguFP
D497RsbNZVq6ICMgFVlQn/IIn9wqt6FwuPl0+6c3gzq5O/MdnC9WvP61oGYpku23FsgHFcoXAj7R
eXyKnwZQFJxS4esBqdKde+Y48uNZuS2dS8dNrs0HISlBh/jCSiepwlpDCEvAlr7cVhPpW7KSBVE8
HKWM5dgIPiS2bvsyNvv35A0iB36GujrsKOQDsaO+kQpqV+SLcH43iABe84EZH5kvWlfdFwbXoQLc
UZb8BSM3+VLfH5yPl6VyTrmMqQRxeUsDnHNjJByuPI76b70x+JgHzgh9CyGe1F/ETqxzYbuFf/hC
G6bOiLqS8dlBmJ46vtEJqE9Ftc7o+DoTJCIzgOKnwLcCSgK8JtDiTGaHV8AS3O6kyvfver046LUl
PIkuQoxQQiPg3j3W16trwIQa1634fJovEnmTfdV8PAruk5R7uaLoi/jyt2IjiWavO8kyzt8TbfFj
jMVHkB3/0JD9f2en3xvL/nJWDop6cHuwYIRZwwP9lwd2roDZqvch7HqQHMefVJIF2+/aorth28BD
lA7LXTD+ribcyYTwm8ZEmDx59B6WqGsyqPQBAxWnREltSRua8tzk+oaBDZQv7mqKeyTsmk88GSxQ
T9v4uu8w1jE25BsZTSByCuTYAKNAou1RR9Livo5oRK5HwntG+/IEWw2Nm8Ue0005rHPMI0SIcLZt
42wtPKZiHiWaI9Av9dhx8WgwXGO/jsYrytKfPzs2N+Z4kkePieSKk2Z++xlLErz62D+x6JxGxJGL
Xjyj22Awmp5K7miZ/P9QnuO5brQIyfmDQFvynfzxUt+mjhQQdbu6zdl0yJfieff2JsE/KbCHdhMw
HbhIr6kzr9x82qBfJKlRZ1SYArcx3A3P53KZ7ZHQFvN6T9fn9OVrjrhuo3SpPpwRIPDFiyfK/PlN
/D2L8Jl3xafUqvCJZpkMv4Ie3Sq3vAZ0o8y4MiNZ7a4SK18PS2g3b1ydQBJ7R+aQ/Yoa3cnXhEXX
3iPMWOZBUnbsziCKuY2THqAU4cQgkuAjHgoLFBkVs81KDKS1sRd5fmZTGhi8yh+ZcLfuk4sBl+1k
ELlnn607mpPCDGd4ij9hhze3yWX2oM+9ejfWgE3YyRRH3Kpua4/eUZy7OG68gmfV4XsAX1moN2z8
IG5cORdABTniKeMpAV0OnGoH+wG0zo+eBXL4wnFT8TgymODYEGe613yWdLGb6nHIDcZe7N6ZxWgg
J8muJ6iMU5ZTMqLni/8KxztnMdlfoPcDyj88MHp0N0gheIRQZWrKR7hQ8xJ4iIdCCRIO/LVhYJtI
J1orVmzOCGGex8J5hRqQ/AntEM/94RXiu3aa9R18i1CAt0NEJ5nFbDKskiIJJvH8vn74TMdRvu/8
MiIwBYEo+11rwurqu4ttBP2CcdoVFoTq+VnkkzOACfz78/pJPYY9eTnpZIHIL/bJ3URnphNrRfXv
UK/9o17xkhNOtdRJ9/1ASqA3o5KWcyISd1/voDGUcXhDDvLNxYU25DTonBPoc07P92uHRCVZFDxx
WZoJT5g9Vhkm8fuG4HFhVhLr41Ml5laUJZA6SpvbyBu+G+dhBMqpupsCkbBhBFyPAvx4FFRHHqwI
4DC0KU4cDVQGKbLOzc1L6yn7Iuo9gmgimYIMTBjdgECAh1lIXOZWEkrRUJBqeNcZocqnu3f6f9yd
15LrWHamX0isgQcYMaELWILeJpN5g2A6WMIThk8/H0qqkap7QjO6ne7q03XOySSR4Mbea/3rN7wm
yMjIUDVbGCxgv3J7HJCn9ImnrUFRVEhtqO/oNDQX1Yf5XJOF4oi/t2E7OOM7XoaLkFxT+qZ4T1v+
OOsG7AtqZcLIxhW+fd6BR5dsLDO1C8hCVv2FrfTichusm3gP3xMnPCnbqZ/7Rd5oHSbUkk9pGWxV
/4VWv9o9djnleesou9DH4RAI64ob/NtrK+wTDgy4MWA6hycdz8TJNArryc3rmN1wEEOQP0g/xBwv
Wh86YOA93npHA8PS3cmTjoFFuo0aeBF464FiQ71/THjt8K5+6aH3fGv9qTPM/yzdXsccYzhnLi7n
D49/GcmllCx2057sLguozQ4fZnfCcILxBzKMY+kLv2/2XbaatcSPnC+ZQFNed7bh1f70oCXvuOH4
BOkNZ2LVWa6fmZvtcGaEPgSPNAnsMXH6FiqDrV9ecLdLK7ozk0CzgieH2VLsbp/njMGGTgJbuko+
Slx0OTkXPWFYc1gCAEnS8CPVCFiWo/QJpeIpfDUKGwCOuJ60gpqRIVQsFjMbI4dG5yAhsxacvt5V
XrHRbumlunzgyQXhQPAYCUlOMwlYfzL678LtrsJgCanNJzBZ6fP8MqJg157gNWbtdBCz27y3WnbJ
1M4vAu0YOn78bulFPtX9KbSwoPW1XXiG9ECI8fytkCwN12b5nh+J7PDb7eujPjD4iAZQlgfHB5b/
iE5Oj5JhUODI+xdU3wvILlRxASXsc/dCbYuhA1hJ7ALmsPZI1KNpKWEFIKOa5gFQl1acJuvXHT7v
bYrvrdwHJwsLcAFShsafxBa61dIX3RU4VbwrWFqfmg4/Qd/TuFIzoJCkNvaUrQTNDKt51u68+780
3JLyf8CS/1ZEyH8vImaJ+hxHKUByskp8dFMH5ga7Dv9EKtWJ7geGwUimO+UnTqhzfX5SVFBBLLHG
4VdxDQDrkGBjt2fsvszqwDIDzs3WmveBtxV7FWxeH++IzYTNjs7z+OBLQh6WwOv8zBavALEg1QPf
hrQKP0N7WBk+/YBZgDeke91r3GoN7n9CaO0bX7SRW3Y8F7Kc+RPsGYOup4q723N0APlQCc4dwZ9/
hDzFxi2isrPJiLTlr/m4DS7VKlrj3vlFmQ1AQhsK+p173/U7sAEu/JKFXk27KB41qVUc4Ise+gnP
WYicmC83upE6gHo5P8Py8cB/7Ano11nQgx2uyDsBR0iXOd7myf7pvE6KZxyQXs2+qm17JstqETo+
NOcVQ6V3yHlQo4t19ibxQI1uUU/5e8ZXlnsKfHCMKKHYYW6CYGy+V8VzifhKcZUTVCbSYGCInFCP
0A3CuWQZf0/mWNJKAV2kv5x5PfnvH89v1HreDKO9ztXhFKIh+ZTPQK+6P9vHOxb1jDBFs4fzXLhz
jOCocEWYNIYr3v7rkYVMaNk/owskDuu6PpdQZmJL/Pd11re1oKdPAUNa8G8I2ApGn0/k4K1uxukC
N3fDq1RXwmlttsqxEBn8LwCGw5MhdSQ0uKjdNEDaAqgThuh3/wWpM3y+E6f0QEv9/aiJY7o+6atx
h0v33fy9En/jEkgHYjWs59DAsb18jytXeHlDetOiX6jSbewGxtroCVPdVqAcGf5590e5HoezKB7j
ePnMtpq80nv3gamctOazw7We4Ssz9+YQAgopkpupi/6Dk3kf7eNtHUN/tx8HAhofRHigfDtUlyc1
1Ist+Z3twWN0uJibH3XgdvtqycKnHKb2QcVvAwGH7VYLzfktpneDv2TeyQ1nIcwBnfZr5sTftfdN
YfEukBqJxUzK4OP+giOc07K3jWV21D8/cbggpQ0ttPWwwDQ43AuCi956Fuqucup+suiDqmoVu4AR
3Xe3YW4A+9sS34PLsMfIW94V5i5D/XPFQ4digNm19QWNjeoqXDLb8TuTNnR68ucmu/i04EcLaYTF
ZMAsVtkahQF2goAAtuH+YjJwUNkf1/FRQThx6LzaA6ehXV8JtMmb1PmsfR3/GLMD6IUcRhFG6eUR
qu7QNgyO4Q4XeFzAdWju9tlZNg+/JJy+Z86wwVDIHJmA+YV/lx2GIkv1TdxY5bKhPrLzo8SEL92B
ljULmHAws7J1RNAULshOAIzHtJFyOIJ29cFpt4eaOtjlhDEygTwWU7aFZM2uiBfP1ZtCuAQmsiPX
Xe+abYt5FjUbbN/clq+DeWzcqVyVV59z8z0BdEYO8tkwu/LBj9jNoWkrJxyUzki8uKYDEaNmfxgQ
lQNLPwEOSEwxP5kvOdoBpxyXoz5iiykdIFqGZNRyrBI+8AmS42N5Z0qwYYTPj6b7j9GJYMOfvsnh
e/nt6Vx9xIMvXLD9y9ggAUxi6+O9uJPdgfPx4YUhNgJUYLRkKZeksNH2U7oscztzEyAsQEnjDRnZ
ZFjjYQPDkf+k0UGdiOhq9vLG02Sho0zlzeReZgy8nDUvJbLMKNTQgjCcRhK67rs5+XN4M0wiWtyB
5ivjB3taOCsw/KCBDZwpDVjISY5goKDnUzH8cT9JC7uI5fv4oa4DPFf9+IG5ER3QIQTY2jYw6r6G
U4aKt4KaDCDxPPBC70QzrxTOcANLWLvBzMBGPYwptFQd9cUY+c9Di2E0tRMxNyKuxDIbIjm+eEXz
y0Pf8l1qoMNqY9fh24LH1/gx5xyKfN4HQPGLa+kkVBGUUd0OFPT5OmA8jZcXM1Ykos4TbQCDQrt0
kQB+NYgDe4/IwmpRuvVNuaiN11HEUrckj11MDcRxiMIB4t9btQze6uIwxRr3YJckX3NkUR9pdl+v
p0f7R37RujARASwcYrQBgjMdmMwySAclJZpFqHPrZDOnHmI/8iIIdtGazG0h8/jL5+vGlNHt+QRj
acrQBoL95m0UapsWTt/+zz8i7Lpfagx1iaTmKySZXDIyUByeUqPfoWJUYKRQ18ibudtwjRYfJL0g
5xlKkI6LL/2SlIl8o+NjGV6RMkW1g2MbQFRONENpPTJHRhOCJMBYSthGmnK+aT6aj9k1exISwjer
moeahNfct6fmUOM7dFBCK8TdW8Ao2AxRcu6LEiPTKTtb53M2iX8Rz8bd+CEV6IV4cGbzE35yc/P5
UrmQwUMMePf6rZbdydUXEZg8delOTyfxikmA2gK1DpbexaGDDt9miyioV/3TifCsNHWUE2i3U5ZD
Pl9JcHsxIxZfHwai5uirJfs5csX8jRIYTSe/0i5c094qGaCfoqtxbpeByIYxudr7CoG/siN061BY
lsU7YiK85QZfd1/n+ZVgFDBHNhMGQm78oQFH91a+T24pyTXlQSs+Ek7IwiG35UUxHmKYgXG9N2v2
SY45vivn3hiTumTBwe5JbB6dFydUc3gV8KUQbTJbZHby1hu+Xrv6oRlOWwzroS1ZFwNIdDIoThbS
N6p4Bhb9WrK1FcVtNJW8CsVsuSiX1Sk5NIv5OvjYyH5yuefMW4mrAvg7IH2gXUj4DbZ3IPwoCCDZ
L0vr8Dqtlkven/J4qoljmzHtfBmZpxMgkvWLVoH5GtxrizBE84Qmc4+Fl6XeSK+hJ9S9+7KBy3QB
RHXmzFfwIOcNIDA7pz/hoT95F4EVX/EdyOdmYE3fd1+rm0g4NLYIhrRsN+Xyfp168Gyle9CSncea
Tse63ROqd2xv6UGxwtvqzlXEmy5ht9X9fpUsE+eu4XL7tC9zspOtuS+eMm+2z5ZTvU/j6QIeHEMX
6jjYQbaQ6G9ikDKbrJ51hK4F2gi4FUoFzOkmFzz+hL8mEwwNN0JpjlGuGYWKW/gaEeQOqalmvn7D
MNXJON1JnlkvxTfjHXkfo4bRVRjjStDpmT7T7+F7Sg9MV223W96cn/Xpjz4+ybvsUG4uc8x+a/oT
rvcSedRG/myHr8Ak/jLnPgcsDY7Ne2guMcw+OiFTXpJWvJ2udtgIMGOwYFijQXewCGTc9hXwI+cW
5AA0umgWKMp9aMyLvHDDnXQlvdo2zG2yDcmdYbaILqnjXK7OojMVyB3I8K+x4Pa/OSIvI+6DafSM
AZgT7xUsmxubm8Ob6T4s4lW1omxYqBYkb5yll6JFYrYJ9y6+DjtoB87DHf3y2KwVV7wEeCYvsHEp
XPWurcYrOYM0krd+dYopee0FUjvVxq8QAhNKg2rXbjrGt/wbiAFptLhAWBpnaLKLHIKgoIbFdrQB
6IcCJCLm84vvbKmJDLF0rInjHdm18E2ZFdvfhxEOhHoyWI6J1y8gAE40PmVHp75kj9sJWIWCtUxk
pzBy9n51hPAI+kfO4oHSjeeBCtzj6KRZ/a1ZqoPTx+aFE47aKZqMMrRLwh0PkBTw4U8PETX85FaN
RTsxozjwrie0REGhAs6FxzMlpHmZhk4GQMD0Vzhyc1FTBTSRIKefCo3hHbLC9HajPfuYUBtsQ2hf
gyMjf77ltaQRXsCbsFiGFHQjrrtNt+zPKD/JQGvM9KvG6PG5+J2sjonDHs1oFe+n5RFsyaM4seoQ
NeT8irEd749VpqmyBbAnAJ9ZN9SjbDIzDwbE8v74Rn3hnAKsOC+CjQUkvAVclxHZqcFPuEv/LDO6
A0DvhpM5MZlyVD6KWTYCYBU7PnW9tWA87QYnwdVc9kSguonstlWmFUvOeUMw/XY0LaKOLO76kddf
hjZuUj7KEmiWE7jECANan8gNlEQUL/xYFzbTYk/6Vn2InG80Flb8NlWmtXWbsML4JjBBWcOqf+f+
3YGboQNftSnE1ACnQvIm/glQFbtxBW4wbRHjeomDkWG9HHy2cZfYpTxh+j7yWsra6Q10P8KgCQXT
RvxpL8Df1EUT2WeUuOZi3348991GYvmQAMgKKIBzNwO9DhKifODuUsRhHpgs4n05bewOjzc2E62z
FbfeNnF+Nce6SIx8rAgy34WEDksDlIiOhF/Y7aRqXOXOxfjiIUC3H11Od5aRO33YOTuu5M3X4m3C
LEYLWD1p7PEOG8mhNHJGpmab2S0oFjg3rI1PAZh1MVFtFLhWB8w0fnjSdzAufykNvfJCwJKJ3fT0
AfG5KuZl23/d75PvYYbygpmdrXLzBIg95gXBiQsC4we8koHz5sx7oZH+HraB+fSnDVCr/Xx7r61g
G/Ph1Cb9rEXiiz2ub4ymW+aT2s5ghq4tpFXsGkdcSblHAR3M/MB0onFvd0IVqRHZrTkTQGAtA47f
PaIM5BlFzDRb3uBrmJdfyDC9GR0Kl/3cRBtn3i+GpX2oNrfALHhCL3zFw10W/oUnwC8nCgkAQcCD
3Nk9MN/cHK1kPQnIn7wSS29w7i86tAn2R1br40tNmQNLc05wGDvVQWUZdaYYcEkhoiVYryfSaKyf
mfPcvKAkIRJaFFDFvT+hV1cX3oPPYQsTJresmzJFJWjmDbKrk3sT0WhmZhvO82yJ5yP7k1g4sQdj
xMtYrPsXPmEWb4EhGtnQh8bKToKPCzAwL+Q7mpOZtU620jsFLHsArD7I3uhF97eGK5pz/QbUPytg
FD66a1Yp6ZovSplxA4uXSZID3dAKURd3Ji6nw+++uCC+Y1I/GX76kXWU9tPsm1HIUSG43v8sjsTy
mMUFMS1aJpOuB1IEeFPE8Jxb9vnYfLHQA9Zz6xkwrRf9idjIA/Wlg4OOVZ2jlaixNelQ6y2G6Anz
yd4x4BLT9FE2AhCG5l2jE1xOcmJINlDNOAjXpbmcNmD4IpTP4JQPzAAtnJRYgoCrDPHkxFnM/Ank
BvK8Qc0KeWfJ5elmw1HKRTcVWsmi8fEP6dg4GIXo07AWyBXbI5+HgN6c7tSa+TMu9HNGD4Ujabs1
Grayejl/WYRx7AcvwJvjLGuslKn0AzbFeHTEzaRdDy41JiRw6OEMCrDY0Lbo2xj1lWvNSTaxrfAw
lxmJ55QAxkKDUKIfaqYeryPDUf53rVRnvU9/kGmzRc9UVwdfYxt4zG7kWcb5Ri3AXC1w1ef+CWk/
3gssRDZJjbKNTe6E4rB4v94umcOKom2zuNnTeIWxyvfMUZ2fnR55tJ7wkpghCVAXJn8gxoGbYw95
AMNjyMFookV0zQu0PYT+Qabw7liaUkWuXm4IIvQWgNUTO/jZAOraJ/Xt9Ev4wcrmJCOxhpKwnY6Y
Cfuu5lR2zfeFDdBrFi2DOuMeL1oIHCAFkuQcRMjJupnDkuhNAw1maeo81NMnlls9hDC4RKi5xXKj
84CuJtWtl/gQep3e3Erf3kTJoT6hDTJZ8NO4TfXC74c/pq6BNzCaLpweljAWVw1oiJdCNal/e0iG
ArNGt2V4YP/2jGWLO6Mcuv5F7Erw2fdUqNZv4hWrmvxkRBdErY/W9yKcwSJSOGLs9VeLSOAU7oW1
sTI+R8SoU2lC/DmaQCu45asQUktwit50hz2CGZypXBiEgc1Iy4K9kv7I1987hkXwKgCUXN3dxHcC
OB8WE8d2/fkyf6rGeXKGxRgBFgbB3us980L4MO8afTEyTfbBAWyYkG0PF/3i+mQeQfhg5sPhpPvu
BwtnJ7akFXENm/IqfAPpTVqZaTD49Iy34LEUpq6Y55epBO0mk3br+ug4Nr18Ie1bptSQv4cl4TEb
xOK+8l6dp8kslPAVG11mw1uYT0VlHHpGyOq1mTZ2ExliIqlUB1Kj2RgyW4gW+Qm7Kn56HXcOfC2Q
ivw5cMCxg2EcDR5O4TxQAua6NqzLjaKuiDE6IWG0sEljuRgeqmtOl3sELxBkuqbLxo1S+nz+FJuJ
sI5L4OOd8x7jZvImbI2PegaS+1v4xIHfUL4Pg73cSm4PbbaxiRdn0Jj+JDs2rdUcRs5Egxdt1a0a
JEqk5sFjQsGBNAQdEWoh86O3NjBAIKMRp2URSMkeXO9x8jXFk3QAsqoWuikwYNIOAqMB7YgduJkg
oTOF+wu0aiJlDNgcNBC3wTZukA+9Bz5qLDswPbAXs/qaosKGBQHCzPfxk+Ae0gCM7+CqPt4dBjT4
L5U5UG9DJU6t2bExHIXx2WJ+V4/lv012Jyj/YWL9W0tXVjbSgTnXyyN0UhiQL+EjAY89LNhGxLmZ
gBjfPHx3agdk2vhbE6I+rKp7w/l25fa1mHpFwBxIWNgQ7MLcrHDpAgxUNhQckDQ7REHwjs3FiYwT
aHCr3Prmw1r+yaACkyENmf0aKLV5i2S7OJZ7td9KsoujV3hgrZik0N5Bwng+QGjg4hAFxYzZqx3z
+JmfZ6d0K7qKpd3Fs+Kcr5RQ8AW93p04VAkb+Bb4BdIRuO9bq/CDV2/6e8zAGqxpepJenKjx3jCv
++G6l70RFA1TfYoJfigcttASv3GOjA5EA5dL7o8Qvph66BmIYEoFQ1c0fNA7LUOrIiPvneJPtK5X
Cm54Aw4YNMPORUHpPy76yoPmSnPVsUu9T2PLh0Va6sRxmop9sbKujCm5W97c+Ur9VLJrjhC2TBpz
UDQqY96RaXi2gEvuolxlP8Sk61jZglv5craYqKLgc8NeQ/w2oMuKrWsgknBi9TSf/nMX9l7P2Fb9
4MEE0Tjjkmt7ZAK7CMYQovPfSTBnkDrfo/hAuQrXEW0bB1Rw6L6g9ZnSx7x2SE71G+dw+laWsLnJ
2notgJz4lEGL2hM5VMqTl5oUKvlJPCMaGMHNWNzZt+qiSF+yLc2mURqgwVW7tC7IEOS0B8JTNjZi
ZmXzC+Dl+iqt5t2wablxbR1gbEK/Igqt8xPZxLRuorCZ0KemG6EjKKQfD1yCs2yZY5eHsiOTipGK
KX0jHa/kbS46Km0a+chQQWm8FJeeN8EfPz+gJVFthqCFfdJt2WfMglDrgjaMptZgSNoybq7doCLs
Hj3XhVm1HRJp33nGomScy+i78gWXj5G5j1et5aXskXi7Db3hWEcIUebLl0Ghn3zA/iTFaPInAJfN
DjPoaaEPqkfmDynYREWh73M6oFUQ8HGZLr21Tu1ows/kvoSZx0BDWcCgYBtm2walq1AIxpzQuNJ+
znfwehjr+hpb6mDu49oG3XU+G15uQuAgIDDd2smk5VE2umcBYxl0YlMoRrCp1/AzFw/wRw6a0ok3
xJRT6dPwQjXcSHgXwVXefRDMkG7zPXjkRv788ecbrIK5WCgdvx+N5eIn3E9QJyrH5QcCJUYh32xj
0Hm25/PcYk0Z41YlB+hPkmJhKo9f9jdtw/cfPytIkpOggVzzEkDHlmCSFtBoHl5ww4wnULahmTWn
HoM5nl+sdd1MofAF8QeOQ1TGwHyyswEQoGBRBajaxVp659B4WDqPzcCOnyFfnAiQHKLo+n+TPWb5
WMf09+oeHCZqMdYaGN9AJH5sJo2Ltp9D0Wk2Tw8fYGppnGGofVb6Nt5MJArx+OC2TK4vCu4nAMQT
2zOBFASLVHcgNw6fkPkeqVP8vKgvSO81sYZqLiUJ4f1FLm0Fq5j5QZxhGL2DII1uA3LIkc1j2+X7
L+Q7ZxnZjnWOqEEJpYMYtBuoGoCTZpQo9MnH2rzk4vvIkxfD7OjbVdnRD0UIJ9GuFwbvR0qCmGLg
CWNTjbcKX/mKftv4J00kD1pdU8GOagFMVEjZV/EFByPG/JkEL9wDai9M2MgpeZ8VLpKM1relpV2l
FsA2/pGELzVavMgyePKYVU41/jTlokhcA/sHEUVKAuCQbyp+IpT/HXi2wXsGuWgKnMWxODWBXsMD
lg0KThtPK59x/LcfNU9/hMVDdCofX0PFiQOKKJV4FkBqnjx5kwE7Zbzu7AeSTES35Ee0c+wh3RRD
vVOPVhS2C9wDChAuDOaDPNj1699Y1//jbyy+5s8I1a+iHOs4jNp/+O2/nosH//zP6Xv+99f8699/
y7f8+0tOnrl/+42Tt3E7Hp4/9Xj8aZ5Z+1de6/SV/69/+e8S8fNY4sJbFk17Zz73/fOP0nFd1hRR
kRQNdzYM2P7TDPifrXxxYWfE+3fp+T99/39Iz0WE5bI+J+9VZUzMS//lBoeVL1Zwkihrkjw5xfGi
f7nBGX8IuNjzH1HFQV6fCOt/Sc/1PzCDkyUSbgkfmuyB/zvS8z/17f8gUv37pf/D8Fp6ZUVVP1XZ
g4C6TASZUV5DQN/I5qLwKLw6swpU8rDg0WmYMeKH0okaO4l6LrpNJyHxlTdKxaEzkyz5BYIYxvSn
aDaMfJlmgft40VakiCLDR+4+B6QC8uBJBrUTPMznE3HxcI9fkvsQUztLZpjgqg6gpaS/R8FPNKQ9
Lkz0EE8UZLF0LhV29JiKwXicg4x+LCo8Ff27VGowfYLAi2fpR6ZgltUZ0bVXc3Q+7cMO8QkRCW17
DLNzWwEulfLs2qmaq9fUOx0y4vz30bWu8iJlNqKRlY5Fl26ehuAkyUXlSVd7OFBivwmSDvMvfa1w
VAVtbIs1dhZJxhleixdZVKnHMnxixMaPVFDHGQmqHaW2pnxmlIBytx1iic0it4sQBJ6Unqdc4UKv
eUKPje8I//zx9NURUQ6ToehJ25UI+AjTiGofbYP6LiqcV0/cUaIT7vHYJimUkxkM06Hc5EmvmQ/M
VnMpR8zeDOdXKWxkcu6qzgnko/p4fyjoPapzHz0OwpOKcbwrCMPmjSib6ejp0mHev2mMpWZ59SVk
0SGTte/y1UCRrNgke7bqeQw7S9I+GpKOoweR3rKanNuWGmqW/5Q6GMbQbROm0fkD9tc8dNPkWGq0
ssN1UKjimqj1njGUoC6FYz1Dn1JWb91Axa18ZE+4TjJmAMbTUSnwlb0cHaOkuKYtTEWmrUmaX+pn
t44SJgwV5zasoWQcECjGRN8dlA5gPYi9SvrpMJ1WXz+Sgo9JArRSPFapAW4fLELMoWU+iwd60Fho
oZ7QeldZzZEethtJwIdoRLT+wlOwRLnVvTzBSGP7OUpnYTDcmuniIPwMZfo+y2hlypbSBY7ZLO1s
DdAMjP1xDCE26PJJ038nJ3lNRqs7V83ZEzalwfj2XVDvegsvoVGWLT5OZXp4BMNXIrwwoEnfoxKL
Vs7lftgFwa/+kJdBXTDeCv0gar5TLX8j4hqz7Skrbh45aYkunxErE3Cm0vYDF8EZcPYMzLzvOjJ2
7uLsPSoe11xD+thlzOXxJvdzJphJMrfqLjIl6orB6PdjOW4qrJuz1A8UTx9VJ1NaLxwlswt7RCyo
rOSGBIOfYIDwZUwRx2SozmaWlobMdhlI9uk5HvJdNqS7WCN2ARclMaaRizbNHCvvtnqc6peye44A
EJpkGx1dWv+l6a9b3FRvSa5BpBuUTUzk7Dw8vTBsEfRN8FS3I2YqxXeobdQS/pvwplcAuPT92YAz
tkAs4VS81YGZAkv3wMGxrnv981A0ELPRZkoG3lK6l/UZUxFqt+dslcEIrOkiRu1XEPgjdPXhxzO4
P/ofGV6D8nLakEVQj2b8dAOZFTPIB7HOiFo1yBUI3aH5VsfJxBmlz6x1JUDGV/s5gBokGfXB7GvW
QOvMjt1Mt2ToC6rK/Lw5qbic1aHiZNhMhuEJ711bmeo6HZ9ZDMAe9UGmUG7mNaG8sf+SMkvBSDkE
Qo2ohmVddroocuYjyngShXqDtlweCzppAsK7cri247BqHxFUjM/O2LcKEzAZMiS9Qjjdixko4bZN
WIMAfKlxTTV5X7xS71EwFe3LAC15SuB4ggOtVz6ZjkphhSeRuHh1agABS/vWo3gdlzXdV6vdIgmu
QPBypC4j53y+lIlMnmndez7KGFeOtHKBfnsZ9Jc19ZtKoyfSCvXfM/U77tq3fgbvS8lOgfy4JmGL
X29oPusFcQyeODSLgCBGnFjwZ6T3NVrnJXRLKYzXo4h35Uuu/fqlrZAq+CUJjEp0rZJ81bIZFNpP
wl4+ajVDileLyVYBEzUsJTSrBs7mFR5g4zrKYzvQEh4FeBCRJrKZdTJCkiZZCnPCVTNMkpqYqj3G
1X1Gmuxs3WrpsVGJpOS9OyVcqR1SgRjFUjcyu8cOzchBAVpp/i0Wki2LuPuhA5CH/csIF2OS714S
JV4cuu0zXwnj3H++ut8mYuSUd4zpc+GJDKt/Hgs5Y8vkKJnVFLZDPCXA4+gx4uFUSHupJn287Z1U
w4tong5+SbxIKTCWSBlB4ISuMOILSgz3Bekm6eVeYwnGY/1C4raYK9jGcQeKVMsWQQYLK3msjKC2
+rKjvqzRDmQY1iegZjLwKuNTeYtY362mwhTTcjkN/c6gxKwYDAquLI9eq+C0BmDfl8K5rhUMuEGp
cK+XmxUma25cvYtN+ps2uJmIQZliBx+Zhtody5cueV2SqrbYgkdXMWb+MsyLaJC+FG0AUJNHbRXL
rx9NmzEODjiNapy2yB2L+8TXNa760ZafHTErpdA7zQOVeCJLiRuoC2FA2qLKQeFEjwn0iIa1VrYr
aV4esmh0G8OAsiQ1dmw812OoUCnMn8n2qfdMX7NUKi1dKe5CVavYntMHxXEI1arSMMYLx9IRxZmv
qQLEDeFJSt2QIgSJmlWWqdhoaW5Th5+KAAWRnRD31fu/GFmcSkacqV4k9R5XtXu8NI990zVe7VKs
R/fZqP4gzBf/Is5mem2MueoldbsxqOPbyrAKgGUNGCIVhX1baL6U9ROrx9LU2EzYkR6NCuVx9v91
FT9XFCpj8i8UFftl+L7/RdinrIh/D+RAsP1P3/9XFS/8IWgKOR+aIJIDJYnU439V8cIfmChj3KyJ
AlbKZHb8RxWv/TEXMHXC8llSyQlVcT/5q4rX/oAuquFJJRNYpQv6f6eIn+v/7Oj8n65cFv6UHv8n
uVSQt5iKp1rn4T4boCuDKnfm+Z21PvzSjtkTc5Zzuuj2TQ3mm67iEuNVpJhUCzThMuRkGfCOE5Vd
lv5/X0Ckw3gBCzRtW4yFRbIY5gXyuZE9KEpwr2LMpJr9qBFzjo8pA/fPvN6pZHIAl3tI6BCwkiOj
hrQH3bLsPS5jpv8o9baR8WYRTk/+jz/TmR/p5FTPhnDzhJOFBVqrk198yTDGC2S3nDEudyf+i6Jj
MHeYhY2ziohLJxNOdcWvlCDejNrKrHFJLPEWWOebVFm0eEhgsyytiGmKab8xFhzMcbiBRKgQkb5x
nFb88jMCFySeDk+mOdcx8e0UU/h5AYtTGNgJGrMlDffTelS4dXw/cE8EM2jg5k+KVACV/qh3SzHG
QnZijs/VdYPA/LmylQvVCzcFaOvYTNmrdWWXMRki6Rcy4PlJls4ISgVrzgyD4G1YiMFVZjgP0vMR
YYH11T/YQNRz/DA/lDu6Srff8oqTHJ+7/TymKwpKLQMKD0dbC12BM/Ox4Ha2++ckvUL5Ut5eMfKr
zCUFQgnd4C0jnfW8cXG9lSfnUP7hpVQfC027zq1GuD+1iaRLV/dZndcphyXEMTPZwiD4nYpZpIYk
Fx2qNRBh9d2+LqH/IpL1e8SWTzFFVBRp6ioL5vOHEc3sd0oJ07WLDiZct86f71OB/nD5gYPqTUTa
C3hYAtwDsWB/SzIfwDXoJROFh6f5j8nGo1v3zVp/H18wA9/0L2k8dxDx55YoWiMRsiUnTLVT3ba2
gVgjyjBpNSLXmxMtH2/icRnhoFiSoI57GGmpjhzbcPS6nU42iuyUFb8DEZOhcHCi6TvolXllQw3s
vjMGZ5XLpAHblFVENwGpUljTJOoPyAd8FyAKBFaKjsfI8Pqnz5ygRaqFCGKOusXtVeKt/GfuYJCR
+jEHHDkpKiMXHbY2A19GBLKx/OJ9YRwBNWZf8vp5IS+rAxRFqx2wx/PCRfHZtld6ZmyMoPRpW43F
TBC1eeYCUlRQOEVNojmIuWB8LKxVuUPHtEPDI4MxRfKnUh6lFFNa6Hn6h/xiwNvQeoKgMrZG2YC2
jZmLlU/zdhqZxVwleNsuxvOQuJO8F9ivXWNZswX4vYeJddY/eZ7Gn+ehO0O6ld9h7BpLag8Iy2jV
pqGq2+5TbJnx/n19NtB8kFcFpGpiY3VJPzoYZFgGEVme8jCa0ErjwRn4oFl2n+WppvqcZrOoXWgJ
nBJVLy4sk4RgMqoqsRgA1F92Ml4qnoGm4TBz8fe61uCpvZ8UI9wZ1Ms6SmuGPNW7thMp3Pf6r3iv
l9pqYBvYzXtHT20qvAhqyeir4U5kezwyKw9vIyMx9SDJ9ihM7HSlgXVBejvzCBAQRnfZmhc60Ce8
wCkJA6szV2XgDJRAhQnT+ayfi2t1VW/6bXxKuG8KRMW3j23OAnxdIBfzfCSOeiF4/auJzXUJ3yvd
xAFKPyTg2CsYmwLfgGyHZVu0muNfx2iix+APN0v8RFntkZtj4hZ8hfi58kcvAbmy/9rW8xW/axvE
PJt8RZH9OvLVOaEz8SczyPPraLDk53bx9Gdv+ep5I7OlFmqb+NEE6XUCT5+h21rA7U7yBX885QsF
kAefvwYgVZ/i7iz+FaPn10Wy6URynm9QjSP3zlikMTGbRIuF7uNLOFe33IHRrLaQRezC6Q61hGtP
7hIzzy5PKhp4AHIOVbOLx1rhOlgsP5j6GgHe+sRzGAvhPENWIte/ugQ8VEMIbxEtGkC5yMwMtmn6
sIvqMGrg8kdodryhbMqtG0m79OkHs//F3Xk0qW52a/uvnPrmcimHwZmAkMjQhO6GiYpOCgjl/Ou/
S/2Wa4fX5VOeumzv3W5ACBDPs9a97oBFqU1uhxgiSzLgNvznPDFZZhlh+IUWVr8YoB6vvuutOFh/
jLEGa5ifFsv+KMEjwT3O5QWL7pggqs0KODiErAaMhI/9kZtDBniv3ZajtR8yvHubF8BBM/p4vjM7
ZZZfrE/jxjvFPY0b7xAnSrtGgmv7ofEexqN3Hsfj7gWf4HBrdXL4HGXmrSC4cFzcJJgKrHSL4BeH
t1aQ5n11WnIkj2HoSbGmzVO3bYNt+2HcznAyVua8P/KOcI8ak1nA5SWPJPr0AVeUj2nkzeFM9GE2
qAhuyYw7eWizOBZnieC4WJIfDPewP4qnlguBaN/IWuGEwpDdJSXZm0z7BVeFhOjLGt8tDsTnfOY/
XvB3PkpFOz4jm5aE1XO/4NUBgV/Z5FJbxC7MWd5fmwNmK6HdfnBULiBibgEYuUzsQXG5YsY3kyiH
dMZHR7hSPVPX1jPHaQ4cN3GIxOXN4kH1nk+EU1DXvAoIg/I0OaR22fL5JUzqLjIjdGcMxSVHb/wE
8ksPWebGT/LJQG0SrOoF8YTQXIuZv+bkYXvaECaYTU0tt5vlCw1iZjcbiYkQ6ffYHJ6RDcEmYSaG
ZZDN2PKZqJoR87GmGW9rNlFP2ky5ih/qZM0alE2QxrF6QLd7ijcYyzEvSB0xgVvs22b+YjRzMQYr
4Lhg+1NtRFYmJRRaTKFxk3r5Lmv/jTg8sJMhSVTa1MSSDCj+9zg80SUUwj/h8H/1+D8reOkPKnca
MmNMUNGs0YzxzwqemwxdAWzHdk42vyH6Hzi8iscrSaeKNbYHGi3FnxW8+YeKfZ1oqYZmfLvW/pMS
Hsj/VxHZ76cu/YbDm93gNZlfAgSPppwhpCTpZYDSIcVYMUxpAgkQDmyDYaQWK0sjVGdZ8upDYjGl
ZtpQ4jakd6QHLYZz38uvJJwhDjA3WStNs6xkRy3swnyXEPicRIP5Ubu0XqyXNCTfOrLb+zadEqIV
XuWEQG6kFg1J7CLWoE7WPxOCOJde7gzORtnZaHzCHSrRgrA2/qQzbjX5r7tH88fZiJ8ewbLEN8Qn
g1MHB/bsBqqElSDXeobQqX2P2xHihCeVwdwRD3ytOrRwBweY7ygvydeDKCHbBss3yeTZrpBdlYkl
xQq8sRf9rd7lHw1tOKZSvepPugw7JIikBZZlmFKcRZZVWKPAXZOY/CPI6mSuY90CwnD0sLBFVYXx
oznx3iQ0IN7EWAKBNyN4Oo2Z91IgXeRXJN5f9YdGsQIjFV4PdJcltDfsHtoaoQLV8EEinBB2K2dZ
T7ub9Rm+GyPtjjmh9tXd7rBsbuiM81dIBOwmd6c15iYGOO/+grl39Iy0S3ytbrU3ASNFDGYF07Za
8lt4QC3KOXVm7sp1dKCYQOrQvybPVOVMvZNmO8qF8RtsNxBdhhXK7XrT0uBcqcRQmygra/VY0sZA
drxPtHX+BDmA6gq+xlN3oiDmk8uXVjVREZ96DsJ4yj5qPlLTgteaNMIymjYWy/ep2dfbGCB6vD+F
/GNpFgJLN0aEjNqp0kiGxVHdkdAKE4R2BnJk2BPhVl6g0OqKRXj/YK+DDVoJ8C5w5mGW3DxFIEF8
Ng8qa+HJNA9ye1/zrkfwxInUq0m1SO5fJtu+kwZ7QRBHecNwVoxwHYkudckDP/amvFHkzjpMvZto
0uA4CKmBzxZiKC65DRUVIWMJ1B4f4Kuut1H4kdy3Qor7X4oMSMAAR4VMou+hJmeZ092RRy4jxfFo
7LppbEzHNHWhIMXRn1ntAezmPHZr7S5ZqWwA6hzUkTkONPhJ47KDHdUNqZaax76uz/EvV/RZaO0b
7x08rulhseIl2S3xU3HILdcTu3CIasTPXAxe8ABX4Drj9oEDfCnkOAwdA9jDA98Cq++POqHjXqkC
cjtKQWIEHll0wf/uPQIAhjAsA1BFkf4e5WGPYKX9fY/47fE/9giWcx0Br2VYKj7hP6E80h+yrrIh
SRJZXESr/oTyfG8EhmixDCoj8vTLHqGoZH1zpv/ZWv5R7Kr8m874e4v4+czZHX82xfHVKvQKz9Dc
h3KXv7rc4IrnpKN9NFjtQO/QRBcvq+d5Sk8XZQrVaO1rNJAsh1UK4vnI8Qcv+mXXk9xUp5jjNT6y
qErAucnH20WvlkpOdaSVpZtEvjkVEwudMRngWgwgPTMaqdn/a688CgAd/3gy2BQCkPm4/746UUD8
frny/urxP648iAeWJGm6KGqmNl5eP6oT8Ez86TVVA7HkHj/ji0QAA8KDSIq6pv504el/aBqwI6dg
jXioaP2j4uQbP/zNjumnV25Kv115RMRrvXAnGa2BOd7ZVwxy5ig0AVYssCUgQUE+FBfgD6SeA/sw
XcIedCxYa90+S5/kx54bvlWLuYH+GBBlWDw4BuCPXe1BU5pTdJHW0aW/9VjhkV5JrqIEC4wym1wQ
VIabRl1gDgZCkNHZiTOjcEE5zeLM0zUNNCEVs5bghX7F3PgiO5c6M+ZgNhXcVg6lvoHsrrrk1EYb
jnKthCc9PBJsukJbGSPZzWL8DsUl2M8D7lOF8DQs2YRku3wi/WoHSRKLRG0mJ6eHdNTwWmAWXyv7
WDyxN/mYJSqvSCsbOhP1rYxv49QvOPFDOC1DFzNaMNSFvsDT0m2Fp3tz5P5WcyUxnD3Oc+jl9ZM1
O2DZ/5E+ECrs8KzLjujMV2NzHs4K4/hojjyPrq1FDLC3OgymRYhOvUTwj/XNA1RGXuT6mWNryitS
BhnbyC0cC3KHCIsMtWmINwiMaqcipQurrNZtxU8OQwatQNsZ6E/aMKn4KFCb5A55cd28ZYsbIYCp
gI8jb7CMf78zbLh52OTd3sonSrjUESigrEF0IOWHXCHhaK/PSdWUcXl7V4fnISAXY+4brlevyL/p
hhNQgNUteDS3hkiw87kGUw9Qyz8r587Cz1A6Z7ljAkMRlwmpnb571OGdO5f+b8QIUpt+GY5yhApi
mRc23jmRvKMVDxOnPVWAhAiHpDlFYq9ANLZcKOciIC5mbcKHCGmxdhqmgwyEVJe8zZQQw+mgvOSm
o5PYdNYW0SaPTlkPRIkXE2pgEhDStRI+x4QxieaFh+W5+2hAtetNh7No4Oj5sZZmCYk6+XX8jbKz
lK2Hp582lf3LA9zIIFTlhftb4X7A/gXHhCw6M0iHlUVGHbSSi0UiYiXDK9mbEV51JCxKq6TaBcmB
E26rrU+/X5kTTk3tUFkhGVYDgLHm6QFKloKbaRg3yShwunXvrf61C/W4UYpMheklWVUV5f8YBFEi
/LpQ/9XjfyzU9Huiqsr88d0t/rxQa1QkJhWCCKWLHeLHQj2WCKJEtMnoZid+N58/2kjFgCDGdqKO
KfLqP5oEjcXPz2wuzlyRdTYFXZYMRVPl37rILE88I1Uik1FK1azgjwyIzCUX2nrVLwzLdIPNcGku
1eX74viF6vc/Sf3YpyGjpP/9f1RJ//XEP7/lhKX8WptIslrTNoqG2+CG57uEdA/hwazWumH72Scm
HaW3hSPPHNV6ryGZWrMEv66WxAMI6xoWke050Q9EdxPZjY0i/JQM2wYaQvjK3cr3n8Rsr8rL+1bE
lB4RN0lmKdnOcDddpXbVYVet++HKIxVaRgwg9MkdNa/5JgQ3Hm/eUerbojmV5WWfuF148Ko158ik
XKaLe42LDY/glrq9BXt+5LQ4P03c8wPZ5WSRS96OPz3X01exfihLp3/YkU5H9rBxOg+npGZP6b3R
m7c9TbK458Ub/F+FchfOdkKj0CFd4W/F28lfKFiEaErEctU4GOwhMLvQPuF07O2x65xneHPBDmHX
CBnwQ5bDHNLfJNleEhelRSz24IiROjFMpB7+zWyOsYlBy4keLN4Y8jkVnsMO+jC00qDbx/LhAa+H
DdlfNeJWiM6DxQK7KQWUx8mcxIwEtd3S5E8GBHjUsIJAI0CLiv5Acw+RDlM62kHVNXSEmlcvmDM2
pJWNl7zOMvEn+MPMdWlhxDsv3pfdIsJXjC68md6lndkcmDpyhjthq6VLUSUMRpmXh+zUPpetbbwn
J5lEe2oCqLcYwY5RhZxbPpHhzuL2QqxWB/ih2EZ4EOVNgcBav6k3Mqc1iFtmvjW5LLAyl5Yahojs
D8UWnwZRXmXaQm4vTK1GWzkIHvqX8R5ho/MetSthbkBI9+e1dmW+ADWIoBx0M0id41m9J4/6ow5W
5G8tv4InpHB4u7oF+fTX8Av2lKSisFEEag0oEmyRIj6PBDPfp/Cs0Rj2j3n/TjEgscONyTm4cKya
0u7WuEkgz8DIm6xPBADFiXbYeO1w2C5nOf7lMtoIxx6KHbLZwknn+rnFERzuUvjE1Eo6YWa36I7N
0XoxXh7XcpPsIkd6Yf5BFIh3SaePzf2sX4ZsVq1wqTX3cJhHp9oOm5tgdB1D+onvwTKFiY73yUwj
tSdzoKofdhAt8MCwHM6guCiKm/W4N+tr1X7cHetWibCw4VxT7DCMnVNTjJQU7FwYe7b+9F0NVlCZ
qDNSSh3Gw4j6Sd6NV2pov/tYNCVnfU0Cn76mJEnmbbWB1AnhVBIAubDqnMJhCGeYEIdwy4MVz/bw
rlQqChmJyhuZukZBOw/JH6yV5Fjx2Cy76X1NZCy8vlM6ehS/52gvB5fpDUL/d0V1Hmz4D/8WW0cq
xylPzvGIMRR3UQIojD35/g55rZ1AuYFaAxFsQFmxzrBogjC5bKE3TYBZjiri/ScV+ULjEmkouHm/
KrbDMyyRV1yu16F1IHrYW5uL2DFpt5qBVHlbCOZ3ZaYMsyDGhqmd9uHNGHYmWvHHfS0nuwy7Amuv
lPjaLpFHCCauF9PEv2i4QCu2omzkk9RvDPOF904+aVt530XT0Md4xDsYB2P8GXY46nrN9YzBji3S
8dKvMd53DjN9DD9skHRG+T6gugvu0qTSrq33JanUdvjEhfBr8InsD8KIksz4U03WBbbF98HAA8Xp
amZik66vbPliMMSeS+io5TFkXp/ogXtLbcD3gsfiJCJzI9X1lNZlWlylLwx0GJBY5v7xXsqIR5Bf
z/RsUSmuf4m3/VinKU/atd/L0Bkn/t7DbP4pEmY+3iME/DAL83ETj14Q7Do3T/kAFYTNwCL3iB1D
b+YCqQ/wKK/qkU9NPA5bH69KcVopmwze/RwK7IaZ9qeAZFPeARMew9xmIL1SGNBhTIRhMAo5uGiM
dwrFaVrwn5gAEdyXasTgmETKDHEe6MPDrR/GJ0F+8cmGT5spFdzJ28Fy5RwJfEJtz1SwmqVsAGUz
rXEQ7qfDc4mygS7EhpMm0OCkO9FijuoGjAJl0J6Z9nyTsd95QRYL/V7GReeVbGcJWVp8bpP4Q1JB
7wzzIkgOa0yHA8VgU32qxUq0bKFEYLYhJGL2rOCYV841+9tq6jGxn85fXzjhQNYQTnAdgTyFPfGL
eIgw7jpjAGgehEtybucVslYgKqSiyDaX8JzBuph+8Nvsiio23elv3afJJjCnLGd8Uu51hEmxO7CU
Zcthc24FO+k2DUZOOGDlyztWK4zQ3sq3+o239qHtMu6oHqV+qYOnYfiNXjVwFQyhSJ2Xt+K128Xx
VKk2MCl07EJC8YkSpagXcvrSHpJ3Fkg2Pex5Cu+95ctegEXWqNj9TJkYLALh6EvKfAtKi0msJgmb
76b4RNafCh0Sb9g9PNKX5gJ1JO3n8LIqT5kwoyXlDzFEP7fmBqiiXTHE8q2PPrgWQ2+nhYXYYu83
qL+5EBGy4/yRtXMMIXlHhnN9vL/25kHa4MD82Z1haUUsm4z2jFmOzl+YF6S6tBMJOiVG5QRwocZi
Rnw09C3kYXK2mnOGDpoEyXoX4nWFkZZCvkd3d+RkLsq7ku8FuTpQPsGVOZowryC7KBvtuV/ni/So
nwPEz4+3cm7O0lkx5ktucDwWr5hcYo4cFMQ8Ro6YO2FrzWU6OImJ1kaA22I46QyCGizdXRhMe5cb
dGtWXemmHjaaaDueFcEiWTYbPjt76WnjqGo4S5/d5ttwQvl3w4wiFTQKDOAVyleq+b8hk9FDUPH+
BjP+/vgfPQSQjWHqpq7Jyn9yBX+APXQBcMboXohB/G4UfhpFKdzbkjXV0EcS2s+jKAXYUkYwohNG
SIDiP0F7dPG34JLv9uenl26Mt//EJsvKNtLbR4QTgpuKp3u7ftNvj228wEZTwAs0QScbuZX/Hunz
TtnLJGg+cjf2rhG7R74Vb+jZqP5y8mxd+VaEM1neNKdO2poBEdMX6dReNXMin7W1ss4P1Sk7BR/V
mIrUTRRoqzyFuFW/lHIuoRrpX/pgUw/TAVebc1C9MNHo+xPzB4gjNZraeBXoNw8jnHjm63ZHRUOq
NFSaXWbsDFgw7/qnyfjnlYObfCHIy71mxRLaD4I/kpILpvXs390c27QUofaxvXIA5FvcWckWWuTI
gxtg76PMMLdKihk/5MscetCRA7TRVzfgWAUsErxIcNCNUdKHdxdTscKAfgeXnbhnx/AWEiQUxvY7
/vYJtgq22vpuHCkYMUqTySnp5wMc4I5YhWqK0VfOZL3G0kwCxNEXMW6eqD+LAzeyQnI7x5JJdElG
n7JBsam3RxwL/yFOYjUanMUu1mYGkRQ8zrIhP1lENOJqhHOYRQw8ro0La+U989gA9zioDAcipbsj
f7CuYgqmfkLUEbvR0ax86s8s1VB2NGoQOpqjNZJ7ZPYf7OLMiQj/CyLw+O84ZeomLW4hV40oCUTy
nynLdE8yl6UulGoC0sEYaoMEFRpX+DS8JdkYi3Ad/68DaSY/2yc7gwYDDyP/sxcOSrLQpBkRkj62
JeyFY+wDJvmT5k11C3qnef2syMzjEBWljpG/SKYjbENkBUruVpzUoXnBYPeRDBNLvj0QC7mVZ0NP
fpwRDKSfZDTQ16Ba4Zzh0y2d7kV56pbEsxPSXjvdYzaing/wtWnVT6Ao7uJnNmLL2+d8vB4lJgSk
jFz5+7wnr1FG8UCuyzP7fY1HI0oPYaNzJWPXU5wgzMvlPEVu2U+w4ZG+YOH41axI3ASPlOfsWcXG
Kt2VCP0wrcB5mjp3DJ23Nq2Da4Nhd8uMMs7RUb/CJyIb7N1Ho3+Wjxn+K3xzMBaeQCWCnGCOHAuc
9ABKYQ7bgbF9QBmEoszGSQQyqZD3eQsDRjs0KXU6ivAqsXvrXchRvawEeOE125S0w/iGs4EM6OJn
sF5vOePLrMaZanK7pftgfm7B4kjkRUd4x0tYXjREA8H3EF9CEgaNr4K4utrtC1uTL6UO3RGGBVa3
ynpIZki3yoV1x0/GEZYq+TvdxnzJpNegvj52eu72K3WVktTlhtZT5i9UaZoa16Ld9MrZ0rZRt6kx
hICAhzOnPqAbcrBL9dQzoZBDgiEFUm260IssbJLu1j4QBSIyTpCi+M9NoU7rU/V4Ecp3PXZELKm6
lwY7WmwFblQtvbjVlCcfHZSoYVZOqVLP+6FxAMb5nsEQreYPSSQ28dOimGybWVGu0qDcC4iOHlAb
h1xdi828TQ5R/97pS7XOXZmZSmu33m7okb63ebr23vse2hr2dHftraQBYeVRzP59SN9kRACrblMe
y50+L3faZ330VvBq+LPcAzk/a88KlDyYODTh6/zjcVHo16CIglxIE2aXg7HVLGaz847GZQudJn16
dI712eiXmooboBS7E0wwh9wBUh1ZVAYN9ppciBZxCuPUN+KF4N5AdSJs/qMjpgscAkdFLgh+TQ9/
DjYW9HzJqethVzTqXij49g9ePG0x2tWAc3sjejYfuptbr+bQ7THPlAxxRQRy2kNbSIybB7afq8Wr
XObrhBKo9e7bwolfA4UQ+0kkaoAnXN+dejXNYVMv77T+8b+3JAFBBHokwBjmumJKuvJ/TD7hnv9S
kvzV4/8sScQ//lqiKv5ByrEqQ36h8mC0Cd/mRz3C6ehgnaIuixIi1x/1iPGHZY2sGJFmRZUM659h
msY4Xfp1+sTIVaVmUhT0rqI4Umd+qkdqSRbKDFjTHRTmFJUazJUMo4D8obw/MqK6S8LCh50nVvpz
1cH+IERyKldoAetA3kMth3ecGEclC+HWRqtAfHzcfQ3ljmsQJ65i81GBYgxhWYG/oO+ZpGwP9SPb
5cgB7+lOqSJslaKP1pJjRzLl49BVq/vY4ofeLoe360vYRhmwp4eKPHj0IogGd02lwcD2WE2Ym70I
Q/pYZiWUyBxc09KzAzu8LWQGJFfo2u2g0rI2xX2dx1AiCf6wziL9eiFeHsNnIZqrtjlWPAhPosFC
aOXByA81r/1ogpKodRlyTFE+7JQdW08Okl7NW5ZX737f9nnP5CeyqxjF3b0npU/7Co25odQsxiHV
wEdaKlDyOT1DcYZCmAZ4n+RhuSzR0Mhe6yYKZBWlWhi5MdWGa0P773tAWNLrXUzD53uPAk+tIm/j
h9j4Vekj9qYZW6Z5B7pp9oHVz0QFwU/kG4RllAdkESjr5FucOqEVf0LAgh8sQt3XYGWIsIHFNMAe
NFG3vCPbSAt05+4F+FKCViTBxUzrZZ9as0gW10UPd16k9yrxVYaOXEXlonwUC0XSFyXIam3iZJUS
XxxkdjmsPLg/Q/VcxIQSCWw0lKKsfox67Uxdjr8t4LxLOcfJfcBdDLgl8tL0U56czDI6icwdxRbX
N4/6QwzUq6JgMowmVlC9dcWB+96yB5Emu+3xaxLSlzIgzUTUn0ux3kdesTV8WuF/7VyGBYhYdxGF
jmLSwCj63/dUCl3O7wvYfz3+zwVM/oMlQpY1Bt4i69V46D97KvkPXWXEIzEjF7VfZfbjQqVxShKs
PwYwEgvmn3MZbhrVOSx6OuxAQ/tHPdXYnP22hP1y5uNi+fMSVgapbPVRT/gzNZInpdtep3rePbyZ
UDAOaWp450vMqhCX4Mo9wTt6mjksR5OWGFe4U/zzvoeoFWPQgubaVEdJ5JsBCvXo9KluuPfWes6A
GWLGIkkwFXDjUaEmwXD7qa/d/2fV/XnSo4xL/n+9lHHIBRUGPiUd7K8vJUT5mqpNgvcSVW89qcD+
CRVAjx1OMliwmG12ua0OoXPP+c5XM6yLzKuH4yb6lpiO8TJCWNRnDBCsbwqAYod48XTYjoxxasEL
ahYP4rBIcC3ZIrPkg3mOQfJoWM1LyiUgxKMCR99/AW0CQH8vFsjewYdYnvoNrs13uhLyT2N6z7dQ
3WowdFNHx0WtforfchJ59/JpzNcSeC9vnvTZOvEAIZfYY6DkykAB5RbPkTgfoGAvC2pAcBdMmITq
VIPej2zC3Dupc0jO+fZx0nf6Og52oyFSSoKHg91GlMMZ+8TMBHepx9RziEjExJi4ZYBOxEKqOX0b
tf4EHDTT8jVdxFssPy+qvEcMpFDkyeMAhunP+e7l0wgoX5hJWLH29B8PaTrKB011n2Npo/G/EmoK
rVhphJjIC2mrB/sUqEmbuW7DJAL/NoMBNr4yEMmpWEv8CdS3WvowlUNWHgJpSfKCadApMfhZgLXf
80WCM+ouOgvNNNjEhxavhwk+atWDQPDBVrKjSrQPn6O316L5UKyH7gBQbVakwU0jKlza4guOQqaM
RtYOCHvwZpa2CnBdRKTjjeboz/661ucP624DP8KWTia3AvNWaO/y6N1ri5MeJzNUOEBX8ZT+Zda7
PSEe/VP/lLx6IbTPp5TZVC8u6/AlGYXRbHIeUgzBUUOEkWh70LQP0OyIAqgRtAqtjjaVUNSOsZFS
7CoE4nq/QF4diAxlAC/mcksGirH1QqpUnCjoQsMXFRFTSxA1oTaShI0FqU0e065OciL43BjhpvMW
HDRdhMe7BLY89W/hMyMmTDPG7jzD2ElYKXtJckb3dX9BgsPIJ3iFi1+rIPWQMNdl7PiXYVMBThDH
RttpFKtsJb4rX6G47fIp3RuujZs6r6Y17tgUPn//hYZC9Os3mrVCp7JSNFlmxVOhNv02u1XvvVeH
SkBqiTOmIEJOIQeREATUYvgxLgvnzmwTjUv8epeJjfFfhk0LEmI4tBTQ8hFJHL0NWYrBggSCRWbf
R39Da4/Ug1wXu0BJMUrpcJ6ecvteex/eqf9JUp7eb0TvToxjj8PSOVoDAw/xhX/7p7ccoyDpiHYu
FkYnYe8zhTRC4Ayg6QZcV7ZIl07gPDv6rYBMOmZD28gVe3QTnyw4QEkn8drQKDOs4pmQFwMW+1/D
cew/Yls/GxBj05cB0UXlWHOaE/ibVsGl14y8TFNdcn8D3zGi1lcVOQ8umboxtJNphshrfqcbwp2X
EKcDZ4NF3BySJnnXrnRM3n1adGDW8UErLrFyKV4VAApgjalCIO8ss605bgYYl9Feoep5p967ciNP
Rxf0fdr8WC45oxQkV425/rmZIxSo+OjgSS7MV/ljEpFIB08EJukqeecv8ZqSA8oKMGOCWM78L4A3
ekquHMTMWJS4PKdyGj6qC76T6RzlisurxAH0kxtKRDn9XDW2nfShJKe+34AZo1zk2XipnAuvkpdc
8Df+D2DxENCmrS9RrhH8tBrRfAHjWS1YlUsrWPvlFo0nb6VHxNiMOGzUkF/yVpjXywy825UWYNgC
Dt3YYs54Lfr1MSJWKOWiGxJWnwF5vuw3zQvCuVxARom9Wjqv/U+tHaaFf9GFZHZ31dFNismbj4KV
ot2ckfXdYp98z2yT5dKJRn9Q6YWIm9r1F/7VUHeKNKvTdXiW4qdOne7k/BzDEY5tmW13WJctg2yS
B+BPSzOMD/gJfYdRrXAcwQiLa0jH2JmTJiZHoFsOyY5UBIfRjAkslT9JvqsNbIyY02H9x7wP0oP4
JenvesJLTkwocwka1HCB14EHIpDb/vrBNEKdoRElbA8YB/2VzYQ0ABsUHf6FkAWda9iSSPoskhkY
r+jYKTS3MLjtdwqD+mJZ03cDhjDDHVhg5YX6Qd6OLGhM9bfdgRRHvmgzqF+GoyGkw/8WwdNBeAYs
4qd2z/jWuvGE7HyMFrUpPyZz01vw+2HLkwvPXmnnCJosRJ1Eux4w7LduHUl8jBi/J8LiY80olKfh
bJGVDQe12uQQ9EJbLy+Ya/DhXIYDE16A3gFpTmozCQsgRx8QImG5gsQX81LtbH2i4orEE2c3qlpD
9/HeHLgVqRDT5xUrZ54jD8Ib8NW6Cc/tnpaLl1CNPDlONB4DDhgq84xMzJ4tZEXyFsIJzQ5DMzzQ
VRx72Gju+xrgUlubKtmoUOl4o0c3FGbe5SU1v1DTEbT01LU2k8s1r9Gi+4CHh9/fHRc4IoWW6R7o
JyDtGte1lGSnMQWHEm/SkSYPmMjbiIsLP7Rs+NgEbTLe/nCJL+bI8JswW+RbUW3wyRGvz0UDU2KV
KPskcfD3sPstEU5W5b4B+0/zzr573lmWXjsEonl/qqv3JiAYdmVUH7xHWflVqP6sArdVkGkjxjPl
yVJ6ZjTpX9LADVZ3kgOSGXI7biq/FXw6tsUtH2PO+R6AC3n9gnVMcEW8zws24IXwybEqjxwKnG8f
C9QnExgS3DPAydFtkZ7OSusjILI7d3QcBaf6CZlCeRkkFkTpRfPuz5X6lDDHCxzfxXmtP/LRJSqw
ZeiiaEPKZT3zwbZL5G7V0ygN667oudTEEXCVxreeGF2VHZ4rZMnGua5vCb7gOv6iITXRqMW7hQGT
LWd04X8KXBbOdMb8yj6PmjJpppOzagDXcs1n0xotnIHgmRdmkflRXqiU+NQQDrDBo7qeKFPlC7mo
gJNoPSWGim4VlkM61JvgJXih8E4mF7ykV2dzjkwOx3l8HShM8IRMnLFwEFosaZc47kPAq7i6emSb
jsJYEfYQ7upwKO+97X/pG/9LWWh7Dz/ovUIlWk36t+zuDsyzkVNk9oD8C0N5fOJ9JzBnFslWAOPJ
K0Z1JluTv44Y1D7MCb99pdJYYPnDhXDr3nlmqun+ydcJyTsxF5ZdUr3e+6kdL0jIGnfZ3G4cFcBt
7uOKj5d4bQtYQ8KnoP69MsWtiRYec+wayWnCFau+3086yjTpEgx784qTCzGoC5lVbAxUGz7ylbHQ
t/mbYecr+t4SxR/oXu3o4zikO+jBSyi6BdHyVA515iJ6UPnmC+zf3nDWFdc7Y/RL6BN2uMXygcMV
ZeN907eujDRUxPFr/D4GdDhCvkIXo+zN+NA9kUGCfU76qhFcDUQtw2xfUTCxPeDAzBK9ZpVf+72j
CeuAhAM+08ZmfR2TVg36qYMZrkTeRJEkYgKY20WeHZQ3qkUTrPizv7T7+p2ilJxf3L7vi2bq4dS6
K7Cn3svVtBfcWnB1TDX3L9gkL5oZbsiu/8Z09sVahDv9havj1B+La3INlg+NuhCnP+si866OiEA3
bV+IcdRwOOAzIDiEj7WcivCqEOGSgcSQA+D3DaUSIhSBkCXZqQgYIXv1vmpQfx+Tc7TMuGLVls5u
pudzXvbAewstR3U6kki1pYmTGrUt5KRgWemkY0+jdNTFDAJeVUQ6TUfPrrjfV5fwDfFUxoZ7VI7G
uiAQ40qBdHfQ1HA3CmOkN6PGmgyICek4i38zboG2Q6Q+/lYOWiYA5d/Ngq3/xi3+6/F/4hYAr8xr
QVZBQyCO6nTTf+IW4h+AGcxzVQtpgDKioj+gV0bE4kgzFXUMApVfYQsooN+YhsggV9T+yShYHiv/
35HXn1/4yPr8CXlNCr8NizxU3JKpY0WuAJ7ztMHdrKlRLJ+EQVhIp8SLTmO0EqXK2M2JBKPhVFS1
x4whTpTXjsQV1edcaPECmowSbH96e/8CkkCA8xenaQJgm6hGR0nQ2OD8dJpy9pBiSegwk0gNu70p
pGaQwd5iva3cV2rtmC3sEZZmv/v2j2U9xizj0QRPXnAtO12fFF59MiDw3b1spq/ZGjFZ2xt8v2KZ
ijQlV56BoXftnkinVQwn8HppIuZU3ImvLO+IIiO/c/weZ2J1ASN+LUNnYgHr5IUabIdoU2SuKaKm
y71pGsGy93FtzmYUlijz5xDnRltfs4b9Ga9GXpmUunGIzwGsDJ/ENmWH7IDGPM+xjlIR9Rs1cZQR
1lI+2AfBSTRLgBlam8GXJfuAwq1BcIcZE55KJGHgH4uFg/gaVGABOZ0aroL4o+gBVZ80y9/DLL3G
hEIS40A9iOpZceVMuVHJUT+GMmT2/nGBfEddJ+vGexxX26q3WXfkhqRUR97reBnzzrKTe879hNNW
gckuq3eXkfwogK0n5jKQKRb5XZ21iwFIILYLeofqXm1VKV360rGDwRMBXUUR9N8S71MFtw0TKkq6
I7Bp5xE1SyYCazqWMc+9/2zEiw5ngwjb1dxwZVo3Yt1C6dgw+ooXjLhUpJEQadQVJQdQMWK+84iz
1Pt2SUsVvqVwEeVdlC8qqJwKXEwLYSEJ9sgDpq1lY9A1rdoCD969mT9mxQPIfuzieMCD+DI6PNhH
UbsooRAWFLW1K15riE81dMZzz6Kt0B8JJQQgPFnBEUiMGm28rOrkR0fvk66shKszHPM0nAlWBWfI
nDyTg8qBunTDs2RxNzJ2VC6kO4lOyCO1/I1+DWyb/ooWBKnhg6npbkg3/KIfLubwxJ+F+Ew1REfH
mQQdAwEGH49oGXfbooa8x1gQN7JjwkvjAubIBuxYAk5XyRp9obDCCAZt6f/n7jyWG0ezNn0vs0cF
vFnMhiQIeitDcYNQUkqAhPfm6ueBsnJksjo76v93Ga3OkiEIgATxnXNe567e+klaOCy20nYKGNHs
6VfpdvsXRm+MtKZgEPSE8DuUdbOnkmU6IN7W4oZOudgNjecdz0G/ihiSL7rutlzn9ZLeWcQnccmD
+pcqZghy1x9puNmXfs9ht9tiwWLIoYitHRAMuu7pr6sFXTPlEX0x/TVkGI4nYbhoD926NQaaZIqF
UcZJMtdDSTY028A5vA4bWF8rC+6XNO8cpliLaBkth9+14YFoF9tDW7GHObVGYdm/XJ+VO749StGK
Q6ftpXzpt9h6rOh6nxOad8NnkqGMBHElAFYqtIjDfqiWcqrpLe7i9+JmkHIuktkgBj1Jc3kNs43P
6BKSF6amK7IRgUeZZgnLBzBkuAErdseUQLfbPBmBXBXD+CEkCJFgtL1+zzvJlec+d3teViYYfLGH
/iW+9C8mvcmhxPQBJgVHRzM+vNQPGSRXaqLhGbG5dOpsxutqM+cwjC0gK2ERKIYVMJt5+USe05RT
IOLs9Ccv8opOgqulAXiyzsssIr9Z5FVZYUH+QPgC3Phl+5+LPOCEqoNhmjJYAnwytvy5yMt/aaKm
GzoKENBV+cMib/ylmIoqAr0Cm8hDSfEOTWAaJouWjpZEFrV/R/f6Ic34vMh/OvA37OLD6hkaVXI1
i8TAKXScvnikUcV4MYFKQhzyLKy+ZjDa0e2lmHuAOsLsDmTbLCn0LZvMRO06/NAzJY7iB9jtQY25
NTcxmEfNAfa6H9/DRoJiBL+20O8adQkdihWLv4to7RjbadQES37THJji87sbZbY8j73LQHTiUMJL
SQIDHwHMeGBqDUQu9ZVRTNtMoSMBzkoD8YhQdwHfWAmXYlwbxnXzUEN+PcYLhmRY9o2xeSlYFCfE
gYxKhjKXwdBD25NNfbLWitMuVAKuCJJxMrp85sFEHFZPnnNAr8/cFW+PK6MaeRiRzGhhxxDyHVgn
oyeSvu6l20lSl9rtSFupTshMmHkOhIxJvGTT/sAkxmyIPnhrtCkl4hkMffbAQqvc1lQJuUuoESxn
CFzc0/KxBkXnGy1PIVJPueyvxIE0LqcBvrUBjmeJy6JHc9qRr2SscUIzUeKNo123wsegN3GOXFYT
hVUJJEhbBkjKLO5Rq4G4dJY4OggpiP4KRkfJnplOLm9lfzASuqBHIVutV5eVvEFSONRDfMd8X7qt
MSDiNUgGF7YtPwIZoJPU4olBSOzBnABFjcmlxsArcurHYTDHN/pTPStnApoAyyagh8mTiGn5CAMf
hcmDvoKhAgUFd6QI59DyIe3m5EGMfJFb+RwPpIiCU4p2vHVKCJV88A/gosOOBtsWNnLNQxU+tZB7
OZJsurjCO+/X0YW/4kmFLcYeNkw2bbalfxfKsJ8M2tCRqn5LEAPGdqfPuwi7GibsR51ATGZM9OfI
Bcm3Vu7oldst4/uRZmzDU2E+IuhnrcmA4ALySYYQO4oW1iru20/9sdmz4tA1l7gR3XWHYIPS6KDf
6/d98TSsZbgrc1+PbidGs3DJGITU1Yill1s4wU44tuG5AVmZpVYmrQJHCfE1vlTtt2G8TGWQSkeW
StaiXIdSTz7QM/SC+KLfM0rtDqrixDhJ1Vwx9aUMD4xkwxklEOOeoIZkNeVTS1orj33gtv+2LnZ7
votPooGZrhNaL5xQRUGmcJA6rlXoYFVHT2xpzrgg+iaj91FGOQR91W5PRrPs5VXk7gxrphL9suy9
cnoN530JTBXQv458Rz0wIRHGDa/pxcOKDVkqvTNjP95D3oc4fmheIvwSME+Cp0XLiYnmopjnV+dP
XoJ0iabNUnRlMI78L9YGCMxZoz4vQb9s/3MJwmtel0wLheLgYvO20PxcgiSsKDVGZyDyEnyeoQX9
2Wjqf0FSlodVUX9btX6uQPxeGhhByk9F47/pMlnrfunfPh238QVS9rrQiGK9lxwfXHQuTZUpLh8z
VACquogLNL5c3VhDSv5Zwb+WzxDLIunQG2j9t3D88GAVji+tkuD7lSUiCr5b3NqjnVw885H0YpJE
KOUluR7CoM36HAooA+GpUbgPF7041ryHwXNDn4F2BOJdU943cD7IolGn/ZGCdKji6mNVDsWpBnk4
OfM5pF4CRFGxR9D3LvrpoeTm7sgxUGx1xZSRpwNecr3OKd7QYnKg1G7t9gcyhKtPYRwznLxh91b7
fArtqEG7wOB+wdNwW9GHGpxOoYK5hEIutLlNiEs8LusjFXC75QvY5mmPFfUdqBdITrSjtEvdMwAa
z53kB2GKvePcmAsc3ZIPVkXb+yyhYM8PfKPHF84BCIvHs5+U2tu75x53G/xz6qWp3DXjdhrOvU1j
x/PkWZpm/ho/P0fbISJFPfUYfLPurJWV35m6TmAvqSWx+NDd1rd2o6MiQCAuoPOHcgwYmo0Uatwx
Drq2D1K+18NNy8ycROjXbXtj2b673hax6c6G/1eDG5o/0vuxZYz6bz08mplFwe+EsK1CeuwsFBZD
qsk1P3jtIWU14+E5tK2GXicPnxIZwKseM2jXumrvMtwjMZKASLKR22hFIUO1YZR3COsqZU2BImr7
snhK6guYI7/vpUdo2ZQ8IFJMiVnjsKCxbIbt3nXVb2jYpWzKgNhQF3w/SOvBRSBaM0MkswewOJrB
RkG3s0C3z/PCvHxuGLy6M/4ItkKPDVwB4iDU5zhC70KLCCrExkAUt+il0ChuxIUR7RD068aW3p+v
qN2YkNqtcYkgpq4nYcdEgHn4sVVOSbJ3q2OIRf49q5pwXVREJZuPvUtaJZ54DbL8bk6JV5jrkhlv
TAKZZWcDiMvqMjWpsxjbNJuIrOhoh9O/BpZLc028gwH/vUPeNPMx1MEgobyP9wKuoeCJfMboO0V1
2SOx5IfacLiiuU4f5DVpfSkkz2JXoMm57vnXIF6BsXq+HIAdlndMdgQNssVE02115vaPJNCwG0jK
VYG3wwRUoBkTCd0CqHUTLPLwFwXIsibhrD7AMYbVrELQhxxBapr/WOmrCMfvdhCZOShgu50onMXS
qQGZYNs7ZUeM3NjaM6jI7ggRHlkCpZy8kPq1BgXXql/V2wbSrvwU3QiOtLme/XjG23S9r9qFZ26J
Ep50W/wAB9f4hXam/kEGSXg272kvQsZm9Wb8oRxq/S4QlzKQCuWdPAcC04hSVQH8N9282YYDlDCE
00JJJy2UcRDEM+oRq+NtGVXEuIJ8Dj5COJqOyKYiqcwD1gMIyQfON18egZriVjlTRXFlldhnPfDF
q1oweNgaa0zjF8I6faDKrW258salsPFnFBXFPMLzZfmq2QBGZHUA1/YhHvwg24eaN7ZFFn0HOUSN
77z84MbR4BKRSmQ2mdD0SCyHqeheTNARZW09h91Yx2QKc05XhhyPAzolMShaZ+vHRCFTcHZLNrJn
w65xgylpSz4+pZGdyCjobEtexJvUhBcOCxPDU+wTpy75zdj5dYQGvRRovAmNwMkduJFk6UsNNxvv
M/CKHBTLMfXWbtA+bArkmXifR8uerDywW0LGIaeU3TI6SZR/kxtukj6yV5iTbxaQC6O2q+vU7xYm
gUp64+g0LtD8jBsXMwwUbGldyQ4HvgJiwtsylKcuCRoYHX4LA7tBs/etciehOgrv43sieWE61GQX
g55o6oZ/I29lPeHuZ4briCApIb1X1Meqn0AU4dm+RzlmusnU1BdQQv7kSgcqM7XOoILCX28QT/2m
2ZYtetwvlc4v2/+sdJioG5JuqrJOAcW3H5iATNQhJTMU14c653OzbVnM3y0FCiFOTjoVys9aByKg
aFmYweMkAXmRouxnDNHfs+kfoUfea/IPs2p5IPp9brY/H/gXg4YEmx8l8lQGuV3CZNm7SevmlqWj
LGAkc/NjYZ1F1vWbWKOIyfsaan9UQwerxFoZR4ofoew1OtlmrHyF19t4QHjWVhk89RWw18Elz1Av
UcD1J8nNn2sBohGrJPF2ibImgQyI6u+nORTEXIGfSulft3+/wPCJ58IdmFLG4N/+Ps0R/5Il/MM0
ncvobxunn6W09teAy7AZuU6wVAeS1c8rTPvLGKY8BE/p8ltM1L+5wvAX+3qJfTp0/DT5+4d5jutl
WZLVZeEkNvNk3V0xdSSxYyAA5ViUwz5yh3KTATQEOiafGKu2UxrS+ERGgxdvKELlMwQplMpDr8jg
2WezZs/ogRhYYanfU8jKg6Mf4xR+K58TbsykPyk2+5COtLzHRlz0W4aeCyrSibgZGmApWZv36cXC
BNHOmGeTjQlDisGrv0ohiRFziHt6/nQlnA9jGz+YBoOQLc9mVI/SXVgv6x1jIELSasyk1hVg1HiY
Iu2tKY99+1sNJR/0H6DixJYwapwtcxnWpnSEO3VKdQLorw+FoPsgrpnhIwcE8U8Hk6h+ztZbcwGP
CN927AAXhTFmsSLh/AQRbrBexysefTwiOdWudzhXjdqX9ujl0JSCJZg3orp7a5otpjpaqHCwEudL
E1nGprcTDzNf+QNfnAs1D2S3kbjmEfy3O7O5bGFOPkQ4vp0u+7md+I7Hcz4cNA/jQfyaZwovP37i
1DgvZdLY4UVbWUv+lDjpVJlAA5kUkGHjabLAH5y3luPyT42zVTEIgWgw7s7dBhkmSD3KY6gD08bJ
GZUsiKRkKjFTXxO6LQ5QVabpFKHmJFhS3y8HJ3oSd1fq2FsWGw3L7F19J00gB1F34Am5rmBzzvq3
pZkCVmEbfaasWZprxndcaOmYqoHf4SshHvkJVxqcGVjVKaXwseo35qp3qGTag8WZXyi+A3RwG35g
zY9pAmzN7rb8yLY9ujKbamBF0cwzUEAnF9Od+lw/pD+iwuqfRKrvS7eFa5t3M+O+e4GMC89qYbwK
zBC5WGlMeB8dyuDrqdxfT8YrtCToCNnEpVVAQAESP7peIObyaOUe11BVnHh0lDbl6T6AMDHtz/06
tvMxdWZwkdYks5Arvcf2eHRbBpcKRwhQvIm7xDxrGDqxY3bR4E4QXbCRPiPb5FTO7B4Dg/7cyUyt
oktzxDB5+O3gK7BmmwReLPzHsp4w3GrPHFVHalk94bDaM3NN18SUmh/oE9c4hh/TRTmON/exLWPS
3Rx5MAfGaRpcgGg5qbKY9yt2aWy8aCs125TUT7rVlqRPQkGhDUw553TBqfJrd9k6DSp4tlfu+T3i
MV6Z6CKhwhgxjaOIl9bXExLXGZsDhXZHHuWm84bdLlp3dSxymxMNJ392xUMyhy6aSLupJH6vfaDi
4QGfFiTUVl+2f1+QwPuxKaaUstAwiBQvP2c7VDywejEBRDX2Ntx5n+0M2of/WPKYsoxC3RAlg+9Y
G/9FyaP+sh5x5MQVmqSdwGVAT/Z5Per0Ki2uli87GdTBm+ZCL2+M20JKc20tEIU3DXOj2ZqqLmzC
q2HLkZxNKinMwdQE01wJjNCv6TaI0UkYlWpOsuJ4o8m4YYMvRtJcubZjTZLnJc6oXgc9GzYz9wC5
NfB3yYYSSnorpoayyg01PveEq83TjFUhwwh2YXkxSeON9NImcY6ogeRpBX57rlyblS8yH/iDr1nQ
JcoZleuKkpq6+LdV+uCK+eWa/XX792tWhvKCDOhHvT24Wr5fs5A4VNWQGYFy2Qz11c8iSv/rjdoC
Yd2SrB8GrT+LKP4kU/QPzq0QQCDF/KtrdqgPP9fpnw5devv7hyIqpWBMQrWoHBBgEGUI29tmLDtC
MA1XlCrg0ODkSBNmwhS4ZUb+B7M2wFcMfR/Q7U1Oxmj5MNl/3y/RdIyYM6YXRoEYmkyaBXEg8l7Z
ImMZKqx2S5bfrGaIhK+CTXF0Skan08MeBjCUPuAHYpb7y20OXXD8QD5JNpNy+4HZJGAE5HAyufGP
Mo6WRDo5859KJJImAfs/vg1DOzLcV8wee4ZNS76lYIPnjncCCBa+i/LAjOf73JssOcjA2oEG9EfI
7K/tFjo4Fg9Wu4P8Li74ibpvwtyRx3vhK3MeDjbG17q1MR+hnIQCwMSTKRD2B9RM+FVB39jqJPWE
4neDhVbvSY/I5h3pG6EylntSbTscZnYMZfVsGcCCoSijD9Jfm0NgBLttvdNBqXDXYqTYpc2KIOAI
TmXdTOV0ClLZnGN93o57YP65xLhicAGVtdBBANri6sIsssYNK3Pa9lKa06K2ie+VzZmCX4Bvw899
VsZxurzeX8Gt8pmy6c5TMbSLNeuphy3SpH4pj7eJuVPgrnbjsp9V2J8KHlrnTQPMxkyPqqPX70Dt
GAcRu2Gd8BE41HONCfb0OvOW1ea6LAcv1Hs4tmQeP++s53TW7GAqdy/+IyND2Mvw9zCDAvWzEfA7
yQkxDXwc6paZO+tekNHwMHUIA4HcTHpH9wKRkqkNwBsjQ6aTwkMbL0Qo25Rf/aHBaWvgMdfxAjZQ
QXSgMEK9NAwsm523AttEnzUqBxrhqJhABIc3SEyEU0yq6SNg5yKDVU5NslFJFh3FSxeyrzgfbLpA
7tIZUSHsiVgSzKo44xGe3Z7zZhLWbzhEirdw+cbzYW8cm0lY55hUkniG/dmTfAcXl0MfnKluY2qY
NZRwXjp1wllCJdJt4bnZ8RzQ3AecFBMxUMPh+iTZhUqRuo+IV76nBFQnvAzqZMdtniEYCG/MQH/X
IRnvLaZHZJjIW8jR3o22hJKcOdLYCl4FRlf3EP69fBIDCXJK8h1HA7JpkonRa/skVbcNo2RMotdh
DSqnNANXXXfnzDFx3eUdIMhwSWzouHNlBxhSYR0/e0j5lggy2p109MxjzrgfJRCRJ+Vo9cTg749d
RVjyDWYnosZrg1wQNsNvV5FBJ/lpFfmn7d9XEQ0tKS33YPP9Npv5sIoQIzF0/oosDWHJLDA/VxHc
OBVoEOQ9iGBtHNd7K27+xe/Jd8Z5R9FIofhX4cqsWZ9Xka+HPliRf2zFkzKtrKz3VKfB1Q0j45WI
ucQ5lzdc7A90o5jR5U8UIt0GciAthDbOoAo8g0vwFzbgd/xb72rALB6ZP/Ef94GWPppxU0wvQyuN
QgdGr7y2jG2FK1U/0AGnlQTz8KTjcNE/GhDPtIdee+BfT7sLrJMaPZJQ1bvgPKfCuzMjWMm0bQ2R
M7qE057vdB5MgNtzm4M8oUgp7qDooa3OBLuxfQjOvh2fbtjFlNgqwq+PALYJAYYzNwK5gY6xDBDR
EEylPHKPId+gusjbJLkrdPBiwAtjgW+Mh4lH4RTlOSKxPkMujlfyba3e4axB+ORswNFw9voOeQTy
fAkvatAHgRgHEAsZMzuxk5P5YtxU2GK3ue4km36l8PcKBglzcf1BwLvshRyr+vqt3NIXo0wq79sX
jVMrpAkCQgIgXcyEMnCehX/BsQeshRRKR/UePLyM8FbmthAIDre1opzXVk27XMA/h64+C9x5VNH9
FZgNh+laREYTn5OX5CV6wcaLQAoNrtc2fehObxTyfpGdIG0Y99zKPexauDcRqGbORczngmovkvQR
84rBA4cJh2Ni362Bi6IBHbgtIGcU4cHNId6n364DwmRFG5ruwZUReiNr0j78rq21EKLhJCC6LuO+
RkAyOv0RX0AeMBEZ4/Sj6ws6VIS25J6SEC2PyeHpjrj2VasOIiOdL4E7cCYGNEg+UFHcQ46g20Oh
k4vj+uDnB1IGr0gp7KyaY+FCJhG5lWP3lBORKkxKjGusnYm+BZzrtjJR0icoH3GU/l4h23mpQnJC
WThsuDZtO/b6nLuvO9PW2UmtRtWluEjnAQKDp4oydFVNIMiPnpHHYsg0i0l9up7E0Xes+sZDVUW9
kZNmN2O+gXThOm1mFaZ4pGVOdMeb9ZN+qjqy488TAo0bwfY14fGW3IfJ840uACNmxl8h7syRg8+s
q2vTIlhEVzA1XFdLjrxFP4WqseByCR6g7WcKQaB3Cq8QCozu1i6K0g7jiZzZjPLbDMtMnBXX1h2s
/Jm+ZnzWLAwogtlSPBezvTJvUMmshdn1UV83i/pJPJD1R80VnyBiUMuRGkGht4VCQmtuSgclPYgi
Qbc2WHGubIx45VKSzK45EbMn8kyE+Ftq2bJ2752ajEugOST+sjYnATztbqLqTiQBK2EGuDS7lajj
MbTIxJe4e84ocZo8ndzsgHf8UOwM3HduBws5ibICpsBZHbZogAEpdMn8gLRxxqRPdbgzHTLxzwUt
hru5bJgo4kVWNBkF/H9byHjAhxb+n7b/sJAxqZY0S6e1+cG1eG+HACsMWcVZ5NeFTGe8SyFCZJLM
fwETfrZDJpNoGbMU8iJwwWYi/G/aoQGU+ABa/Dhw7KtlA/tqQuxZSz8uYy4mPV6rd6hbredcf3A7
ppnl3INx1wXPbX334XX6B4yEV+nXvSmMC1i5gYb0L3uj+RPF2GRvmvw9EBCCM4GS6u3/bidfhhJN
LTVZ4fWszMiJrsg4tcGamkSh3+9mONZfXrkP5/IF7hHKQq2bG7uJMmMkCc9Zs9fwKam8b/+D/aga
gVS82VjyfJn5B9BLiySuVcdtzu1NX1b+fY3PvYgb9u939IYe/HJGH/Y0NM4fGuMqEMy4DipuBwlT
QASEU4F81kJCEQcrpoOGn+WPv9/nP1RRuHO8n9yXKkoVY1l08Rd3AquhaD/I7sXKA+a7eOT8mM78
RyPzf7z2PnzEv1wWml5pUSMSZ30jc7OkjQRzo0n9+673H3fzpkj55VX8sJ8v14VLYRh1IqeUo0oz
CigxhujCzq4nN1ePCLV1vPqUKUzr836pR0E7/v1LirPWr1cmmWbAjdjbcF/7+imLRaMTYyFRnest
RbHuTXwfp5G4LHdWaU1E1Qyd3Hw1G48KwevOvYbVqGfiIk1CkQlTOKZEE+U5Gto2CM8KVV2hMr7n
glM95b7OSn0mF606qmqdpIPukAhXY+eXsmxLUrZ0u2yrdvp9nkv6JvZMzzaKCG5m5BflzCxdfaqa
Urm8GlKPUWpYjE2Dz2gp1tlK0ZEi6NHEbW4gHiUSC+aCaUggLqaAwiFqekhQFBuQTnjCKt7rQjP2
9G9XYBczoHgxFab3zUy5wei5ebOgh6+q5VNfNMft1Vz2WQsR96W8vkhZs77p8vQq4QRJmatq81Lq
J6679KNlLoRMKbnymxrKA1ptklnbWCZ4Eq1xgRGsCuO/5cpxE6Q1JszJCuStSJdK3th98XqzSoAB
w5hL1+umTSgNb/248ntkP8pKwD1P49aX+tU0S7GzprDX62hSC8yEqseb1k86HASv3Eo63Q3xcPNw
7Ounki4s0mv35F/FpZ73kyA0XzKE8jkKij7dVq6+EI1yfE1B2UppacG8MILIaUNl3Xq3eSWYqwin
9SulQ44Av5H8lat7swSxYcFQKfL9b3LTjNPgm8iM54Z2ocnGpYUau3e3QZLNa9db1LfszsCOvU0a
0gCieRgylNWvFFsBgsco33eIe0k3B/xxR1WXja+CuAQ1PfsVrQN2UAsprKjfVYwY6oUsQwxP4oMR
4dP4+w/B18n0W3um6jrNHsZAMhK/z/cyr3U1xEwVcicEFb2iB/NkUXaqhVpHaZGcILEKXOlZEALQ
0DCdRKl56jHI843SaQXUbG2y02qJZJPKsa5UfLG38DyJNNpmkuHgjh1M2aHwR0CmSscQ1pGUQV2u
bZ9qPCIPV3Z7/EGD56BPFk3kz0oNiqNwueFG4Av2YHz9dsZ/ahYkTfjgcyczWWZR+/DmTp7L579L
q81z9Pp//w94ysAq/VJtfd3+vdpiOaHOYmSgwxIweer3assSJZnB9N9RHR+Gz4wNTDQXFiUJFrym
xjL0Xm0Ru6ES/gFKob5NFP4FYAJl4B/uzR9P/cuC58tJntMfqQ4+b86VhMAE7/NWbiehgvmQHJJm
nEzCxL9EJZYAfdNPk0amIxp4qGUa2EmmTmp8DlR8Wyr/Tg3CS1feaDTFaiu30T4P7tqagXCEQoCm
FV1yhc7YVNJdmzNvvYbyrowIqYXdBe4eiRIed/lA/m6E1ZXJRKE8idx6WqYGIzdqCFDCeLITmw0u
9Vfsaa+bTKiOTVJ/j0gy0j0Y5Kl5VPxHgz22+p2ieju9y/aqP9ix4yuQkvtTQ5ryu9zJCvOcejhO
unliQUHV8b2oLPzlmzrd12k/MxtxFojFHv7PViN5eyNbSQtTLs+nBKJEY1VpEWaW8fmK5jRURVBz
d+TXxFxggnRFpNYRcyGQU+2JQLaWProKYPth9j0IWwwrwolRRTac5JGlbmuz2Vl0lAKDFTIBegyv
Is4VzIlVkWfQwosYHor0WU4xn+DBRujZKg5KabdPhWaSYx3UhotM7jGJBXTVyIrFj10i0ipTODmX
qTHuVblrG7U3DV3Ch1k/cuKCOoOOetDcRvKTm+APUaBil8k+rx6bCoagmzpVCfQePsn66xXT9Krl
JNDzd62KZNSwr/ltojJWUAZLEnr6ssFVodP3GboQD6K+iSzecAfPpiHdA2dCDOqFykW0SfZgUc/C
PJynOJ1fCXQqEqbfteeEdOlWjUCei0HmoKqyn8oZxqjFXREwu4V9Cbdp1Ag+/vq6E2S4Z0kvBtPb
uHQ3hm/M5YypdFFvaqWaREltl6rpVFAFanXvwrhIktC2mAd3JGeqZKUUV/ySLKi1bbC4itxGeyy/
XKnOJ3pDCnmsv7QqprNYsUzUpqmm+FG2DtM9ZJhpSQqp7tSGb5vh/sYZ96qAVKnC6tGaxR7rel4c
/9j7K/Q7aG5Dk0UZ+uZy91/uryo16of76z9t/35/RdSmGgZMJ1pGnDs/3l/x0kOdqRpw6kSQ6fex
rPHX0Nph8zncfjky7so/76/GoF4YNmH1H3zn/tVYFqXC5/vrL4f+RW+gW6lAxiHGzmFwpWhsGVhF
UM5NK9jpssMEkNknw7762t7LvrsOOwwbLGvtt6oNso+NiHt7SS1vG5WXVnGFTRIJGh7KQaQCg3kx
NkvdM4D3REioWRpNxADDFc/ptXayyt1Uxg0nUjhXoY4JBRCX/ORrc3eAt7soAerq7KQ2uD8YI/JS
pF1dbboWA4cUmxviEBry4lsZOjB5FNUpInlVItbFLJfZ9SAz2MpMfe5hbZ40+KIrY7xARwoIFAoC
sWfSTKCplAq2LN4c2Zfxsr5u+yupprSpycjUr+Ai8hWGsUi+fRgvwsiot3KJ8YQX4HUyYPay0N0W
wYDj6zCBU0WPpz7qVwUKiZ64GATXSrQx0UqE0tQbjDq1vH24yqtbs68pmnLLas9UgW4KsyaEe2Ig
So7gxnbI2Y5xf4r1Gv5V9L1IXW3pNoX7o538E4ug4UoFCIc0ATWV0dB/dZ74VZT6y/bvH1LSLAmH
lH+Elg5io/ciSOdDqACoUAb9SKN8x04kEiXREKEierOseP+QmiRsazhmElvAx5/N/s3ISf9HU4f3
Uze/BmL7ueqqeouFUBK9hG8BLsngPxeEgK5KP+P6Kux60iH4hOgHP2xSIQPHlyLrxJVU+TM/x2GL
hbWo0LoH05Kg6iFLeCcv2kmB9l0clq6puOkODbhttU4JeWrGElIhJH2Yq4SMdTdd/JDdjhkMOSDa
AVT2J6atHAP84QkgkJK99724zTTCumZVsMChkf6S7OytpCAZ7UYefmHw2KoJ3hLJ2jcWN355Tafc
FoLniuhk8hJzxBr69tbte3+RkUXtq7tAceDHEQooG1Nya0IRf0v9HlkeAnq06Qr6xKZbMzZuwSk7
i8b8kdsJLEzoBPpaOzZDO4rnTFvb2rcW9aRFRHWMHZcSbBXKDU34FupbwdpXVDkVjsNSM4SZrdWu
GFfZqpxMZRsPqnTeobKNt7pA0pBpB/xPtutVfEcQ1/ihwgIJ3vsIeuIIhRCuh9y77uRFurrNOyCZ
Cps8uAIDOLO6PkjewVxDDLPJ+bmXRiHJ4uQujr2RZQ/Qd2630PB5ogsIO1BtvagX7gy2HsUmSNhL
i8vXKp1RLxKGFr1KMxiAoBfINNxJ+ygR6fmaUPqQy2JN4TuWsm09Ksp9mM5UebpVKSLsUHhSCSbP
+hF3IEcLtqJ2vEIFfamepBKdbDK3UtuUoMbiFNa/7CxjPEdSQcLmdJuHd6m170BXQnz5SxBnHTOd
XGucloiuzMTYE4i7LQInwatM4DUZBJTDN9dXV8JLc3D2sRskTLwPm2jn7cKH6+rRwL3C8bEvVskv
tSOWHnSywjieWto8SJMNMakYYlk9Ph39RLIaJ7hHvSQ5HfuAUWIH2IbcaJmTcbMuj1j3UxbaweiF
1B/uoN0oGbznkrPc2GLUPUoz6Jgzcifgjw600Uzk3b6/Ob1sx0xe2pHcjKK1tCq/ERuGhHvSj9zv
5apeGbKd4vy39nWnI7w1GyXrMB6BMyn6KekJW4BINfGfedLAx6BVG0yV3BzLJigO8D5zeevBsByh
oNosnhpMP2EtWGNhPFi+3mXIfaBUOoUwFzO7bp+UdCrIGChOU5YnWbwEDSFND3K5DAcZh7UPtQZU
aRwo40te7MRynYz1tHzUutVQ1TZbIaK/9itHI03d2mARt+2O2EYOGqd4cJxrHWiSiH8Vm6I4uPDp
wMZS8OfmDNijdQaHL1GfxyHxRzx6QP6hWDrNS38GBau2aFeRdS14RqiZbJxN0/xNQ8yzILfSfZxG
VrAsscC551e1uuRfnlBdeSSlouGDdn1seQ5Ik0i1BjnsgMOd4S9gEodH6RQbk2rLAYV4ezixzbbX
bD4cO8Qd6LhraX0japyOB3oxbrHVVgPOC3FVdc/mDDVXB9MG9C7nYw3clq+6Y7l3lxj9ZyOOS7uv
tsj+tv1Zuw/a6Zv4K7rw3IC0OQgb6UhjmHfWoLhmP7BNMeY7KgPT8+0V68/VNiStJJvycinAg80L
p8S5Xuo9L+EyuhBdwuaU4Q/IvdatM5xsezaX5Ba8JtkEhihPSrEgrZMp6HVsX08QWWGcQvY96ekJ
MiqWKicklhCSTvyDG+CZk3V5bs7uWO+HIxz2Npwi3FscBIl+GY6WA0X6jaT5wjHxAvfnfIFVKQhm
gpXBwFvNF/jUPS3qzTjb2TkfRe64o9uhWqm0FKd482x8D17ElT/Tp+Wh2pkzNGu8V7gLZxNevXo/
vMeFw7NPqnKt1WdeCGnNX+CBSGs3PXEAHCux93zDK8TBDOglRob1ntNi9/JYxmaFxuiOI+PPf2wH
8v/Hb9T1liGjjPgvHcg/RCxB8SA69X379+KG+Q4yHxgnP8Q+n4ob9EbmAC1Rr3zqQN5As8EPl2wF
pM0GfcvPDoTihq3w44JKMsiK/lUH8sb7+DL+/3TkX2AGHyZJ5gsMHjE6mHbXeV4sOjSI0qrq04W1
jTE8hENGFuoo3Xq2Neb+aZeKSNYSOrSLd6ctmPPuzW/1OneuUwv+4IeX9h8guIFj+RW3+nSAvBKf
UJ6uVKpAqiEXOvq6ejNXVo5IPzYSR5C4u+Ch6kbZdzy/s+84A2ITbEtTXCIm1Vl8be4TZwgzDRwP
Iljar/1mEqF4xA6wG90ejL2wbiZ4AeywLCjP8rL4oVP6z+iKNjRwv7y+5GgBqBICDJn68+G7Ya9H
uVAoTrjLDv48mKUzhVRHaRMt8rt8d5unc+EoLYOxjtXX3tsTlLYOxg4GFjMSzrfBAd+rpbkIkGQE
Mxohu2KFSsY16mdrqsykiXAUtvWkX5Gaui+Wnb0diTsklStoYwuZOknFjWPmzv3rJFt7y4DfNWvz
IdkQfDpQe+plth92lU7NB8TFeGGspsoyW9ccJr5DG00naDtnLD0J7327OloP5aZc387cnrcQIRbG
Q8CtyZhrD0TWPTXzDktC1iXy9l71pfJwnYaz8EDm7rwmCmiGbek+3STb4Fg7RMPNmm8weY6xg1X7
vbVjQOYvMdp2WPwI6XsSpr+/loZu/9c3gw8paSBYEGBl8+XNUIKb4MvUtPq5W+B4NfU24qKzyY+n
VjdHjbHz8HmKdrf/x92ZLDdubdv2V17cPh2oi8brEBXrUhQpdRAqKIAgAKKuvv4NpJ/jKNO+drh7
Ih3OSEmkSALY2GutOcc8oknVj62bOpgNsO2wlKPyk5zqimbGhemEUFs5E/RD76gmQay0iisyhW0d
/MNgwPir8wfAHlwEXaDnII2Xx7chZ9/J2Mr6iAQoRLetVYv7ZJj1EEoZFmsAyHrjqCJ85U6Gi4cf
GpW/UI0dCb3Jrd+2jPKiV2GheONmULJaR+I8eTx3l4zu08f92UABMtqdojmEYf6QL+Wk9rjBjuzQ
pfOAwjG3S1KfmJG4ZClbwK2cbtEtGDZUyXOU44kq3iGValtgKNxiaLEi6EjsuwtxGX2Mav/9UaRH
8xeH8ftnMo5Ov30m5SPsWl0NZU9Mtk1zNn3fuX1FZA6xT3JCxyc/aXJjL8J8baTXG0/iJtMAmTSg
FiIc63VvP1O0AdF+zHCkMTmTL2Y2NwYPW5fppvSvV3BFj4iV+xHnILxSrvEPkjtAkANrILOeBqHD
mKXiZ0d+FcwU4zTCusBubZHSxJex4EB9cyqXY//hMnoqVUs7/WC5IFUuXECo1CvvwX2tLsUsQhi0
MbQzHnxR297Z39/uXLJ7Cd6+lGAe1yHdZsg+RbZvyn0zlDWE52g9qcyFpqBTHm1qt8Wj2aYc5fUw
sOMJOHwk3Zt0QztCO7WlodrkzQEtehQDEVODFQV2ScCtRCAkbZwHemgeVXry6NFSxjA1fXnLXT15
0psNjW//Zk0ApTWQawgCwMWHd69xB8knnG1NVF1SoRozvWqrXLN3g1c+IZo6wSV/VDg2wSpzUmhD
sTQL2lEyPMBzo01rHoAK+sLERSgbBD8EvrCskepCFYDvhLUK/RnBuRizTLFB04vOV2UXj3gXf1e/
nVzxX3EccE4Rn6Wg6GrF5+HarG8ukD+rXshHSlGqZX2OKp7ronQA9sGTaFwyLmHDnMQt2nmnXvqb
4AiiYBlBOFO98HViR9YnunFPDyHQeKh9p9IhfE0XeI78y2TcTZ6EszpXJHRmzXGCN4tW81o+3CKb
67OuuW8+DXdUctlUehdPuoJycMW4ukLafTQpP1BF/Vhb7tF9lseh88CCGDsqrnnVHqTLzaQCxK+m
zozZWCO9TxD0wYE3sDzhs8pfileWob34nOyqQ34MmQyD5GVTGlh6bZcIvzj3KLqLaXW4XWSqs3dx
woBh1TycuxQ6Ag3tVJNnsmaxjNFux5tenHicqoxbVJR5SoPSb0mihyW9j2IzavlmHUPsxYPAVBjD
y8Oi1afjOcjcqqVstSibOvCIIt0GXiF3VhN0AMgeLAfEwb6EHTMYO8ClyaQAacNrV47vibcTUdWU
uRUPKG0yIo5zB+bUtLhSY/m5w7Sz7lKb/l6TTbvrWyHN8NfLVrhsP3XJzTCEkVCUj6chDjXcYNMs
ccxXSZ+v3sKeZZNQ2wiy0uy26Jk11FPjNYpWOVgQwxugVxmO4VSutAeTPJjTaDXsKKzTV5Naz5zf
7aMwXezOd/IrgJWfksnURIZnMQopWls73tgq9U7J+qG/wkUwuV9ffZJTEJzmrJDFiWDqlA6Eaidb
WqQ48PXThBLWv80NYfrosedXkgVdSR2ccnuz8Qju6opk9tKR8YZSpVRL8xJsxHlFPzV31MhmQNvD
c0lW9/fhse/nGZCw1o3OXEJ8ogMeSGUpC4uwtKrCTYwZreVbvdEyh1LMu7NE9+cWAyuRrfgAz/Gr
8t7C7qrtBq/nGE9syyd0mES5GY0XFxxBGxqBMC3R3+OmNI1NhOVgybQu4DJxElb7gbDE+1bsXOgv
8G5iAgE+iks4j+ZkuO4J27aRyXrpqzCTzug1t4IwvXFKif/VhYdEkBiq8NEzR9Tq34+WFW0Uj38b
fVC4/OnxfxQe8Pw00TTAuzCm+BX1B9YJNjBZRPjufuIsGb8hjEe/R5eT6CJUht8LDwoVfHOyrODB
+rdZaoL5560NbxhZPJgDnFIUMz/fxsn1zsP08UD3QvsitvArARuizYjblwwKlzwJKEnCqwElZmyX
WnyjJ4iU1AuUqSO7e9+GTy28k/Gr3MfLBcwgEEYjafRHbxJDUYAG+A3V+lE4JQs6MWf5XVzeFsOZ
q9qnyr9qL7cT4TzX+zW5BotoGyxy77agQbWOXSThnjwjruYsXIUrd73sWPOluyPO7gtU5diwAytf
3xaxm24fr8UxdWvS7GsP27Kj0F8kRd4KZoJDvOfmfiifH2/4DgPy4btjbQDlmeof6uV2uB+SAx5m
9z571B8KjHhbx7EDt9eZEO5gLIKZTBwKM1tHWww8Aaq9t/otfCk3AY6eYc7MGG1YfeieuFu+JYd4
9yCX4Ukt7CLbpvpHmV1RtHPXp9/KZGVBmMqKwCBYL29kqbnw4Vfpi/GsnJpjxjugnUyokQnlXSFB
dsrkNK9efWlpAhZ5v8WuItrGsba1bfoMEiWe5sxBWenJUmVz5K/vxrxp7SC0zbW6N9fakb0htcGO
hCHRxgeDIXJ7B19MDuQiWdAQrT1xSn05eb/RRF+XezYW2MFd3OZgH5tPdVVvarzezXwtPRdP49sz
FtGufebt6JcfNiskWpbyVb9lTwy/hGehs+vNpEFJjRU+IRyGJuiL9DasRFtHdPUVfa5hKfMxavTF
D8rilX7xA5FLsRfJVSK11a6zRWR6d5XkEka/D7rDi2FGlNO8jxwNNIz1OPBM2af0prwZz6NbXjpN
xijabJsdaf/GbsHtTJ0Diao4na+T9/Y1vLwbb3gBmBLc6JWTEbDyH8dae+JsRtUMEt+r8TRIFtkZ
jnSKPsD+XDAF/djz3DxcFmm4I5ZXohEM5pkbKhUlYX05tgzFEiSPWXxFuOjNIqR4/O8ZzQV6g/ET
6gnTpI+aYr2mjZ16JkOB8pmCQnWT0lXlr4bmUpntWmeyHdyUUAysbfS+bfmifyAQeDa8bB4cqpXM
P97iihL7ATcem0RuoU0vRK+jgH4n+wTxuqbbd0IedFvSkZKvgnDN2kdQGKdefMzkVW9Y9001Wegf
3N3AeJEU+0y4Q0QZdii1KWTsbtW+PbgkiG8OIJsZtvQmoSIgSHf7KDZy6LWI4pmcv9Qb0Z9W4DCX
HeggPhG4OduSOjclv+RlWKnuwJkuPBtfTXQIUhvuVw9UEqQzfKNhSsObTxOywY2dR+yElxBLfnah
AABgABBsM/rlIrLeeRGW8kysesCGd1puBEd1e8sVnoNZ73AhmZd4p3095EU/kJpG5G+hWCDFaF3S
zgbMBnF3DKKmLbGS0USM5ht+MSqDWz8fpqT9Iv9YchlLJ+GUVRYqF1YbUn319+won5/qE+6VFu7V
nCxjhHbcpBl/KLP6+hQfCZRSSytl6+DVxokhAS0CzA/hGxfnBHaTLi6GRcnVqG2JDu58Z8dgg9Qj
FswPlDfdNPzilPkRv5LNmHKM041iJmXTh2LlPvkkveoYlwhx6CKfx51NkzKeFakjCvPWJrBQqT3O
9fs82N0qBlUz1PtByVGdF4/rbZC8qHS10hFqa5IAi5yWoQ3G6S65wu4wPa9AkG3jTb2i7en2q3Rj
eo95SulRTM7YVm7ySrrowTrBv9a79bCRLpvFoh3sOn8adDuZt8b8QWQvdeeFJ5aqRbRhpFwwjEDK
klta/lRK6EOmCSwvaXSgaJdgR/Qv6OmDeTB23YzMZyd1uf7gjcbTczqtHJYNq3F40mgzWPKCc3cq
WpKL4sVW3LcNaTyWhEePDbJBpxgQvcVV5nYOsAk7X6me6iWr1h0j3Jze7d3BElwqqMlZNqyJ6CkX
kRq6tl/Aaq30tbinMz4OUfhQMJAiY9py6PchjWASlKaAzZimfKrzaA35+QUdXs6G7tlv5thIbONF
Pxxu62IJuKucqwt6NhC3KM9v3CbmvIYHzhVGdm8tC/Vm4IWjl3c7LMOk+QYWbnO7c9RFeFBBfgmz
vJlmg3V/Klf8aGlLAEDH48E3+fzUBTgw4s+tMSptJNPusF0K853G1U4knAVOsIA1aFiULHDLfQsL
DJkYzyn3nAd9NqYLcLkm2WfyJBpWQwFpZONfXcwPkX2scd8Yvwg1j4+8Xj3mfEf8ImMt3vi9q99n
KHCpbu6rPkAnyt3pWrVvaXLUaiscHKmwE6hi2iFOjo9y3t4OeZH9/nhzsuOj16sVWdiUQvGGd4Nz
VluSEXc7jAdX5ub7lNUH42NIbJ5MHbYKqX9AjAj80+3C3/BL/NKwOHUIRL3dT5r4sFM5d/h6YiR2
G2LutfjpeCN+UZhRpmbXWN4buKB4A4cJN1lQfciuHLA2BLh5eQLDFuOQZVAwUyITNBWBRHTSgSV/
4qSaW2RLTFePYEzFhqdUD+d2VckLlWbMYKXFZ7u6tbhxJ52Nie3NKOfpZHMHNdhAAx7oWXx1Yo1J
ezc8kznNA+NDPdm2q1aFqjitzXkEhRz1Rqq8yPIetO2Y0nriBfkP0h3P2JL5pTzTc9HhSZ3yeslx
lWgVbG/PZODNDCYNi/giNDZ3L/7RMTndNuKntO5aL9GnRUrDZOLy171YNlDLg/NIh2xs1XehPFYA
/oD1ZR+ZjXMqWd44MxnFLcFQ6jGG5j1fAxQ/kT54+jy6MGvmNzC0/KDnktk8D5T2Lh857wAv2ULy
BErsmTMqD56jEUdYJt8pkbp+8m0FPSCEzeyDB+A6nyyJcwPQKb3SkQEWREPnWSa8Lb74VzjnUOgn
v/et/lvFHuilJF0jVhlh1j+KPZS/QIT88vg/yhJhxIzrCEigefD0I/rsm9hDgO+K3APJxk8xIxBC
wJUgESHuU9LHSuKPaQhSrRHdwCRkVKb8y5QRzLo/txZHlcu3N45p6eeapAqNvixqVfTYFJTpovE5
3+PcK+SdSaM82aNvEt+HanpoljQTiiX7iRfxkCsIqMn0EVMPMf2cTA44ygNJeS6WqHXtq05YPJ44
yxRAozcIQeD5mZpOPJkOknFNaeWJZ9D7oAdGnr5lFs1MZM9OVCet5sxi5CrGc1H2yhE8+iGFS5DI
SmHdSD+wET6Af8Xc2Huc9JD4L6CYuRy+9Lt+iZNkn4C2qqq1f+oPMBzCJSEJbB4hNogfE9HiHQU6
QM3+GqH9aHGt00TSEHCKhzBdl1Bs99mxv9uSMk0gpSDutwXQjYh9M1t9l5fJK7uTlM7e0WToGr+k
KPblcmkUhBpaRTXN4VhBfooApNvmw46UedAvUoSsGoIPGlLyMj1mtBJBQLPxoQn1+TgYZAqQ2zJt
r9QFtbkqNYtXgMXwKk4spV233WwyG9DBjGh39hZ0NGv2MdhHp9JLj4ohA5q5jNVtxExVnZNH1lJr
zEz3vgjdYMGRUw/SS3zW5qE9zMRzNTMPk0NzTrcJqXgq1R27fRo8vp2sc0+cERearONtMB5+rGa8
sujYTatzsDg00/u6m5XkptAdXDKWnQbT+0Jf3ve1J9vvAcqIxBpmtz31oldsyxMwNF4Kads2CZce
pCi2fwN3jBOa0rjetAre7MlHJ3yoyR4trRIhWFiYhRf6bvYiriTqu6ZdPvYSfs69kX6yVwzTq0IB
Fh7bU3stiF9gH0/OirnpzuNOio9wHW71gzZBzrtOVJuG1EO8yBWbLIuNpAC410Tp4FQ07Durf7wL
9Su1WFePsyEiYdlCtOsGtc6Tmci22UE2o9IBn/XQNjfx4rfzGIws6DSm9sjxpvd+FiAoOarKXGfM
VJwkNsC+ttNI53wQzkoynZOqM1TLxt2+U1w50EvtxCFgC1L9iHdoLFqR5LieiKYqj8PVyB3mMwk1
CBqTZbqvPGn2+x8sogtpVqyTbbwv1vH+vk2O8Z5cK2JPxg2YAg40mJADIjafSXXsMhcjE77ZCg5m
2Lm3Cv0VhWZLcbyhfuOjUc95/hZCoCrYrosvlCA0c6niQtHxC5qYLTHguKcfyntsOkK7i79oAips
7HPNKdP7YRJob7FarRjmHCNN49f4sEYk1fUpN6tUsST076V+VWOSRGmzyp/B0LkGtY4u7hEXW2G+
6zqaeEg0iANgKNbrvCq0zv2WwMXSy8rJtG2xpcAk3pHBPO8NHY0Prdxs8EpygMfk3OSjjlz5Hjhl
/5XVr8rE0h/054nRXIWxx8PpvY1h9aueGzTfPWIZRtIvZTOeNySpLJvrraNkyELt0lg0988wdvgB
Xxr/30Zu5KiqnS4YjfHo3jNOZXpD6m9L7YR2ar6WikObfCaKj9gFiAcMGakfb8AdwoswV5zSV5Za
XKA8eQnFeCGg1egkIHFA4iUq4FI+9/uWM8SpNCRI1abAkTMA4b+Xyzz35JPUVktRjm2fSuvz98nM
jznTf+v9enSPaMAmBVSUo5b5byCmio4i8nsbcbzt/fr4P+7X4m9wJQ0F/aWsiDhVeOQf92vxN1WB
XMENc4RYcCP/Js1kakeqEN+TaFrymD/u18ZvtCPpS6rsAAgNMZV/I82Eq/Tn+/X3F/7reD2LyhjE
qEjNlZC6pL7J1cUw9mEbund/7LBRseUxQN4LvoFnUejATnNyCf5BppuopPXTBK2xogV2llMhhG+N
cZXNAg0hIw2u+0zjft1FJy3LNpJIPG9eujf54d1FAT0W13bzapadnWoS0+FLGABdKTRYwSIGwfTQ
yPpyyIZLSZZUg5vjpqImogqe5B0Kr52K0vgmrCOBeUV/jLkf+hkU5g6VTkHon/GWxqsUQV50Y+Jf
U+SAS5Cg8QxNjUL7ppq9a1S7xngqymuDd4Ji4vGsAUusQlHaiI/73W4ig58va8mtDd7OANxCD+V1
4cN0vyezQbjRCQst0yhcCWoRqwz5lVGpWPgmrgZsjSwVrnct35lSEm26yJUSfvCeL4cucFNGfXmA
WE7LJafWCdCsdU+My33fgiiIAtg1JHBH/r6SR//Hw40f5GgIkhOT5cFp40ayQW1ZrbQJEpP27Q73
UcrIxoASETKTLLCoFDQxxHIRktQ0MRkUipTqNFI6Dcq1qGzuLQldtbKr4sqbKJo96R5nPy0pt4wR
6vRptMPJr6Q3MKrXSUr7oCu3AlmDUglLC6j1nXKwEWAiJjzhw2/clqBDOdwWam+bLKZ9YCOrZATX
rInE8B1ZQek2RF9aG6HXNNSdGLI51I21oBJ5YhbBxxBGNzuauD0qrFjN1oMxOHdGMjTV51Hwmg/g
OW+aLQNe7h2ck65GzqHUMPbsoQx1wnpiVLavPjzDv94qsuEr1aqJpRg/EDVoPDNNz2V7WxsP5Six
+ObskBrftJKwIObLmNdxF00Tzc+mwSM5C5NL6r81DSWhSYdnoHNMxtej8W1/DOx87KNMOlcmx1mP
UbeJGAa19NkMy88U7rpZPOZaIi9AnwwtvfmAWDUImOb9chMGK/a7j8ed5GL6Wv5j8V+7+I7iMXz1
JiMRVVJhKv79DIdYJ8qXn2c4f3r8H4svBGmZ8GrsMTLwOwgK/1l84SnKCgEWI0ea5VTmt/5n+R3d
1Ex4WGF/BD19X37lceUFRMxrZeai/Zvll5X25+X3l7dOUsjP5VJoVlk2MQvFC+suW6cmEAPcemHT
bP2OhiPzyW6oZzV+5xvOgqmUElkjxGwwY8M2G/KAb92h6Sh/7so60eUV3fBQ90I19aSYnEE6Z3f9
HNHk7tTBawr5rU5COvj3gTU3ie6uTh/7kbxjmL7o2dPQPWMscTOmsC35geXk/NB2UU/vJc2JAGgf
UrUu/TskYlZGSTbsuDMAFAWm7lY5uiqpXrYT1fIFSOoSsJjenFXtHAOnG5gfgQmoH/aKnOfTfhA8
QaqCs5jpI1RGY/ovN09SSb5xVeWrDFGrvBGLh9UPE7dWSdCL8lkviyTc6LyQUDprDSD3IdOJPmD/
Ndw/ez9YCUNykIqrLx/94TUn2Hwif8RJNxVMJllp5pXSbQd7Zxv07TKs6b6AiRQmw7IZiL6DvBLV
7zIN8dsER17/1cX5oYb/GzwUpypfTbOfCVUEsjZbNTruHCYKFe5fRcTSEPUtkQfkSOVvt/xYy9yl
ogkB8VX/VFQafJ9ORhpSAAqvg1vC3dKfkLJJ/6q+OR2VVcLkKSDngHovm/3XLgXso2QB4jvuGLCR
LAlc6X+zDwPB+vM4968e/8dSMCa3YZET/v++6buTjW8BHZNHQRuckp8wlTROWBrwGo49FzZ533Zi
I01elxQMd4JmsMr8q53YuMh9l9b9+sq1X6R1SRoaZuf3pkcMx149xlgvNE+8BAd8HdFnvpHeDCc/
mI7yLCdWuxFXDOWGeb956BvlKl2ZsJC+tE5fzFWxMx4eYx8JJVricDm749/lOtoOy24ZbicbYxfa
zcxkEkdAKb6NcpNjivXIHC7o7zcb2L/+6kEfEc/L5QHEaXhBDkGaewtRG4DXa34kvyPLcZ9MGS73
dE8I1/p2KHe/Kzz/T1onjFLTqvy//8P+eHzL36SfP38kZNfy2f8kU6vKFoVva3rB/ZgGb/5ANczW
5b5KhPkwbGpUkbEDQDLokS/ZTJHpcxLXQns2NqEaHHXpMImfOnQpwrQ7mQxjA6s2VYu9Z0Bww2Mg
97M8oQuZACVcMRnULL08tvWqSPYKoEyi38NFKpN4mXjlVYDrWUWKozabinzVNn1P2hcVE1CYAboM
rTa2ZBwrAG7EfHEzGjdEhXOmQUR2qAz4g27BNllMUM2HbvwyMV01WfdVOs0Rt7NEsbArOHNtfx3s
/chLNJBmm3u/CPZFex3Ml25GEkAjWsm1m/3wWowtk8Tx7euTu33CSnOrbKH1KrRzDTIYf4Ko94KT
BaXRlT0m8ymy6TLS7vzZ4Mkb6YOgm8kzYIZgG5OQKlhhuSEBhWRXJKQ3amn8QkoI6t3p6BlwqVoT
1tP+c9gQahdKMxHzAuFubbJCuq+eWLetNFkiiS8W/tJYsnujFR/bLQlG9ei+ENd8L3fNKy0s0sxm
90tFquCRgnqKB0OaEv02/hTWRpBZgs04lfU6TpY8dc/oAXdDf/SXTEp4WL1jyRwV+CNJzF/KIwob
0pZv8DsfboaoE2r9j/HSTNAcWNvocNCcSmiH7xcSGsgIaQ5KaYMZMcCqmVP0/wQJP+GTUE+jm4Jq
ZMULxFshjTIuwlucyInpWJ2iUYsknIt1mTuFdZwt+vfqWqj0Lg1z0eX7orD9dJnfz8XtoHmhR1L7
uDnN+KjQLeB45r9HPx0RLEoVeZU5zUcmJeoxWOpTpsMVFhwUx8O0xL0vr0HfMXyjw35RFtIiUj/v
G3nsDUyL2K3No1+f4Jr15bu/Zrs5wwFEwAQF/tngtmq10zJe47EJtoGLXHvK731G7VXNM0oXQtwF
eqYvffqaa8/6tXrFcZ4gd+POdtY/xbl2Urc4j8LACzbDR7pqF9J+QshqveB684z17dl49dfdY3rb
FKuOblw6v1Q201MrWY7Dq5srzWIHHhtDkBYgqewNCwoe5GxrbrXtDpzo++RZJO2I+Ro0O7h1IFuu
0jlbh/vg2C4RXOkA0N+zkzYTHYKDXJVJnTb3XwY2AntEIy6jiunduTnENVajRW9yoBuCs2yYckja
HVNBnUDI7LmVyEi2NckukYaByd2mew5gypLAHiGbmp+Tlc7mHIQrRQP/jFHjV54261ePp2RekgMJ
1nTXjEKyUfiyC/ABcgGyruylo39Mn8NDOWfcuCnnggsFn0ygCuvK7UaHGhHhUxt6OOfjWRlM893o
L6PPhKQQqPokcwfNyrz2DESgQa/yws+wR2MAFEe0piecRP7isQStu2mfO2yND7fET3h3itPjiNKw
OVVethembMlOwjLgulkjwpz7G2ODdHbHCTG8mE/ivHCDM0pa+UnwCnSb0p6Ct3Ep7L9G8TLJZ2t5
G80H6DtEAEt4KelzooRWnwizZGi+lAHIItg5ApRb4OJ3+5m0jIhuyneo1na3Xb5SPuI3/0gyZYE3
ENbxcwAlH6QyleEqXxmXfE5nywlnzabdtnMklVYENIA3cEeuZ9rlMlwbG+kgwPkzj/mXsRfRBxpW
/VV+dR/ilqDkFbghEnom8+IU78MF2kZGy/H0Yd2c+yJfD+/VUpmny2E/pivNK6ZgiJa/dI/MTH3f
uvBud9nSXxm2YQdO9e7P6UTQZ66OVJXhpV/jEVhC/Z29atYNzVCyiZ7MbQ/gBX0UA1OSKPb88cY/
6dzcQlJ+nmwnW/OjmCNnUZ7FVbtRZ+ISP8L+hhgK4cVOPMRncUOk1SX9Mkil691cWuGLlLbVQnV0
eLnZ0lhhuLYVQkYJpZqBMfbUzX2drCebbtYtcYZyaj9O7m3Pqz3dnWTRrvXzbe/veP1esdRhi8pT
CfX20X9p6KwgTOG/aOo9ldb8ZjmnzcqR18p2UKet23M8mqlxYeSdf5ItqQG4cchxIIBMdjGcIXwF
skunkMsj4vCA7W0XaFAOmBR25dnfkN95at+DLbZWrvCFca6P3TpbaMvbh/nMglqT6MVdE1wolwoa
DJgkO2k0N6zuu+5Z4zwYIDbnT4JNaFZJ7vch2lSOvs7RWIwD/HGuz6TS1deTk4F9AL7OtHmeUDGA
zZjig6DVqUIARnl594Sb+2jcnDAn30I9rdqIThmm3qu3VH8DatI9nqKVhLlzOfgLTWW8zlr4LlXT
5Cio84w3ulY/5ScMpJvaYdIeLCVHszpEV3T9b4vqMYu3rDR2N399TDu30OeRbMkUJeZmvG6ip0Ki
bFgg0kYeYwxWQSVhGfuA89YqZ+pO8UF4TBvmzIWlM+/HY3a8F66P4Tbz2Os3raPevXTwiKZ4gfEx
gMs0rQ7ZK1tB1AJkUetYJDz5tec2/KRvgKwoL3eoMOoiPXfTHTGtVu0aiMn6LWfZisb71j9MbP0J
wMdO0af06nbS5vHOAnd/LwAYmP/NYUIE/dDeBSdMeaHpwj8Z1VQapt96DexJ//T4PwoM4TeCqkZs
vWKomEp+5uCrqsAwmJQGiZ7tWHv80Wtg/gq4jfxNCVARmUH/aTXov/FM+O+xt1G3UHz8q1aDwDP9
spuma41SFnUqelFccT/vpqWBTkOUV0xmT1KxUkbDMhiJeRg6wUZq7WbYCF/I1y7dk/CsrqotccKL
PJwJD0vWFzHjQcZY+WmY6SCzn+RD/0l1AA0LD9vnYxt6YMlQhDvCO6Mm+eqjT27QfbGj29VLYZYw
7oiWwoo76vluk3SJRdTrp/VZfrm5iLelKd7xN/HU2+NtAY2zdSQU0EEBgZkVCQkkY6KfucWigZsm
T6o3eY1JvLsvam4R5eg4bwEFMe2dNV/CqlnXv9fQ/6sPTfmF4zQedz49uvcSRiLyon4pzzK/awKh
yUXPwLIB1udSYZ7XvvznZM88Dq0nY9oH3nmM02Nu6TjgY3wLWyg7B170HG1uT9lGJdZYXuj832Bv
ZFiqi7tihoz/hu0W8Rrs8nPEp0zNMEb3TuXd39dU6p8rqp/fxS+K4XIo25Yuq+i1i06002gVs9vM
rXTVvKjzermXlga6xlnhGutgE+3KTb+5EQltm6M0s2K3MRdnwcLYSTvifFr79mJcxgjut3reP0GG
U9iIzSrebBKSZrMlkfs54AjG1t+/DXn0J/1cGPI2NApGinkEAOPk5HthKBuhASMK97zkaR7QIcSw
AXar0hIJN4JKOA0cXH/MoMVZjM5KtLRZuM/2Eqcf1AmCfsp5YDVeYfWz+h/KVuWXjt7vJ8q31zae
SN+8VXKTq2UTP0RP3UqL8LNfxyE4xakEpvj91qPPzYm5qvf5IttlL/pScZgqrvFZydjRngARzwuv
X2qiFWgeJ8bjmGG3Lvbt9vahvqEiPhulZc7//vPUWH7+/HkC6hGhr0usRb+cFgMIn9y/J6KHN9oZ
LpOPgA3eMvxIUXDTwjr7L8y69dJiObizXR3GehWZ8xnigX09G+xRcxeDg62sJp6KITu4YBAP5uxG
rZNGSIHyWYiIArFBeHiEhmmTMnL0nfgKk9CK9u1ZoyT20gUKr0Vrxw6ZjuvI+wfb21+NusC6/edd
jkfu25FJlFQcROEuejiu8HwKz92nciIUYntfj7uv26rTllk0X4mcGvVMO1DDXcY98GQVefCaN3//
oat/eRJ/ezm/rseZGclZkZLI6QAOQP5bAsJktzzqyss3xmbo3hW08NBQEBJiDHVbtzsMFPrrZunP
m/NwHpb9qT+V68nBpBl0yPHRTPDol0f/vds0b/FmsmjnUMVxMdpMGQg7IOeS+LRTDUjoH9YW7S/v
L9/ezy+t7DjopZt+j3+/KIMZfaejUBMe0hsO4fG2P681K1+zLrLXFmfqQRNXpavvkRTe5iVp6bPz
24K26yzDZrmGYeaCK7C+UEBb0AumrKj4DO/TxSac7luHt0uUCU6ma3F39MmUAVk/y7dgV96Hf3hj
v/bof7+iv72xX1aboktjFAGcNyz9LDhriSzWOQq9Rb8WTeAniIejI+3y3H7B2sl+eCks26VIbXSu
lwlHjpgUN+MGZtr6P53Tf3lbAmE90gqxqsi/rDaM3m6PwYhEb7Rbdh/y5fEsLSr6TOYZuAcR3Oxz
W6uaClvVu+1w9d2nb9kBp9NM//wncLFI3/PPC8n33dWPc/7bJWaaN/PBXVTwRHkMkmlIDpNdhSAz
Y40+EBD5mO+d5xRl4id7YMLBXwuXeO4aBo3VH5T1ssdHn2DElbyC1klzERbCgm4HnTGALZQBTDOH
zaSYhz+8Bijh+8lZ4ftfI5QEQ3JTLSYEAnBUDE+DwFp7YbdMQ7sUPWHB14ZLrgtWorricoTWPKzr
zRr/VFN8+cq2cpgC4s99rMRF5ZBya7CJzqyQUTgjSXeCB+YSrOm2IWTiRt9RZk20RW2sDO7feizb
erVs716YL4r46YZNz9Cs9o6aFNLNA6Hze1oddW2dDStTeYsnbOJn0ImbfKG/Sw8rbTahOLpGygx2
zcYIvlh3pWylU+8bSF/G7ENanoa8ZA79JNCJEK7yjHhIGePZY54/Dtnw8fAqGotjjuGFn+pfsTcE
4kzrxrBEpO4PdafpaM/B3DvhUcumNDHiaCu/E+NgKOQNcOBQy0/OKHnYweiiI1NhoT8SFDwXVrUV
rtxX3+88E9MZMiM0zN99OBvwxV8nDUaeoNvnt8orUe8XJRsgZVbRSBhWyNTM/YAH5vH/uDuz5cSx
bV0/kVaob27VItH3NjeEwRgkQBLq4enPJ5+z9srlysiMfXuisrKynNgINXOO8Y+/cflYAkY/wf4r
H+GbsLKG8dxKptLBfGdKgoWbA8DSbfeYtl7BU50GYBWSQKC3AyMnmd1uDnkRXPFjakPYXbngQCnD
P7PlgF8uO9XNtF8rEEyCOUSE5yborn3HDBGOw0AZWofugNka+iN+dllP6/XZsMtAn6Fowskp6fVU
U3If4bWzLPfaID5txNsypPFAaaClUVwkU1h4Hb3+fZ7BnxtLr1G+fA2sSRaU43iHTxRde5hAeGS1
PVwElxqKyz1C4zlPQkSlNn65Hs+DUwZlcHPh3Lu3qTKIvROlbdTfhvCHQRMgd/mvwT1A0sWLMEwa
lGsCj4PzPF1eIzhxXIGasnTYU/FRXQE3F8s2ICly/RrmS3MWR6DNRFKt4520LcA4SBkpptL2MeY+
oHa9D1IKFa4cuq1kGo+lQw2vap5PlWHswb1b8xcw5vhhUxWaHpS002WaTLlR0TPBhV+LYyQf6VJg
ELDev7PoPNbGoR1bB+5Zbatt+XG8WETi0yxfoeUXS4mLCzj0Ta5ba2JPCTQO2S7bPdfceNZWOVzn
yrZe80nXaMKi27TbNgdrIhHniXwqyEfdGxeFh1YLzmMTx4EHHL3sBMuyhcn4pm/66oodlNdg3jCt
tpdlN3ycMgRpr7CPlLD8Ow5dPYWPaqYijB4ofnKegPZYUwloMUXg/mT0YJuh6oLXvPDaDJptM0Qx
8rDT14gke+0A1Qc26rEEgTkxMIh3xbYYJoiYLL/pxVS3PhGGD5fgsoTOZO8w/eS+g61ZzYRtdVuV
vcx4IBwY52hDGgeF/RktFxcIxlwNKTwQuCNfIw4knzKYLRGB3ufCFsoj9z9rUH0i9UTD2wmWuceR
xTsyKBx1+qSueWX4EAfKUPHlqAirKSZa+1ANCw+5cMiBXzlDEimjpLRPq70rv97OACilk+VomAiu
6jElFV4mloXcw0N9UyyTJezP57v5zuNfn54QJdcNiZbjBUyGT564fAnZszcNeE+WfOj8QLEC0XeZ
59z8cGlPjGcs1DuzantbHqAF8lFvB8gtGqRCpjjnMNPctnN4zlHHZxEs2ecZDc8VkWDmyJew+/ZT
cC1EKc/XTCPyQzueyWFrmoN6fT83OGapQ1GaqKaB94K60u4uwJGl3Kdd9lWwD6BmiB/WpAXbujVr
CyJLlGwe6oKw8kcJrQTxlnRxnzk35XMdd9cQ0XHP14O+lxO3a0RXi4wBMFuDmv6MQ9YgS/xi12Hp
0by8ghCRTgNHwxKFGdyL+red5LKfnPYLAG3M9anEroimHORTrjYRyKTVGEIMBdzS0RfG3CfcgZiw
g0aXW9wW4A2mUW9YNSuneZTvmlPMwn/gb7CyPU+FxmvoZuY637kyLXuf2mXLNAeDgAH9ufWBklC3
pae9f4tzKDW2PULewei55V3htLBDDrQ1SVtfz7AKrqxapn3paYnmIkGKos7PC+HpI6DExSbGG6bf
hrnVnET005nkG8QE1U6h2Js3QK35XJgNvhBjOBfv62KD0HIPgdJGH5MPbzLR5Oj1mqIruq+ShRAM
Iskh/C4ChBw+Q33A3JE5S3dyolb7AJpDAF7sAAUuoxT0QB6hojCPqD2EGdqlXGc0YbdLXtdhAPvw
MgnNPF646Pft/HT3mwlmWhlyHlBW7xyYn/vPUhjQZ6kzcdlFEKNeMIh4RJGfQZRQiXxBcM44813l
PMEIQuJ+wwY+IyCtI36Fs/cIS/WkAVtDwAL5XuH+yYkVQZc3L2lo5jsDzSEiDhEHKzhSUZMOQaLj
0WvyWuS516YjgDstD8TcjgNRdbk+vetZG2HoZwL65kFmbi4Y90JN59KlUc3tAuc8HYgPDIKNHd6C
zfrmPTExDTL8MKqJOdgPq4M8k5dq56sdUMr0WnrXAu/N0tFlB/bZAKuIi7LrLit9BImN+DtoCOpU
XuID0Wff7a3FSUqjTmw+ku1roeP0xtP0yQEzHDaa0a08CZeXm+RBEc/PdSiu6svwQkyd4F6PDN0w
RliLgCAUAyxKdCGm3ZBLs6wrAm/1YeE0Yx5KZ/kcMmukCk4YaSjhUx1WdFe4EmH1VjgbxCsWkTg2
oYO92yC1I+wXJhwRX0OGglglg4qxtQZYhRjnzS1dP9LNPXlrUr+r+8FKUk4ftR9jD7ZVs60Ru69P
RXG7GcYj+8pHGI38BRFMn4BIAdiDxLm0/PYW6WbpkYqVr6Q1KgG0t05JTvNtwctkOIPlqah7WUyM
BZJLVFEZpUc3BwwGwz1q+PVUTCjB2yN8Yh82tOOztDTxcHzv9m83TDrMPS4RUHUrDCJuLRLkEQE+
nsJQBWGaq5aaZ+3DDdWBzcSLf0RnP89lOx8RPcU/ONfM02MLGMN6jechdydyVmugPoYHEeMpVt0k
dYyi38j3bGbpMcVCYEoBjonka6rQNvXZk//+6WaQtl4RKXzbUxnf3gosjHCncNuQlgyrg8eldqHq
lcagBNvZ3BavDWg04VbMbbO77sOXIWzChrSIo3cbajDKweNmV8krt2B+ghAYRj/XKXbGx/mtQ8Tw
sNWt7GpU1DJWSN/IoPF+2wH6sdQ5k/UdAzYaunbwdfMeKwxWph0+Oan93hviSIQ3g+7zIYyRPtE5
bU/n4Q0/o8TLHTgRDD2XbOM28sGo9b+nSjt0Zh4aVLw6bctVQn1iJRAI7es2O9zG+wnZnMxvzAD4
fmSNhFk7bG26pNELTSqJZGx4+DHE/nmaB1h8MMBEuehjfIX9Qk1K6GNrITFpey+PfH4lQ3mqc82G
8rA3/VhKvfMoQWKkWLiXMqrFOfcmwiqEI3mMKxCSQA6G72ahOohoTomwPJfLtHYrvnPaWbak0+9+
kBA2UnPveXtLiT38BA60ZukpWd9UV6/9F1ANdfLwMUzW8bQf913WGD7hR7WWD3iL1N2n0oz3jBLX
8qTDeHiAFwAeIN4B1pJKkc1Lcxl0j1W2C0kxddCKpygP65AKfYTGulNcWb8DpF2UxUuQ8AhMXJHE
zswTVNJAJcytcNNBqcPW9KTWQYg34AnlCbLkYwa74G7cPRLQMmEGJ6FPol93S+LM8QAlpQHvIdkx
3pOxvlAX922cRcaqmwnDODvuP1pu1WoxVG+2gODwqB2Lan1jsZeasBQ/YJzUktcq+Pl5UBdKLqqS
OnpGvJtDEllKW2S0A+5OCQmSDCALtcK4DbHZ5+Ymiu5BqFt+PvJIl80x7wFPvAcBnf8fg+X/T/67
jC4Mwjn8KBEL8V5U9ifeFSOJH2ORf37/f8YiMgwpSYTgbvV6OL7z3/x38V+wdk0mGxou9t9c9v8Z
i2j/gnrJoMQEb5eQ0AFZ/psBr/1LhyOK77iMhxUvMP83cxGEcz8xi/86dE36YeBXIDuRrmaNuAjr
O6yCbsHmnAwuzVapHNZ4xJMapJb97v/+gRWVLYPXCQZGUa1T4BW5JJ7JcPUrLsb9g1Q8BjKtIqE7
s+SMjH9CvDBiyCyJzHWf76gqYWn6jeoJR+tICnx2eycF3q1o+W2ZCIeoYQslGR42k8fbybvzF4nF
/IyhgHdGHOLrcXvDe4v8OXbLh4v1B+YdV9utcWJi12F3ehOG/ZpfO7gf1xpl6QQs+u7AmH75+B4b
R2s/bnPSDX21/zpU5tuJya5XDi5BNtBWbHo3QYYbzaBVRYQ3Ki3qrZEqepW1yDBxS6OyHYl5kMYT
g3mmbrqluLaUmYn1huKaaaQXOJxifuOk7YBzxHqheCrRwoqXdxN+twbyTqzWorllo8+smdJxtl2s
wTi7jJLInzcm1X6HBQ6XpdlXrgZBZ66je3atN+vNRzL86FzoNIyboZRkE4ka/613D6CNLuc31bEa
R1q+bu/m2giHbO3yDk8xAKmYxAlmYOdJ9v3Vm3f+QhR+hUcAFdt+kVwxZkIGv+hV+gIS7FAXnYqm
ZVe5nTwpAlYVdFJja3RFjuvcMRpKbUN21F13NFlIYKoLBQWchxWuFqMD6O2pWLGjZ3iLB6lgCybV
u+HoJ1ALbDnYFy8ev+7qvFXn1aeB7ZLuVTQD6uqpYO8xwwuXmkBHh3BzHrjU4joCcDWm9cMAI6on
14nkU0/gUTwUF/sE9QSZoeDVeVjBs9GLDwlLV3CR42N3O6MMwAFLBUeg/YvzJCBT82DMkS48Q5lQ
DVjyrWWb1LiNn8OygTtV0CAz2qarQ2jxdB/fmnvz8zwHi0aZdZ+zbagZ2/LkQvZx4VmRdbqw5mKR
dnaEOWaBywe76zZ1QZtszElabK5jL0S3FoDaeFr9ZIJQ4mSgj4iQnBGlGpncADF9RqV5WTfpAydh
QVNPax7hz+aMDjrxH6c74DiYoH2FRKG7+GrOM7fA0glKSM8iwH0KtJP+I4nDpkBf5ktQPPrJHLLo
k6xAvjAbh8uRHV9guc+xth89PzN9oGFlcXEMnla/ip7NUDh1nbfH2nik4/6L459EkoUt7fjjLVmy
Y/G5y7OrjAll1GwQyA6vtnTAi60OhpmPuHPAD+SXTjsnzvlDN+dFypg3z73c2w/4C3GJm/M7fGN8
qMHqrk+cv72Ktjm1mym/lXbuo6/kK/X8Pjj0v4E9eeRs488zhQt6n6EdLN6xzOC/sWH75imJ/PBg
nprpKqGmQ7pHdomrwKQRXcHs64B2wX9jaHZMTQuPd3nuuk98NXB4Ln02zSt9+cRAT3gj06pKNxWP
a8EhznLSssXoelTWTrfDSBSdITcDD4Bh9ygV/DV8qYXEl7C/uwX8OHEphncYiUNstfiZnECa6dHL
Kf3sqHkaTEa4if7D5VSfJeju/SlG6VvxMnHJFcG9DncKBsq71gjub5zZB4wwa83JfE6tG1GaTFCm
8dkTTrxARU/k8E7C5nzvglg5CveJWBD47N/fONfEZrv3tyOw1FQMq0gZC6d9n6rNp+JtaxzMJrw3
11TaPafK+I4LI6Cjk3vn0QO+3TQeSTsuoKp42fHK/8BO/GxnErK/N1N2ePn3u5jiiR9oMPIwlnfm
S/Qzx1kah2RwVblDow4MetoPck/pvJlCYBzP+OSazfUBYEINuIO4cw5HrJrHb/wPvcVr/AJ9diCy
SmOTkgZvZU7LnFjFG6pjrh51DHcPpmAUdA+3iPIII2VUtbv4+MKMWqEtq3ikvYfiERJndAPjZJzo
1iSQm4jfMOZrp9/u0USNcUGuzN81pn0KIpz+AHTRhYzH5sKH5xnDUsXmq80cTSrBiH26Ng0/1Jlp
6sHNnUPpRFNdsUk+7edI5eJ0jsoY9rXju7GhXqtJ5kJRu2Zfe3HFG8YmiXmRjJ/ha5jVc2XNe9FT
xHArfamdYm7N26mAaHIZPJffVcz/nwXbNw9FF1VDl7EU67nRfyjYMAX4WbD98/v/U7ApEgQRKrY+
JfRH5IuqoZFUyS81DP6OGd8vPBam3hKJp0R1GWY/Q/53wWb8C/aLDqtfwgqBP/yviPLoAX4WbD0V
g3kcKRoaQTLGj2n1XTZbqkPmcT3ZNGeX9ytX8ktm/f6U/i28zWqcJoswd0leYc2sqcpSd3Wz7cMY
ZkOQYU/ydlidxtRYvuo09qEZDXliJ5Av0a6518cEMh9GSDTa2CVGIIzvbBq3JfjuAUSe0fc9uDoL
spe9Fd+9H8eDNzjOnrxYAgCENKswGbt1Dfv16uIVhQZ3cMHgpsE1EJFPP9q2Bo+B4T4DgykAvmSU
PubuMmod5ppvB+B/PpIZdL5lZ14a4q1iOSruZddBNWrR0VsHwa5cZIdT4pWcErh33FuhDi/2xsJz
anfBjgfWsN0HFxyIEsQJE/ezy+f+SxtZB3jkZiiv7m9PkAzX2NEOyfS22Pz4ycMJwDuc+wf/eqsT
hE79bTTrQzmODUw0OJD+6IU5GZzel6MFz2P2lg+C3o6F5Bf/sdJ2NUYwJuv3ezrRsIdxFQ/v1UDm
6aevt5GAM9owcbqVMc5BljSXfeOUz4vT+o68D5a44jxGezsZvsYyzX8W5nb0pXtnP+4545zNS/C1
xowJ2gQr9jUQxiMoJtHSGi0npethBOS+aNmXyPm57AZ+Ol+tiwKcKqBcYv0ovN+X6kAI8X9U/kKj
+D0tBaWIIfNMQjD7cWOqSqvlj3OMDxEIDiEQolcQW353bjgyVKUrYQG9rAYn+MWELgRo1b8gNsbh
NSAIzX1F11WF1HFWzy67sp68MFBiK2Ww9BdL7W9J7z/YMxbKYYLzdB7zHzyIZ5NLl31CZNIzkhpb
j+6bGCj15QsVEUF+QsHErPDLOIpO+VEcnwsJPw6b+ZLGrCwf3SBEgOBPigN1h1NzhXU/npYHHCnH
NAnQniXTfa6qBdEtlA17NxsbnHCw2XGM+qB+Y5TCGNDLx2B6SHMxisJrD/TGSLkfiqEUvL/XYbO4
SrayKafq6Lnq7wue1fHNSdflwZyk5MUbYWtjXcHM5i9ML7Kofre+/HJ+fhAZZCEWNaXm/DDvv2Df
jskZw7LBioHAhTCNdrN/v1IYUfK46YHiDhZCgXrmtr2OgXSh4LqSfehCyUa5z4iZWbxvRriU+3Kg
RvjKSUSn3DePBZ4FQetB8+mtLJbIjvlVT6w3KrdsjoniadUPqR6BibbCjjMYEquLg4R6dBlpS3Fh
fbZR7XHGJWcN0oW3deWy1Ewu0KdrGyZdHFpBcPZmk8RD/wEzVpleVk9n85V4lrt5bCA585Tbbxgt
MnVanSGQDwCbBfzRPsm3r4oYmZrDQ2yBl0TQeQFXtIKZBsT5V6Cdw3TXTycisfkqVPcMRiattXT0
AL5+l//Clul3ln9SlP5zUX526dWrYhJzEUSY13qA5cdXXrrN9PIWR8VQnF42NAtX2TU0pAQ2Pc1r
m+Cd9HJvfjW4hsZ8zw0G/Qh+95RBCLl0jjIt/GE5qPzOV6aQjwKzcH7ZY2f/VDBZv2X4/HLMPe3q
FzaEIN+z1txzzOfJjbbK6E0Bme+oH5KJjbGtrsXYOXcuDTmLhLnplu2JeeqOOSECoGx3Hl5kZ/9u
rm5fTKde9yD5EmfncX6Q9i72LvDCHZgC4ZpcEbsIll/xEvtjVlXvMomfvrYj0t4WWdiv/nl502AF
3wUHg2Fx79aMtlzlMx+dJ40ZoD5pODynm3VTLG5L+y0J2mEXvEsbLcpklz44vvua5jMAuR8RftUQ
7RqvJjbD+At7rjdD+HmZqRL+p6zpYab/OmWP86vBxaiXKFxGWGShahEjC3LfxX0kYac4AJCQ8csv
lZP69GRHd9Lel9/DSYhN6gzVqNpm2OuwTSduB7pc2SraEyk4h8wGUHLEJC6gso/aN2P+RDnEHH5+
nlUbI+qAuusVzkO0rZVzo369utjvB/oEZ23vz/eG8pcPqv3YKwrteolbMiOD/O026iccnjIgVsqX
1FDZysyImS8+T89xxnQUKTr7P09pn+2zhitYJXRKlSe62fSJcOEV7Y1ov3ctxgNwqzqn641FXn3c
wF+uj9TvDT/2DryiMLEFuBP7CI3/vj6tVrRG3mnovnBjgK/2cPa5/8RLM25psYfX1/LSrQR1Imu7
P58wSesv/Z/euj+jvzxNFy17PYVOF4PuSAAVbpx47cET2U+upS+K4+tHGmZ4wN4H9L/opXFLeuKm
ifrFgPEe9eM0/C9rPxMGl4MCnT495Gl4B5BHqMOG6/KrwfqHtsS/jvczeBTjYuo/xzCfH1G7wBb3
7b7bC3ZD4NeJ0TtuQHgLwahhWH2d33cXNsYJ2a62iZBocOkdlOxuIU+R/z9ZlSryzjGV7NxvEtZ1
mmHjMNcxDDoAUT9EFxuBE0JAxFDFWERYc3dvg1420UwUJ11A07G/coQyVKX0Qx9I8CIGj0Po0QgJ
Mu8+NEK3ZhQCTDK8nK7wR5fiVjrFyMFqL50zCFBmV3jcTH6AFtikcaGCGfveTdOL1752WKdXR6RP
N4y8G1JnPT33Hqafp39ZFOXfUcTgwBsS3mE0CvKP6kPYx5nQxqpIkcSDTHGbETVyHjajl50On3D/
ZkGG490I1pX0Vc1THj8T4wwsxJmorK3Rn2+r3rfln3fVL4fzY8GRCyN71hqHA0L4IgCWsZaD4y0x
WenqIXoW8FzpnruxcJ0Sen5G7abmGAsyuDfgOu3drppooqNLW130iTfbVriIMOxjBboezcUDfCvB
/91+NaHKvGfIQEeVerNHBQvM21xhEiS51kpm/LW+AZ5RyzN4py5CF6SF6eUL1gLupopXQntf/vmz
S+ZvH6lfPvyPpzk753ou9x+eOEe/wqJQB3Pwi1k5Ly72laW3DaUMkxPkis7F30cGmsOv+901x6bH
8WYBN2ZUnJh+VZcoZ3MFWpgSdtusybKZmqyb5s6YynOkL3gMjMZnbLvE1utwxLxOZehoV0/PHEgp
8LbyqXkLjUG9Jq3scdJ83A4ITMZJ7DG+Q7ep7JQ+o12e66D4MHuDRZsEcqaMxkxZpqEOnbpzN/dp
vkDbpOwn4jnAJbKE38CUEWk+D7JY2iDRZxw7gShqV4MaUE9Sc87ng93CEw2bZ0fPlxferSZJDEs0
5zXSA3mC/OBLmWHAuNhH8G3XZ5yjyhmp5lBa2zEWbkFqRKi0rAUiP+yX7Kf7cmIyaBrv5RH8pbni
IXZ58PaYzEGzgWOApne9Jh6gVViq1S3IswWfFeIaHSvAE31P5zym96mEuVbZm4sNXxrQGFWwuMVG
/pb71F4Gc76DTBouPJC/Jap/L+X/WG8lcnfI0IYVLv2glrZdIuedLolB5vVUzNrD8pnrMYCLRVXL
LsTO5ILvIf80owOcpXMUr1827TcJINPEp21ewRtj8YQiBnMnsWcZsOAVoO84Yo+daYgI6eg80bc2
PVzL6BbAVvUZb9t45HqPbT8N197wR2btcxW/wOiytb8IIXMgEkSZOxeDm/OFo84wQ3QpfeC4OWyX
Ii0TtWygufvF3wi3v39kFAKkJInfv5PKf92FjDzZi1ksikHJoOWrxILPw1Gcqq54r5Z3wOoxKvQc
Bg0ExEP76Olc7aQFSBSytwQbMABKu93tNVfQpga3H7tAFirNqaNegzanMs2w4TxW26TqaR/8GEjU
T1pcbG/Qr9sV4mbige7Bwxi8P7uhkgY5cW+YoqHWtjXuP2tTEEnz2DwGl8wh9Dl53dyy+zL1McQe
QSO8CVta7ve0zw6AN72xPktIng2MQtTlt/Etg0TroqLbf/x5vdHN3xTxBu5a/3PyfozaHs+rcsEA
Au8PyniQ1klWOHp0G70kiFQuY4B77Cg+EsyIMydtOTk9kxFsO3YFAnexyWAtFp1YGsRKoG5Ymfcv
j6BFTLqryusNEWKXJqoboYYeXWbJp7TS6qH58bTwfMJByk3b3vDwdrxG9/UeRfeBKIagHiXDatJs
RhinfAgBlsQ3T35EJYyOkALxq4jiJY9cs27mN0KnPDW0Ft2wZZptxo61rXRsX4cMc+DgY6OgrwTv
kE3Y2+72eQMGM6pCZvEieWA4czsZVBz6WMmGCCm4j919AIblau+XOXMluOOTHjtQRqb8hmGjAFXv
hVoVUvL+iDVE5ciHB1TYOYAK3AL7JgfKV1uM1QtqZMScF8R+uFijvJjdhvtlP+wRBwbIK4pPjEeO
hseCM6ZK3DD0gzttKRujHDSWna8SETek4+Wt2M8fAnzqJowvUcJKeTuPJHanwZ1lEkxMkjs7EYI0
H9QJfoSTRPZKqXHCBjeIG2ds95inPjc6usmKHFXQJAu5hTrQhnBpCRAg7RH0DOt61oS+XjcR5OIL
z76vzfhl7IexTobQAz5H4xNsfCaikKXkCQ17jfHDSIn2x9visijoTUwfDtKApfNmjq4oteEwErnT
esSgpBGkiE/VGrasyin6Kjxv7PqbzfNMHJEg+bUFDJVD/tNXIPo5PbdgP2eSZhNTCV8Asg+oVi8x
s/OxFRKQlIYSDbdoN+PXroFp+84uVHwQMRPqNtwxFTMduAUK1GPnbAW0S9XDyRcKsVZFcHYfA3RW
FqIZ1FUsFoxqCU62zzWG/xiB2hg7znE37IHAkhQd9UBc8xh3y7crSnaUD7VD5JTqydKKMyOPYYpU
AowkG0+CuqdQonAaCDON1E+oMDvIWJAFw8tCGOP7cFFCTYvOkLAo77bqkvL4o9H84kuwHGWuvjUf
xkYcdQ666BDCVxcli4oh2vo8he9EcITMknO48Eb6OGNWhlp/3fZuwyreynDacPNeVusCoGoAl6JK
mAH4MuFCaZTiiIGLMDffkA9z2A8FDNDpvQI5pCvrjdLhXXIy6L2PjCM8pG85euPOKUTsmZ0MY0II
+LItQ1T85FUdZdOOI7yfrvNelcYAWMCcgOf/HT83TfDjhTU0Q+s+kMP957kdawfIyIergHemx/5D
xQ4VtYZ/ffVESPngGIzWtjg2Vj7rqsSaVDhi7ZXHvHVfX9rXZditIflAOBGLIeb/+9s4pqwmwKfM
IhJ508SND/tFM64WBbgNExsXm4VBOSLKRovqpThU65nR8lxns9sk/8qEnRwiR1jitweI1sE1spXc
E3mSEi89JIfXxJhfV/vY5uNra10dcMK5mIx71FEx707pbn8gque2JqQVABPbIew0ueKReoDvAl0y
6RATECvlyFBvd/KgUfHoh1PJAi949Sp5LEgAEFwRiUrzwALy855i8m76hcaURjWdbO/i6WJUU4Mg
u9ltlE1K7PWjc9nLb5S+2ybEUGNWfsyncedIwwrLWzIgxLkSXiJpPbfwe8PiyAZhSULihWNH/g4P
RuF1pYhgooywEw/wN3W5L90UOrU0ABV0la98oy8vW3irYGgL1OmDa+Jn75ID53LUeMnHtUH4WX82
C4VykMElxQJ5xDCGL8hOtanK0xOlMDE/jRA1OJF4rhwTNFpA8zvxpBif7YCm0ZPIXcsHD1DiZK7N
RHV6u06IrDCVEAYWJKs7527P4/rnvQ8Po981GgrjGoguWDtKP1DFIo+VVm2e1NoOPaBP/gPFDQxs
aHm9smm6ugYHyc1Xt0uwkwgDKgfixyOST0CNC/2LC6DT+M0eE2VEgaEMnppbzx87qtYSMsApQcOg
kf6loa2zL8dmhkkQTrdwyges4WcdCb9PUJlLZXLeMeVlpDBRA653EcAY0Gb7dnOePvuukf8jAzqf
1ZP7pJw00wfWKnCVgSK1MZR4LfZ7aCILySIIr5NLiE/EjKI13emsLo41SuGhg1rCwyoCNLHx+LK9
v5V+WcL9wwPm0Mx5nOvRZfGaqzMzRE3cQIZhlS6cl7J7YXgGqaLFpUaJdB9HEIr4AmqvTYBVA48v
pzH40GoXuIMixkLDY87bQSw4CUFepCuezpBi531IkoG3Eaq5bZlMi9PDpC13QZEhpBKYfMU/EGHq
EzeAP1/nb4z/H1XzL5f5h1hMEM9lJ/X1ISkgqyqU3F6Cagyep4wZKxP30z16kfZwJOBkqI1vGyOA
gdy65Spf4KKwVnGWEd6NsHsXRgDdY3XwoW3qWX8To0H887FqvwG6Kcf+c0v+qPArHNmeV5VbMj2a
YzVK8BGA7/d1nTwWtyWSm2baEQByHpYb2BzZAc+XuQKUjXx1fI4HqmrnWGG7N57hPRnqdnqQdsXF
MQVfwqJtBFqIT69FXQ/jUjRgRvIBpZDiIp88w6u/pC2+cWcJ9uff0OJvZ6h/XAVVIqSJZw1XvV4H
/QtWZDXJ5aZdWzGINz1j8cOMdEJmdH1Cb1cDitsqbULpCXAyFpkVluFtwHY1ztAOhYaLK/hnOYAv
+lcp4W/Bj1+O6wfq97ibyjNOOOMisWj2HiFjDdwgLLPHjNneTLtCNKNsjKpDg+kyIjOnQZkPWxTt
0CghHcVNX1DelfMU51M2YifdVQ8bcAfzVu1TBwb68y3yM/Cz1z5icfafE/kDrRHFNC7iawc8Mn5+
6dF1SAXHHjKv19mpG7J3srD2HBSamkmHBAeJzDUsLmNh3rUfoLXv3QTkgiUafj5GIhV7CzTcJUcs
hc37nw/W+h04iVebTCQWw2kM7f/7qnd7ocS4thAD2BYfClZDuq8Qx147V27UNHCx7XOlIoSde37h
swQF67pTEZ6UCHYe14mO39bc2qosuwSvoMYj5ImJ7DqfngfJihWY5a8ULp6lhEY5PLOcvRZoP6mO
i0PCjoO2DLrbdO/3FXeI2wH4hD7pYL7USxOsfvuksoNoqi+Y6pkMxkT3qo/BBQJxWKBgWOrf1xHX
FUrax7KEekG/D06gH27YfE9lYdiduvFF8fcWoxkHL8XL6c+n8Lew9K+n8AfIWjVJ3lWXCk0ecwoP
lRH+QjPFrabxvNniWSaj4aUSpEpjM1932I2DTu0g/mRBN3wtErK2oZLVsypI0KlI8LWHsRmJ+vh5
gOp8UZF0YEf054OWf9dW/nLQP5/2u9ZdylIqEV2gAuoz/pjqs/NErz0TLcNyxdl+0B5H+aYN6Qvg
n22hm1/GShhv/3wkv21wFZ4XUVYxBkSX+993oPg617J5f4iBsryN2i+QAVbO88SavsDiX7u06ec/
2ih+DqDBGcNiBhPOJPBlpJAYTP+vwahaMU3ET7/XyMU90lhrLnAUvFHEn+zl0vAF4DO5bGXNadhy
+TmQ07u1tJGX2MMsMj6hZ24sHKTmZ0RDwIm9Bfi43W8S2RH2LlpNyt7H+jwmHCWFgP+YVMVMKOle
KcK78Vk+5GzfUozMi2EP23pdUaaS04vJxVb922DvN0MyQ4HkC2uE0DzO23+fMtWqWqMoOWW0Q93b
awTy2A3PJGDaekZSWj9opY0033te2SEf6pXDR6fPgQu1uG3KCxPzO+YV6tA6PdnkyTxw8DNBAAAl
lqiaN+45NE1AIa/WzluHCu/2DLAOJe/hzxff+O3y88sn6dHWXzYdoa3q+JHwSRq6wUD/0snTeq8f
p/pJUnAddaUrlp8wS7RDccivq2f2Aap5O1h3MsOHJ5KkGB/Ty73Cx5PJHxphiKyEDaHJmp4f3rJA
AEF4Jg3+5u73MaN9VYtV2k6ZiZPnXJmijb5DeizdJ8Dspx7kBLE2UIoBemrv8U7OKEuKdmoW6wxf
Pyr6JQo4E8jg9bcz8dsH8pcz8eMxIJbmVu1jFuKXj9aSG+tjPy8g4bylra18EmoE8lS5lUvg5xx9
Yr5M3uSXI1jcANj8C8qIgLm76SapL6+v8717Gz6O0FaNedNHXtjJF6m3sDlVAJtNKwDDewXFHGwX
Qu5swyOJiDGmq5ySQTvq9/V0XB8sEHg0QoTS3hm8ohmID6ACF6LrKH9bhHmfj8z98x0hKb+rsH65
ub+nD7/cEnvzqV9iI+8BdmkKI8lHKIxRLjCfKb7Jsq8Jzk12XkN19WrcWp4k8VT9xOfpjNbxrceS
kQCu63V6eIIZMcW8rB5Q7rbK5B6AMobXzXOejvQIOPrcQ+T70Drs52jth2ywVyTeM6XG+n8m1CHN
ujp57p3r4f9wd15LjptXu74i/IUcTonInJqpT1jsBBCBIIiMq98PxuUtjeySy6e2R6oedWL4wlrv
ekN4dc3GgYgsyoH+9GnkjT3S4WWduDCLTubNCELqedAeabQQw8KFKRssW6zX8XPXltyMYeJG/YSG
bBxZYE/KfWfNVA5+td22eIQkE3xwrobbIgFKl6hAlXQbf7TnInKet+xCf9XEm2vh96c05J59etd6
1TPy9J/f0Tf9a8TgVVtrhqsr0+vVBoDoxPkdT8FTswzxNH/H9CuLcfTFma2jph+fZvkIhs4H3Pn7
9/DXkf3XUpJhJ2c6jlEa6ojfd3V6zzWtUXPRrx/z0m3yCb7KnMWQ6JUFnG3cGdv39hvhMcKvXaS7
uFuIzTpL5wwgO31tlhitDk4Y2tZO3GA7HL5BpE2+yiuugOkOLSq6zeyi9JP2/HKTRfeaEMhJgpR1
BBVP/Vwefc6KxqMutIhA0ZfF3BiVbROgFYAj4e2+h2KfM/etHc6HdDigwxtUFM1uQdnVTqzvbpU4
/6nRUf7tHofXJ+voNDTJ+iuWq1ZikaYxleFBkpx4Q5lgzMpDzvSZV4AQbhTVa0R0JLhdA2k11J64
abQJuMhjpy7Uj65dPt91QjS8IgBs5lC4aksQjb9/+9R/uwP/9DD/UhOKUZdnVZ1BKHD6WWnZjy9A
TPMWE/j7juC8syMJ/Sa0gjm0GzJb8FngxuF2US+6Qx9qfhn4tvmjLz8qxAnnqYRdk4SnPgQZrFqc
hIjlkfTKU7ErRjjNZsCgjzhix8KNLve2f/+E/m1FrvzpCf2lQktj0iQiMcUh4x0fUTBzcMUcr0sc
7Y8mxIX9Y40DQTu5fpFv13jdR39AXtwioSfCBvpy6cW3/E05im8o18z4UrRe8z5YCG2f75wa3X9y
Txn3x7/sn///eJEX/b5/OjyUxbhjnSCTMA/3I1eUOaMQ6kdd5SSyn7INds7+EHLs+ez46txxixHX
yrY/0xqHDLwRUJLuHvRToM4IV1qMhlAm5x7w29+/uP92OK2MCxorFbyexb+8uEMrPFP5eac/m1nn
Fmnlst3lJA9xO5s8IvWtGsXs6dqEty7MqIdQ+7wDfVrCLlzn/6H5Gim6//rS/fFopL90i0lribmU
jI/Gx+RVIwDyM75gBRu0iSMiwDRdufcLgCDU8oRfJPNWnZfL+sJ5bIlMdK7kZHtMkHCStGFJ7S0f
M4LxRXyx4dBltljinpxRjk7FKYxej9CEwHCz0+Oz+ew2Y5XkdZ2TfRm3AtNUYURNQBz5g/Fi+Fhu
aZ3/w5MehV3/8qR13Ri5JaKp49v/+3qJZaN/tJEKwcxImN/6ZusiiZDeuCfHgmpMiB9PX7EEY3JM
nin1wKXKJ9EiXnTr3iePHhRQoHhGU49T7hQ+f34e1HkjT9VrYBgTicSJfPYCd8O8bBELrkHYQ24F
CULidK7D2lNvOQz6u/f3q+vfkmdIjBbJbJN5ZiNF+s8FIqEhmdKl0uCL5IkhNKO7X2TF1DpYyF6d
7lsgQgJDgb//rQpc73/zkv75946F65+qkFJos5hOH4oiA2RgmxTH/J40pHROxMxEl8eQ8twT73j9
gimY1Wp4SKsiImB2GHwB7A0N6J0dyxQzYyyf32cGphnEtz8IQXEKRu5VvqrTTUx5p4qt071yR8Jz
p+HvWnnKcF99rGUsYrJt02E+3ROcnOHF2mENl7SMNCN3iCynBv6H4PTeTF+LGOfYrxTrknTTH4YP
Bp/mG5fjqtoyYJlk/iB9PACY7hGLOYGNZvfvmJzPsq0mIfZPsazl9m2IMd51DmyhHouAiTVWX5yM
5qVfAjuiAmlsYac4tav6Er6xcHFxZFkOqv1ao/cyltUcvGMlH3VM/pIZdSLH406EmvP9WrezZCVk
HEd24VdVdkrCEuWGMhX6b2EoDtn1nDWLe7xMtYMZM+XEq0RfKQQtKUiSLa99Yi3SXwz10Bvjdc2G
vv+o0TQVLF99NMtMPmvPYDC4a7JVkfoqpt/aLU0Q07zAzDRYpP13kX9YT8WRMBtaE9JT7fPukgyM
D5P1i7dYJJ80+aprAGGNOXuLqP09wcq3hxQVI1URkAnGpDykGzVJsFI/CjqgPyuiFRiLYXFuMKYc
H/wrgVTNP0nyBfBM/VdgERLR3AoIWe6AFXpbo5cGVeNRSAZ8/F9a4s4tFbRK+Yek+z3BDk27qUvE
fgwSdZwSAYKKYcayaLQbHCxgBXLUYg1SEg5+hfuSdgwIwZcKqL8gHZiqhiAkU2v0Pl6/aEkz/JSY
60EgP2XdssL4AbOUBLNZKjH+fIeMGN8bAb8FHjnRa1dwcm0uf/OTYYYyAEpwEdamylOimaBxTF/F
xlAOgnqr4kueHvPiZj6hJRFlZvZ+aQhuJhxzGVcc41059WG7qBHd5a/D8/kKEhkneVL86it0EYT4
77keM0ohC7sZfD3ceyUMTLEMrhEmj0Pm6XLvhq/EM/m4RBNTkG/8uHrYrOdsF+Xlp6SPGfjxZPdv
XgTlRACGEzPlFitUPtfyw0gfbmXgrNaL3pMgtoITTL72eFJz7ONHBcbwbPXJQ/6I7p0XjR/iytK0
AyckCXOmCE/uzM/i0OPzZCEbuDuXySZN1k1/3ab9N5VsfZi+ZYf4lP6EZP1QqC4qt3QYXi0xx1qd
Ro0+RNBFdYwQgC56SlmjPVR4+0ZOHrmdfCFTmEzaOrOx7mgbjg6nzryuxBns4zm4ajd/JaCv2KZc
oe3AYgjvTiT712L5oP018QRbVHhCF+ScTAVMFmqE3LaAV4kMDc+1PikmhtrmsOh/hLM2YgfNHrok
HC6mJWU/kSBGEwFUe9XDhqx6XT2+uwNyJoHBPeID2CifvPGMTS04FuNAU8AwgkNsV4J1XoVJiXkO
4ywMJCUId4ycSDDaWJjFE/xTOUfmo4hxYS+k7NZJ8ctkL5t35/zGjPdxFkNWvwP0wB+swBLdb8jC
jhlpkCBSXt8Y3j6fnpbvyE1q0tpWuq2V5lsjmSvh9E5pcUBmOh1/O4XQE9XXE0XluVr284LX/Tt6
jxmJ2CT8jYzVJ+AQ60TdJ8KF7Z5JY0Lm82CmW74mbRwTh/Dr25D4RuIX5uweeyW7uuMVKFS7NIPX
LRUDUbHNxHv8YDyM9wNJK6YnOtX30G7RIpjvaE13xroIGIjClpY4HSDBZOUkoRANCuy3+K8xYG+1
FGNmNyh+MWzZK0ufalRRppUybQlj+lQwTiYGe4VC5Fv9yOkAaky2npw3NvM8DJM7jLBYjMhFuF6g
4hoMgj2pC16YX7j35XCSPkZrMlzYmNTF8xpu52rAZgqAK9xKPuLCxJWVibQVzwRm90g/8Apahz6z
4+okb0jxJiDTSzcvrKUFVyE6ghHVp/jVPYJSGzWaTIB/4lNn0HfC9MLTBKqFS6sKViO2LD0yTC0K
VQzQqAbnxvI5f0l2+hHiDRbyXAFDP67t6LBGgx+iOWVQD7Kz0r+gNkrGKgRctbiJKbX4/q11GZEJ
po+D89g2hz6f5lg9MtNn9s7kXMCvJhxV5/VHvkYO/Cbtoj2Of1sdzg+x0geaEvCg5p0fxmldMy2H
Imwn50S2xbm1QdS9jOG5vrNqEnPGD87W5Vzwwpvwaf7UR3P7IqBgPO6Z3k/uHzrhAOyhly3cN0DS
w4XhOVMHy7HgBI2THImXlgZj9/zWP17f9Qf0OBzZa4fMiwGPq27avmkjlVGDo8clwTsCM/g7P+Tv
hpfipf/WLuFP+NqSEEhcbZCYYiS00nbCqoacEl1kgtwKu95Ve6LOVwbsAH2t7tUvhTU4sgZyoq2z
L0gtFap79FNwMs/EE6VHyrtdFyAJwOJMxOuixTxQn93noNjWB3eFGjttG+i/SPSPfvFU19lB+WCe
igcaJDXzTfzSltfgH2ZfWLdUnsJJQlQ5PixkMkDBQZWd2LXiDOQWGJA1bypmNIhusSzHT6ODLfNr
Cq/A0bl7DVxaFKZIvyDQhLMHB2BkjKGf71Uyfx1GWGOtRZtXS/m+EB+za46i/JbEW7ldhNc53gfO
FXzBYogVXVoyG63jXWZPeWHrmTTbsvsax27RsoQWjGjypM5Nr0SeDbmR91iB1tTa8gk2AA+OYXim
TK6frepemUpux/1xpKM1589vRfLghonzYi0713Nj4rhS7OP5uL4iZ5zjVce6mg60CSRzUBZCePFM
OHq4UU38KtjAcVQDzl4fj3bejylDZooG1KHS7TnDAfOjmGdzdCnASj58evcIvXIf82G5lxgmL9sP
yB/IjTbNklNEndf7p98iavhOt+1XvW6WnJSZwy/xRE9dj3CC5iocE2zDeA/UBCfzHVIpZ4JKXgSG
+tgkvoucbdHWvEEIM074lGUr1S2WfYzrYT/6/UVnNXGZh79gKuAdvW4aG3/e6o6z2KSS8f0Z7xDx
p5pSIR4w672OLBz1B57pF8tFvoh7kAFufJMLglri8AwgKaEvlkl/mhQleqY5ele2elE5xjARP18Z
MRLinizDXLGRHiTSRvc6v/3Q+IL7SgJdY5RvTiz8uCJyPD0Zc7t48+wuYn9Uc+JEp3W4MFXYUo5c
XGICDkgMcat7AFTPCjQRffwgnTrAN23n2jq5DRth2s+5OSzUxCP3AojjSMYI7wMcdQ4UmgDaQP+u
w50ACBTfhw2rEqaygHnE4NTNt9a4r22B/1ZYgrDOlAJWvWO81o9+VSczCRU8fVagDy6hJa3sQp+T
EfnhnESlQhj4fBTx++ZOQqtJmr2P+MRk/cIOlUZ/ADLpa9l5bcdfKrpg8+ZB+YRxojYcB1SgNa/e
me4s/bjfSSbSjtq2A+k8hRQGzQHfFwB9xm6H4XYx8diCoAODVpyCScLDHl96naSuyX30+cOVLvmW
N0UImkwhRCtAmZZ8K7vsDPBOsgjjtj2NdcXbR8QxGjavvzvdz+HOu/l2wxIULRVkX6fafMBx+2Jw
S08hQDE5YtmooBa4B1zw02R+n2GvQC7jpFgMQb3E8IbSuHlrNiFJsD55i7Cqag9sCbNGhz79s5rW
S5Kc5W+IGcW2+QCSkuYEQCxkh7p4zzNMziHV39zk5V4iFxB+7oNXD1455X2l/oblk61HzO8dsF+6
NbuRp0Xf7yXqtBggfSwgncNDarAbg+EEkCrMx8rhySzUYbb4MN1O+IE18wQc02SI7fkoBMpGhpGa
LNX70ydFCenq0xPCmSLNn+qqeO1zEejXj55oM9mgOZHUjBhwv2PeFM3G4M/9U563gZk7Tb4IuSqb
bvYY//i82RVRGIzfQze36CKXjyZARCbUy06IJpm6Dh0NxzcqwIwIxbtHudLTjchcKcAQ48UoY8HH
oJETjPJVOTzgY58GZOEvnxP6MWzB9Z/KHO7Iw3Kb+r0UbMFc5HsdQ1x6xudCfs4eNjuMPdeqwX39
sKn02IMs+zuOrFGQWx6kt6sSPLkwgLN3XNIKRKT2TQBBJNl6nemYNx1KNZBPtM9vwsNtjR2Gf5Vl
Q10hzJfspMILy+Wj/WhbyIfGV5YvwRoJzip2PZmfcCs1B7CQmW9vzF4HmhVHTGHQqV6Ja4j0QIEY
RLsQx7nHcuDS8K8nvLjWd653j/PaIy/dBuXl20JratyaA8GXMKjxJ6Q0PwHcu5aNlADl7eFhf6H8
k5BRPB05fcvRjjALjeCSNjvuwluhLPoysMghIpGDx/9WQrYFbE8DpL4v2Y9ASe+OMriKfZsFwRy2
LexYhEsYt+HK9fWqpx2qZeTRWEQ9FukUlIYcbirAJa57m55XCRvDHSsX6tUkX8P6W1HdzvsTY264
8dI3xPfRdhBO+TIDH/GsnzKzmeGsIxrtYUKHQBrIuGugMtW+jnvK8+saeiDvWEnf7jv5mM9i7/5N
dbrO3p6rZIPmuF8PKzw7IQg1q8J0MS4zdsbh1yQiTBfqOV7hazfc0h0UwyONwrzwLU9XZiI+qwt1
9qBUw3C0m6enATYVBgleMlVm3Q9G7YjLdnQSsjmRZTd/koeDLtJ8nNl9FcHrgRqvM7FnxrpJ7195
Pk2sLcZUPLWsXbFUFRMCCrXmdQskh8qjwcma5J14nTMF7cZhXy1NqOYeuf+qF8X0CvUANkh6avng
x4QOF43jdSda9pDK0ml9TPRJa2KARRwrWXHNmtOJ6hwOHqxvHDLV9+wDU54Qbz2s2rWZpk30RQep
JJrVVLNkiiNeyqFMXd0Ib7ThPFB8rJMfPJs7LnuBM5SXQPIEYYK3IA5yPsk1Y1w8SqdCmWBqKLd+
IZ/aTeNaM4wprCOorZNNIW6Wl/rSzCyGQe6V6LYyyK4TIo2Cpx/73Rp3sMcn1kU6E8MEARNOZ9vy
7goDk6dzuis3h3IN0eX53ZGR02LTOe4YXkINQsEHnEf1A5TjsVQ2xangZrd4LHYZUXoz1stPkGMM
vIaXnSdjH3TkAtMPZbCP5pmzst6xfvSo2uar5qdyscAHMsRNhuqGrnIiS24UYs3oUc4Af+LwpJ1l
OJ4N3qNBhCABQ1burl3oZc6DwMqJdnXjGOGt6v3ap8511RA2Ps/WtF2P92ape7VXQKN+2Z+tkzvm
ST01O+kWfpX0IpGLyF7G7g/pO97Abzlt9NSYQSUJrAvmSu2CzkjeGfv07eW0k8IrNkxBOWL1FUPc
0f+QOO/G0eNZHdlJso/I0KJApFY/RM2k+tLWwyU+aPSct/6NroE0pQMZodTbPR7YBFKpdrqBK+XP
8zlxbNy0bj6/3qfiD2PrbpGjxBjerGbyQsweuUaxFHCfentuyiXWMl6zJ9wZadDhugopejEnFYF+
oDc5rGwlX/QnAGXGUiJ7EUvt3n5VHtunYgpA483KvqHs4P2EZyD05wKzQfLOCRuJRx7MYwsncit8
F4wI6k1dXxTsFxblyIK/nzUowxBhxwIfM0tH+IpkD3XbD8cnjRGTMxlGv7JMThGHl7LEbDOv/HQl
ucme3M2CTOeNnLs0Wc+zTFhZ6ak0o6l/HSXZ9gl/PoCNfi+XdghlB1HC1xAxcsQnQXjiuYs05fDc
plvmzw6eTzNGo4QZh3a+5iAoSXoGd4V94ML3aUW8aGkkiEfSioV2eOCHZ06msWRLK4WnyvzauqTN
McpnErFMyFqxYyyDfyjDSGnrfOVOn29fM/ro8zC4qbLEOlW2Yxzz6Ms9c95ePbp6mQDtd334ehWO
se8YtLfu9X2U9T6xjSmnQrsuCBWacZeWrwVPHRF63TjkyeHzSnW4NWVqet2T10ygizCo4HdhykgV
zmLSWywg7WS80GjHqPgyu8I5h04RW9+FdrNMfGXw8p3YatAc7oD4DhRAAYMgiJwboIb863qdJGtp
Q6pRY0f0mlw6iON94esVzhqVUnjzguv8mjUI0gSo60D1ogbrJb2xWpRuWT+WKY/4hAsiO1AbUeup
fBu1ZI8zRtsMaLWzLi5Hknq9eSBNHXmGAIWjGiu57OmIwvxcAUTipaMc75ts8OBaSMvcg029Vz94
t+jauOO1ZRR/qpKrWoPbrDqSGaLJU3MgoDI8gYAl0YVqlJqlk79pmNRKPDlxEQfqdcJ1wxkA/WD2
8mecVewH5F/DRRJ8RvPPg0bQ2N3HWYvTXwzq19x4eAZc5veCg4stsMhYrswQ2QIW+MFZhFd195Lu
KAaFF620JYKFTKWcJlPKET+vIG3fwpdIMpkKA8Rhr7EJdcgfnwBPXK3tHIjBwndSwkaB4/EfUS/C
QniLl7EMA23ONqM8wlRzzkRTB4L9pjqpN/mGXh78dljCmGYiisEq2vp8IX+8fP0Dc6XPCO29m63j
GQycDCu0E7ux2jbvz222Zlc24awHEl3rQXgpp9URlgv3fPtkdDAxZtEqvbpyPRE9yaXUtS4RTKVt
uqxjW4eg9Knsc5MCw4RnHLeB9QaZI0AmIJ6eh/FmhYXqQADY9HMzkA7kkfnQ+DzjFgXpUXkX0J2s
Oh9FD9ZQhP5ljnaEHozu8GM4cBM/v4nGKEub1GIB/8kQha4wowKtm0/pknvxD2CQfneLc4pIAvpw
g2aF7pZxPCloKtagUO7JZC3HbLKmsGH+SfRSe/XEz7xrS4kin1Ic+AGlPqU6kXKQIfBfWEBXH7B/
jsAdtwgIlwOWsM+lsUmX+AFvgE0yze1ukOD5+gofrfGdUb5RC5YtwNAJSSD3Uro0vvoxlXH0m+HS
ygnBaD9YYl8Sv2yDMqEdd+C5KsBZwdzGR3Lj2nsTJJ/GTF63m/sh+bZMDxpZdQIeewXpIwAaQJ0A
a26vQykz75thpn9eU/JHWPYbZbeBv/KEAElMu/siYKABSdBuyWVsRyErJ5zUD59XQ1wAMn/pZKZT
K8bj2lMuT1wFV7GO7nOMqI0uhKaFO8RSFoSmz3arXBhNQuymIWzGr1S34K0bYKkX4Xb3CYBrlB8S
UElCGZV1G9vNpTvXM758LGzITXrgfxV0D/tRoaWGbTfne/V36VOcla7u1gG35frBFenVC3AOBXsq
jElpLAxfew8Jd83mDSoT8Mwpus0tITyPdEVtFr1rl+qi3xlNRRsZb/kEsks6kc4ypybUptRHhvno
bCLlQCvxcz9UV1uKPOEQH08RWXfAwwD/VLABu+OAaHXTMtYmo632wNi4oh66DUyUxZ74DEx8h9m8
XCZ+N3udKk6ej9epFibwKMhU0tf0xclm4LUu11eaMAIX6CEICuoLOvSR8aV6GmYr17ds5OxXexXL
8CnEP1DMLg9kDtnXPlprH4OAQ6Tdr8rdc6r3dtg63IDb7ny/5cDji+4Nqcc4gvFfJ/0LezTlseqN
6bB7nmgDAyOgq110oAwUJPmqe0Nv0L6jiZlUH9xmyo6icHSafk0Rv9ef3ba9VPOB7jm65A+3m/ZL
Mi/IRxB2zcn86jf6Pr51SUD3Pjzm3U9zVI7EtXLgImKBN/V02/bO7jnGyYYG7gk6ZGJTgd2w3+Cn
9wK/1MnAjedcqWlL/Oum7v28DSLrrSSp4DS8sdyoGm6kAIqPeYT5JeY7x+gt1VwpsE6EKfjhASaV
sXte7Wdwt4vP9qz1awnXKOBSetH7JG4PWjwtcNqYCoKLUocgy22p3Uxwia51x2YabcoJhFzwNF7N
aJHcqshpb/T2KPqI/0CRwRoiMfDEG4+VBk0m3aTyjfmZcdQZrK5Rj1Ni5xS5uVfLQXSfJ8U+TLZ6
cwzFD8ugT7NVCnDOonO/b474YTjPANNgWdgV7VvVXd1H8xX3u+h5qsoVxnjMwIuzNAM/Q96HExTd
Cpaf70/9hHMESjnNgjb5Ygy7gMn98KwT3jYg2kxA7u93l8vTAQszk9kzHDsNm9McIwGqGmETLcWV
Vjj3n2HfcmYwg8MhgQxeBXxLXReFH4eBCHNto5QXjXtpGs+EjcwNRmaUU0NDqA6UGHrE6UbAqzJJ
6chPeJQ77YqES5rjg/ol3DLcrAjhNR1q0v7tzhzYBxBjYBUdxtyYxyeznuwWg+DtZD/MHUR1sYq6
bsX7wOFjlrf8CucaRw/SHWDMTuODGAz6CnMTt/uxivmwui8f3hUYF59CvZ5U2IJ0k1KcY1xoiW/Z
mQpIY5lCTGWBxB9MW4HLPlMi3WByMYlbPnxEKIX0IT9xuQbTJ2NFQBBTn7AlXDzKOZMP5g7EwieV
i1ZQnxSp55ovh9OTo7XTeS8BJqLvDnDhwKqU0SBOjDd5m99CJGi8LI61hus4pVBaIkrH96Repqjg
KkddYf+wJlhYvOm49XyOjCDYgQWz7eI7/eAi2aHumrZUzraMm8KQe9kH86tyJgJyJ145p9smGJRz
0OSmibJpOCZ06l4lrqnL2xfFjTlP34cLzRXSPjYjd0l1aCcRUE8YBOkyXwMVcLwJs2tqd7NkydRW
+CDxhlkzYxSFPDEKydSGp/mKbXD4alZgkk3ThB43e65z0FVSWUUHyUiCGY7qYqRpFJ7IdJAln0LN
skXyGe4O3gnSd67elHZyFwnKsTtlYlyGA7UEFpZbmnEjcSUZT3inyIOQZJv6UpyG6xeceVS8/XVe
Npu9IXyl6am6MeLSfqSjNb1/MGAJ1SNX2BbfidwHjw5TgqWnD3yuMLPK3pojY3cYKbnrRJWTXqtp
Y64psORk2+O/HsdzhpN1PxUbR8Vd15bnXXfpUOoNXLUFHZD9i9nxv2lXiIGArKq6Lo0W04oM9eVv
7AoVLID+jb/079//h10hFERdhq6F75oGt+Y3f2l4myZGhajKTfIb/7Ar1P7P1A0cSDTTQiyijUKI
f9oV8imsDyVTg4Ok4uRm/Vf+0tLIGfuNAPfbU0dL8zv7Ji8TLa56pfRxlcbwj0EdKJKCT2e2tgKt
ZW447c4A6YY+rWdnblC7YuSFZapIPB5/1yYpSFFsj0bTMqYP6lIID/UsKXcKGecS/gP7YwPgwtmp
gsxrDqWSxJiRSdkuXbYTBinHyprlOtXmIu28lEHVBURacgoQs8GBPFjhcE/OxQrigQetI9lViyfG
Z/WyPbz2o3L76WVk0ckHa96scXfgJ024Ew8kK/DRwLFBx7nseD70wtTj/EOnX09Azt0z8XYcAJRL
TjiJdAjBHM/e5gJ5GCCbGNwZPI0O+Qz749rNMjtycHKaqxXzCShJfiNO+J8/9dYTD2v6mL9Mr5uh
Z2gNGVeLCECBvI2KVRaC72/JQ1J11Gft8XX3pvy8aHSUtem/bTJQ7OfNnHSBsKJXIkBF1JZVGZ3i
10mNviiKkPRAhHkNDiNFL81ocusCLxZchvHjrx2J2eD0Ok2xVBW+q8GRlDRIa05JPGAYOJv3p5Pe
aQZ5PHA/zMt1g5PXQ5in9UoNZ0SSwwMW5Ju50TdPBOgn83mI1nrsEwp0h8HUQfGgov3kgaQ6lnhF
i7lD6T3AsZhVmhLwNw4D101/v3rxTvlhMpP6KNNhifOyMJueYtlDc0a8AbUfQiugfHzAesxXTBAe
/CjsUzr5pIrrRNcYDiryqDtK3ZaDrKqOqHHvnLkhT6iFYvBlYpgAb6k91+UFp6+C3Ndjf/XIOeK6
6+Ty0r5UnBJeTrmOeM7E3My73FUbG6nSucZg1ss9IjOuN05MFj33GTlwd9WDSUOHyd06MxbJJIww
7pw0W1T+BFQggTLW5QVGC49SnFbkYESLPFu/oLxbcINovBj2hQcp9cfBB4a5PVmNOdNPPcBPlv6M
r9HMDZ+HBA0swiN7Ykk8bJ/VQTkUXoaj7rleZygWTfgws+G9r3A/d/J8Cx71FGdN44w5PqYW4Esi
29yLgsPXf3bvo/8s5N9ld13cATd72/hmkbgh46lgOMQT2BuEUmP+M45ZC9HTMbGk2u9W+NsutQPY
B3/x2RY270fAwxcgFbi/LHfnlH4KMQ2QVGJomMLEEd/1w8vL6OYgURmEPdBiTnqf6oW/EdYhrkhz
YJr38jASfdokoghAcvp0oAcIPayAeagpITFznv39bH3fz7y84+vU+CAehZfi3ELtcPj1Bbkj+Ppc
g195IPtEmFuig3QED/ONfsCXFF8kxmNsePLBqcUZDOImRc+g0FjAJ+Wl9ojkous/ZEFx94A3CoMI
Nj/8qZFzK7uncKDBweUy8wWXKYzLtrerAHK/I+3utvhFcCUwEmA64msIg/D35CmIssVp2TMx0/G1
H/YWOeXB4xOA89fZAykW1wwOnRdZnhmp9zZG5L3dbgHov5+8fggRtuJ77wtz8qP42oTXimfF7GMM
l+nWPK3rN78AE1LLjfSAeJluPea68HOwsQyBiPmX6EMofS3A4ZPzwy2ZI24yCYFxM395+j0IwZfI
iCuIcTFdpmoEVvJZwih6Y/KAGHWd56ZXmEC3ZSBd1B32XJOt4RRzxsv8n2oFU1Ng5j0n9pJJkT0b
PZ05iVmlyfGJALdYvd4IKSKvpHEax8AgAn9xr3h5WE3giG0LY+TGFSl1xpvFK0M7Co2zfWzyyD7K
RC7q4/p4fHZrhIfcK/KYw9g8sSSgTHu5HOBkc1jjD6kH08sDqkJ2BktTHlNPlmBI4EHsaB4U9wnY
qDW72TMWM6Uq+Cq6Exs0h3/Dc+qDCitwCqJh+XD/h0sdJLO6JBuqLirkXRgoEv6m1IGtCwP6rwnj
f/n+P0odyhnI0apkqYryq575I0pDh/gv4YwsKmOFRYH1hzMzRRFByaKkY1okm3zqn6WOgTOzoaoW
Zn7kgiOZ/W9KnV9qpt8qnd+f+fiL/swzDqWqlBWBdIXSwuymeeDNbIRkYmDiLz16eRZLyUIpFaeH
EijRc9G1lLHoZqGOpwTEiXaXaOTFXOlKC/EOh61MF8IAyzKo76ZIvHanTZM4BFSVQyCXEU8Kh0AZ
R6tWK7RwHtkAEX1V9LwDExevJ/dIIrhtY26KwZPxumBo5LXxUONKjljwOi2aEEZNAyygRC86sQG3
mi4xI1dKlcwLr3D6+hzqQCEPfWBZMJfzqAzDCSbXZHWKIHVKarmSHmUijY3IhJ6Wt0L/r/9PF/sm
i02kekYdhAL/73cAfk8slN92ADX3X77/jx1A8ouoazQTmgSVmGL7jx1g4j6OuYalGSzlsQ/45w5Q
/8/EBUASRfFXAs34qX/ugPFTkkgWoMJWlaHl/zc7wOIH/anWN1UTYr/Ko8LsXMOYfXzmf94B164b
hr4WCp9yZ2AKOdiAhBzALdfT9ZY39YTQaaihTuuTsRThA1Huqrd6hWfaXptEG93H7wdFw6gO7gDG
tKn2wYS7KoJ7Qt0VcrgHGvOo+xK7qXeUOwzRmDYBRWCOfQGqDhgW2eGx3V5t5QLnQYaUCSqi2swW
45cnYZ6FLPKWhL6OuXbj31u/jPyH4Ma4FhHpXuFddJ0Y/rU8pyqedPCkZOqLO8yL8YN2W8Hv2pW4
l0t7UrMYPT7sH2HKfO1/+MBnAZmGjNzbxHaAs/9vD3yWO4v29+X+L9//x3Jnkcsc3ZztOPEbrLc/
ljt+joop4s5nab8vd+3/LMtQx+aVK0JGWP3HcudThqIZ7EzdUIhOkv6b5a6a/yIC/O2pW3/tbY0o
Hoy4hR/ATL24aXt5a1FhQ0LXPoSCtlAW6T2YGhP//c0wstlfvx/KTkovGgNQKuHQ6RgLzgZhG2sf
RBm1xr6CoHXut3QKYwFYzoS5JH1BFup3ZvOuvlNbpw41Cw10LixaBpdY5NOEGAxPnQqttDHJjIkA
2LpFbgz8CgntrB8AgoPmQmcsrjomH/mLkSlhFPNurR+EwW+25kEgJa2ZxwPtFqQw7Tk5auklIawF
5uTY0ppXoorfY4w66M64QR6fz8/HuVvDAJf2R2futFss592r5V6/ad8b40ZtzkgM42kms1sYJEwr
Tt1b3VREGB578oGvIUgdVKi+RRVxGN7ibgGX5pJ60vtdcvrWDzc6bD1EwHC3LAevK5+oQHvwjTH1
BPQUJEFzR3zXljNQxyCs1OB61afy41RtEiv2X3hBx352TuUgCYmZaYUJrH3sWcgs6ZfwldEdM34D
hRWyDaLCajb8P+7ObLlRdGvTt9LRx00F8/BHdx8wC82TLeuEcMoyQoCEEALE1feD68+uctaO2rFP
q9KVg60BIfR9a73rHWbk2kBU7FYx1p02PqfeBfUkrQjF/qJbcVTXST3kIYxjX2mxEqLrMmzu27ZM
783eKTm5hrITFU+ZDthjMlkM6mYYJCG2/YzSzlGqh09iExFoHBiwwbr2QYe9fFwBIX8owYI4HUjs
+Ko7QzZL6Sl3m2wUAnl2xhaSvMVNxTXOmCmJLFea89xp0UOTtzc7HFIIT/3skE5Rd/Nehjwxf8rM
+ihySfR8OrV993l0ul06TL4lvAzJNPylWxWYfIUoickHogVNEg91wIrcFrqS7VUITq8LOM2HfKx5
Q0jMCSjTFY7CCywGUkYLmhvYhC/D//mY80WmsfNcXCxIGRwS/+xnxLFO+qC2DyooCD7rIa8imdQR
BY2CVwQvA9xZ2nOs9xue6m7c4QrDacrHz8Mrbgwn+/D2ZqJJWZqnvQnBm/zDCoIhyk469tjvlvm4
xMFpUew46VwaRNPwO8/CMObrZMkbxZipqQuh0ODq4d5AszxHif/bWFN8Wughe4HuEcbVmE8b7UF4
dqSF8cF2RDN29eDVlNg/B00xHyK1nsFL7Z/SiUbeEfbJAUyITyc1OM3rDG4gH2ji0eJ3GjB2GB0+
gEMYGKlbTuwIE6zjlhkC23QtjEG8U3HZGUMGTnagzW4rsqTqqNZdjtEgy5Y3F2ThQkzYlikXUhWy
cmiTRRI8xehqBDAD00YOhQ7S1yxfyoNHXkNOIJSgqu3n/+BNaqj8KXMk/qM8MdgT/qYrUcA+f9mk
/nr/n5uU/JusKIZhoeSlgNJ0HvrnJiUT8EfQBHYouvbVYPxRkxm/Ab7SlYAKW+jHJUqlnzUZP5Jp
oCyNAkojT+Y/qslM4y8A7PdDZ8/7VpTdiruUJGVlBqblYa0LzGDW2Kcj69KhKNyfqFFg+WNs93C6
lVUGd8kHuEuyAFTR7oqlUj2C7MjHyoQmQOPMMqgX2cyUX7vXAcxjuR2xtrN2qcn2DrG7KzqXpcvC
0YR5x6MN+IfwYpoAmqd98tiUzzBvJ3CE+quHo4lLSAhZEYl3cXMX7//EbxYGvBjNMbjLBYGATPTr
nXkE7DBy6RDpKV7fYMZPGJs8N2sfm9N4RHXYIGX0bpfIQKOVeqJu5/Yr/Gv7iN1RqJbDOqk9Ncae
LpyGxf0NILCND6wNfLr4erxdoB0bq2x7Jhy+x3uZESQTJhU/GbIWnGpzhQgs+uyATrMYjmPUAA1N
OlSNQ/Rs4sM6G5MndjOcklTxLOLvZrsy30kIx8FlnPtEx08Be+ECM5Jko5nXn/0nVAGo69iWGo65
kS/OMEq9RCcEAD8AUhNAc1Q1JNGhDh18cohLGMNPgBaeMuNjPimNGXLTpHXjbGow7vQJ4LNOfg0s
iru5fdsLCHbsgXrNzDv1T2twVBHHUWSQrKgTYkXd224x0edSRMU8Z1mEQROH6uZCuCkkWnwzsYvF
VwalI4ALHqMs7NKPOpmczobLfPw5tXzRg+p6/+x8ogrOi/uLtXu8qy/U+PVahC7hG365gX64adbP
4+Aa9XXxtPBDts34tDZbgoW0gCcx283V9FCLXEO8UV8DdvKwG1+3sjoDCj/P04i3BZYsDsLYUmLy
cOQsIfbsIuVxTI+PY43rHs8JhIO0S9ydrmGLn7oDWitIV5s0aIZxQvnaaIOvtvJYaDGHpYacqMu6
WltjFeJit81QhVD1e6hvibB2OiLenTj+7ICwweyhnsDtMiKIIDkchUuopgGb4TPxnkZ4bt8JFUd4
pUs2WdPZFnkExU5HHDUjaqTWB6ar5efdZZovwLSYqFghBsmEjVqUbEUbaO6F7CY1dFhX9JV6Eh+s
JeUCliPcXq3cRzYREaYsziB851W8e6IdFF/TXUIRgGX6mkSEKmBEnG9a4oYJdXZb641WHsoMtMAy
SLRRsYYg3m+JsLZe4JRd4Wcs6pnYoGdzTqnDipDIdqDAiWAY+vDREpCSlLildzqvM4IInYdvTMUD
LyL3xZMnYON2QGN+hK/zySD4QjgjlAT8QIup1nrNHtgjV4L74FLsqGagzrsonggzhLTKuM+XqTYz
r77eOgwDNMQBsFehUNF8fejmZ2+wQgUXBeVSL79L5Ohi7XIfJ/2ujVeQdmQ4ORfWEd19nb3PZgyc
XXV9cxeLYJPam80R6icVDwBxYJSA+jbT9Pag2wvChRUX9BtUvDgMWd3ZBcQb8Byt526AiC2X/ZUK
bwupZweyzacYDJtNuVlaR3OMoWviXFD2yKEZ1niuCi6MNr7RkKzhgjjLVTRw4K4ufrLxGBSdR05Z
gwZcnr/LRNoXKJeKsTTFT4OfXEg1hXcNZs44F8RdSNeoJYsOmQwYLA/eD/hiI2KbBy38uWaiXwg7
PLSWyWe3kKQ1FT4fHv/ylRIHW4+yJ6RrdrHHgyQHkvsMb+M7FmEAmHlYRdXKwFd3DKE49lBy1S4W
gOipXpXHOgl7v40ob+AlnwO2hcuGSLwlkKm0wN5/StOd2k3v4B+oKMDqc34XWAPE4sewnApBeoY5
RAs9r+3OaZFk3YiJvKUB6wtLLqXnofXLcdwEsCcRmSCHaTC2Fv3TmJYdcQPX5DmUJzA+sWt6vy/O
YUW6aucqOLDjgO5w03Z0/5idqCCdBvx8JZ8C5Rrgr3n/qPBikyf3D6fQwb+c6PZx/1DeKzr8kXZ/
SYutBrXKdPkWhH0rZLCQEgCONBCGGQVfvZTBDPoxJOz8ijCHqc+TeTdUXdHjqXiWJvEp8IekWED6
dkkPSArFORKVKe3OHZETOeuQVE6sTReh956BUuZeN8/jPdh9jyYAzhPTAUaguHb/oKHbtAJCWiyW
7edzyvhhAP4NR56SfL4En26XOD0ScQpQD1b4VMcXJC9rGJ6Xg2zM+O6tHIy34v5dYwjGHfjq12aP
MgTZHRk7dI5MT/uitIcnaqQPukgjvpAzQyWLZcQJd59DqcBH9phqwfvvzSBBGWVl2PQqBGYYrkiA
JwvaC/d/Ph25m59G5o0BRCW+SJeNTDN0u7Lvnl4JrU9ZgBP2uEeY/siRjVwnNyVUs+WtU52H6Rem
j/2UtrkaDH4xSkJbMequrXuGUiTAIJXcjFZapU5xBhWABPxeuGdPDE8eiXIjY3QK+kW+o4Y+isaM
kc0/uLT9GrAbvP0SRSaV5t+XtiIo96/4C3Dit/v/LG3F32QgFHAXcEVFkzRm9z9LW35kKgAvkmla
xFOr37kFQwFLmW1hJaNq3/CXIR6RWGsck8gxwtLl//7vQ/dfyfG6+B1Jv//y7/9xeRSLa3qp7//n
f3IE3/DGwVVnoFX8PHRAx++lrXgyS6U86dBPA0swMMuBoFIwR98O9kCGckgKj9aMJPkw+cRoBv4k
pnLNq1xvr82P/KOs5orgUrw9lufMp3BsUG5PhXx+RiFsDwGusbl4aEu5mLVc3Fb/eWvTtdHp2PAJ
tskeZykr1dOx4DZIx6WdBLcM6UMf6SUQXqT9BSjggTUYDrhKSkyNmoaUhKUR5FDwATz7t34eDybI
+GB+SnNVQ+rnX4PrdmCAnXc1IvZ1szBfjIbZajbJyklF2EjJ/yIkbaxwMB9b9RCA8ZXdI+OYkPoh
UXuvqLhNg4WXlfj58ISXOpJIfs3d6mH3uGVD6sI9jWI+cZnhcdQ94M9C/UqnLy4vPV7axHGh3COB
F7AnYL1uDUpfD1CAMuUW6e86Tjhw5c4EsyIxG9cFMvRARm42rkIsv4Yp5oZtrlmydTFuqCa040+A
oM5HgiiO+nrbC2dodRGLWeWpX1HB52fIJ51QIO4o47XccXcSWOtlPD4X49yzjqroMi+vOk+aDhNs
3WWT5GYkrzKGu12n9bKkN8ayeV0zU2fKbB3bNfP6oF6aRL12+6/xoh+RBctDMabvCIWltGKgu0Z0
sn3MTfZy7gdPFWYTEbqQht0EJeHhuUZeENbs/PWSvTf2tW0Zadshg3Z4cJjVjNgZp6Oe5Yj5CzPo
Lhhm3yAKgIHalsNm6myG7dpkAso83fL6KdNnuJ23kDvwtNI0Z07OLJ5cdO5Po69sa3XM3bLd7zKH
4RCoTRjOt+ubz0ngZhn5Tp3PfJiRMv/akVab7to155IXBiQA4zsyjqq8eg5/clNuaGFyDKCNM6ub
HTjZZmil5MptdU7zIKGonfR6gDjYo4F8zPshjxe4nCnwdQjAnfYc5mPO4NMMeUOMI0/Jg4Kwjyr/
H70UiwwgWfMAGRTF+jcogyixYP0Khf9y/z8txWTSWsxwQAwk8Os/L8WKOoTg4vlLpuUwxfz/kx/w
bs2QTO7EfYeR6R8oAz8CWyeoE+Aex2AAj1+W3r9bionF+etS/KeXrikDVH54X6WXhJVb+l9F0dzv
VXGrA+bv/SiHLAEGvTfw2KjJbqOfL9/aGQRTE8sSBul8TWBexZ/ii7BTaYB758S6ye8q/QHJHI5o
DrK94j1nLLncwXVqP7F34YvwCKoQ9TnkwT+jM10n8CZDGrqmk0O9KoQVEyN3rFVRabxTI91+xEco
OHmzZs01cyEC9Sbx8KBC7ajm/ITyLWxy5x5p2Nmtb083SUcKDhBkZD/DoVAz+2Xbv3HLqgEyh51+
mnRg5RRNk+dSWhPxMM5I7ONOjyi3bKB9dUoxhmsLGHg8IffJLUqniCeqAi7AZyt+SYjqZcuCRUIc
udkHfeznVjSctDQElW3c8uaedj9OPppAe47+KvcwDD2N5B5FQsS09bJp9BFl5rSs8JdCsQIbJafz
x0HFononDtvVJwSQs+RLV0gXyPI4ky7DtyKCO+K+vHwuw3D5GeJeSRc7rLb0FjS/j2HtRVHs3bzM
U3G9jNjZqre4D9gQdMJI6/wtTiNt0o80Dxj3rY4wh7gMUDrbDnA0aZ0YjCDUWjVO0c3AWgbPj5ae
ZGzwAnPL1aj4OFyb4PN0wPF1F8W6TfLApp9d4EEDYXA0p3ESYw1AMPEL+5g+GX6xlYLyQhV32IoM
pRr1Su0/kOA+LHUUsx+KI9xSzWPJrk6sxfXQKotHaSAyWohEoFTt+FkiciaMsixoIkhU65yz+Urm
t+LJLHQdXi7n+mvJvk7ZHFizWZ/rji0Ep4goI3cd5hPnqIrqZbc3jiQsGPCe8ZHJDiyoTcBexILP
IntLznCrwmbJOt9iywNmC1R/qJeAzO2aJX2gQ7FeQ9jS8o/LjPX7i7h0M6c8PsfDF9sPKz03Iqyc
5BERqRp+e5BzVCXIMTgJrXhUUCgLoDLyFMYOV90gyIRZpuxF/a1pg1bLPHQj8dE6kW6OtarNhXCg
+Xj6ZVBxN6K5Ur/cQmoXItm9Lx4fvPU+tK39/YYTw4jgcy4IXhang01TFidmyDmhax42O5KV3RkI
/BuuB+wN24Eex2TL1pC/SKmTJ7by/oB8jCvXcJWxSaSZz0sZdrP8n1y1S4qOy6JmmMSMD1X231bt
jDFZ8L9tFX+9/8+tQv6NXmCwrWc6aX0bmvIT04T4K5nDKPUnPcD4TSFInHxyTRE1KDQQcv6Aonkk
kQEsec7Qef6zev1fGPENr1mUeDXsV7gAft8jMrHXYKWIaI2IOZHmjNt8eAEQtYg73d3sIREkF0Ar
CfVG+oqsA22ug9iaypJ1g9Sa82VZN0TFXs/IA7DxyAiXkEJApMt8oOjGUT/JVuwjkszH27EOvXvH
0s64jJof3RITKQsVx3Weqp8d9jUGEEtjzUt7uz1HZMOSsDiFdnwGIh8opTlZkujtXMByGHQxrWd1
JghOIjnII32JhLXOxp9lLFMEDYNV1sVAbK+uEdwXJzwX9hROwn8e1/j9DLLV/3mXFYr2ShpBTy3u
io60a4a+AukXPkCR4Asji9VZ68swb4hYfs/lzr/P5PduI+Ir1Le+mhPrKY3PbgUdSGfdPnGiXoPg
rM2vzoKxcDnNJo19PLkszA9/8oqQyrb2D/S6eCPCeixBq0/y6IxzTB491BBHpD9d1v/d4v25paNj
/bWO+Lqu/7hGfqkj1Pqa1EbCNZKsbmFM0A+ggInZQTEDNQyKGQSRJLR+sDivUOe50hAUl4MjMaqj
bzI8YcYpGMtsXeDc4MbWD2qNNAJlBPygD5NCchxDIriixEvH1jjFX3PKFh3FG/axabpkRrs9JrhR
uUpMWk6mONZSHmFP/pLhc9UepOg6gk7uIi/fosVYPMKBtzotA6x33GRKS/Ep++oa/Dd9U9AQtyPU
rUh+zmjfk4X8CmQ4K9a63zDdZvT3g5Hh/ZPSIlkBaTcexEzhLQctAuuJV5ftLRTcOriPUUphzRXy
LjPSr0kDJAgOjUtIkplM1J81AjEeZaNZ54kIo23setM5GUkNt0fTYo3+/n1SBtva71y3bxei8ctH
Wb5chk84UXzZO1P8SO8YP6NY3ypIKzGXNJwUn6QsPI1TtQhOERNIrw5ilHilW/DSUYxj/sXGDzZr
VCiZi9JDyNK8/f1hGsZfEIJvy6Su/nKcrXZN82vecTmd14+mcy4traWyg2sByqfZLzBnYUgwAE69
xzIFcKbvp9gxj/TI/PEev6AIyzAKJUno7nDheKxcdjtYmmlEQd6c+QVafsC42qkWFx8j8b3G5NU1
xnfnGjGFuOM8PPzKIm2shErILA3bm8sgIghLX2dg9JyB+/nPq4d1DqgaORtgXSS36W+ka64k3bPG
JyEYBAhXdKQjAeMIBlDclNs9VvELCnxIIBhJMM/ZMWtaPBmXNRPq6C1kq7EFiimPcNXXXUZRx/KN
RxQIiHjn7jjLUoCS3veWRN1Ipax8YL/pxi+cCW1CLIObhSBxIVYts3IheuWihXKwuHxcLYYg9u3r
d8NvRskY4BcImxfDYzKAYcyBLGFjHgn6Pt1GvCoIXxsaAhH/oRQKseg8P7oV0ADcAOgNsAXOyDCs
d4Dj5/0N0612lAHcDgeC9KlHPM9ccVJS63SrjFQVTAgpBG8xYznKDORpXH4Q53kow4KukLVUgreI
IaK0yQ+oNsZPZp/O3WEZKOcn6qupdvOsKQM6m1wvqLuyHb09AHOoshRK8wUTUTz3a3BxyT1pUUUO
afuq37HjA67Rp/F9fRZeumIldEyVaNgRaUJ/uA6udMxjJAQXHx3LRL5tYwdxtn/fDPnHQ8wnk3/E
zpMbyMPkYn7KgwnByc0ZyhV4HDp5H55fcdcKiiHbS+9IqXqzIiuCmwY2/4jg3rTo2aWTi1PUdYa+
ZPgwEUDFetZ6Q27SmQCoxwQBWOL2s1phvuoMQeip/wwzjKTJQcMSViM5b5Le2NE+ujkfg2be3t+5
6jX8sHqe08KnlfeoZUCG9VWGlYx4W3bX+1iJ2EYl05ltGS0RCLc0Td/AYL1CiqfDuPHa65jN+zoz
dsqhaF0ciWsmGPMXRbFJ2mJjZVBSDc2Gc1cWzFyw2h8/R+RS4ZZBItK9x/vIvp8dFDTlGbFgCKkm
Zco7uUXitL/usS83mX++6EttaL2qQ49Nf/BZbh8hklLsnSAaYh7qpe72Okqfr9XdwVSEBCHisjDP
VsRFNjPIyUuQH6EJdM88Lc5N2H2uL5Hs30YOTKHTS3yQPi/v6iHd3CC0aKtCCGXDq36kRwwWt/oC
L+ERxxyli+focsynUC3OqC4YsB357bTPj0M2t/O4ujjcMa9ZPj5vL+qyJQ8Oc7KXfCJ+njcV8QVm
dJ3hMcHlWoXmiA9pEC+NdT9nSIBNobySDG+IwM1m2DLcuXyXADsI6tsbEg0PbRSmexgypMa01zbi
mfeQz2LnyZ/y08bszNhhUXbelJtO854QVzY6H/PLQl8qh+zlPDqNrp/qUg/SmbU+jSqXNFLVI1gh
okfo5tXuiRvDqiQHq8NhIuu8JLzZm6uzuUP9h7y54BPFcPnidvSiuTtnRTuRNlx4Z7+j0KA556dD
YC6uuYTSTIfc68xeMtt2trQINn07lzXsAZfaiguo9Xr2NoRN9snevp1Dst8Z9QyuJFgqYjCCdsav
IvTwDqmv85hRG7MydCi51wQIkQWXwUgA4YhV3ZrAPaMT6tfYM5292Bsu0luY2S+9T1YIFqWYnNom
iWNoOuPZY8zsKx/8+QaRPSNiWzVsTFONt8QvpxgreIUv2szuSTlEUuAMxB6BO+Dsgq8Fe2wr2gmB
vjiNoZohdMVD2xRjDsQPIfogctIdkazAYzpVP24kF199HDxxH8AObcXgu7MxUnDpwGdga0xbnx/i
ohrLI20WtJSXb9Ilen7Ul8VdQ7lgZxMtd4uJMNWCHNE4clWUsiw75HaiNMIussTHmF4Qv5eLB5SJ
3oGxCuJkbCWGAZWxvhnrBL6s+fr3W67yL+gmFPnGUMEZuoiT/PcSFQJ6chdjKgNlLkedO4Ai+rRx
6WInt1kyRiQT9WEzFrxLqBGWJfq1xwLvczH4LfmEaHQc1X9/Yk6EYMfLHZro8O8PcVBb/ovi5Y9D
/LUoKBJZrM3hEG1tDuHdx7crwJuTSzZ2F13EZ3pE/PTo6jJvspV/UzsxlPk3z/9LFZ8oD0F9SBQl
sIrxr3h6MoB4sc3fLh/s7iK24ghKMBDgYlBcRfPK1M3ItGGCPcR5RXdok5J96JxYIkbZ1ytXM536
gnmDi7WwdR2/n8fScYjj3HXv5gEigYcVQ4eb4tPVecmlp7c21geYRlDGIsp/xQjRbB2YHNleZ1JZ
BQ2qgOO1XKkYDB7bG1byqtNgjjvF3yzhw3t28UHN+JSVg0ULSnzWI74yE/E78e5B0sywXQTgZwfD
dpVFqts9q0PSexgrnKgAZTY79/TBiIZB74vJeXAYFqoACWy5Pqb+srZWBoPCemxO3rc462EAcpXR
4sjubSKz4H+eX3RmKVu2AjydcI94rd67pw2R8Hb2nmBlF8d4uvBcxLcizFYNZZ5sdwd9G+/zGgqf
m5Hka9r8ztlQ+ZxSQmC/fgMzt6UVPdQTmiy5nOAWjzG1OAvVbcQ2dbitMWAJMMhfPBc17orTdC9O
Db9e9Lt6dBmZRLFbPu9phBWgz5Lipl68uISbHBbOWNyKW/mdKqr7OJENy1iA7iThqIPBQ1FyawnX
C/Qc0xprT0r8WGu4CJzhHZ+k4eP9ulK6AZMbyxAf0m2nKQCGH4SLwuok288IL1IQg64cjL20xPtt
db6EZ/OtwfowTmK3mgOksvI9K3FqtgeScd3SfUQGjouCDyJ0O49iZs0np2dRHj08Eb7+ed3bOe58
1ZTdRBPeH5QFuRdngXAnCDOsGv9ECPJeoX9Mptfc7qz5A0Xkh5ovhUmGtw3/6McYdCkP5gtdGtTn
AJQtncWy6VYFiz3wVsPVuBEYheOsbLM6lwTM2E8PwQoJWO59ejw+3NrD5NaGZYokFasjXGpUOrvV
RKHzb80jptH5JcA2O/Gy7jU9g+mGPW4aO/UMSdY9Q8MoWFWfH/jbyvCXP08vnGmWy6cvRVrwtsUa
kvUd0tpg1a2Tpfauskdgiw/Tqx8cgNp5O+cqv2Qfzwwm6IM13C77LDonk2u5saYy2mXJe1wn2X1f
F1OretW0kQz3ydi33eZWztrTtCCZleTWD52+L6dWkbQZvgfnqNpTOKEYbtj+FLZbCauD7CUuxrfW
PUH2YXA5UgPlcMZy5Io90/q0JozuzkcTL3mIoEZUVmj1gtsT1DvSs8BCjnvx7/L0hn/eAK17Ff5u
bee3wuv9EkhVmBQ4suAnB891oc9E0QG3vvXURR5f8onJl/2QAg1jbpDTrnIL/M4xSTQIP6aqPr91
m9TyWDoyw7levfoyuuAQBkNbX6jvJgaMZnhZPxePg1qQSvX0yJB57pPTe17/6IFf6x/qLudJOkrZ
Y9JEj8Y+Y7qShR1cETKaEg/W2x3zOD9eF5BxY1v2LVyfq5fuM9nUn7xxfD7vlWulcpTi+SfZ4jqd
4NvdYD6BetnvRaKICVzSPQzS0h02qaxGkv6aaaPampzyA1ECBc2q2vhVOxL4ZBgJ9HGMiyoK3o1x
/iFqe0TFUhJdz9Umo6g+g7Oor4I6k6nwOrbpZk4ecTm9sa6ez+ehz8W4qDIgPU8oziTsDuHrZF53
inC3wbSv7XFThl3nlOfAgmNn+Fr6Owr6bUz+DUMZVDZ/7c3/2N5+gVDuetfW1uNreyu782z60IuJ
vrj8OBlLi8jXAu0k5JaNgtHT4Bb7iE0GoCf77zdZ5d9tcr/M5uveaO+WxFH0JFcp2krZyTjr3Tx1
qtmSHwd7uG5I62UPA7TmlAeSoXhnnFZRUC/qZKPvLu/CfYKAe9L09zArL9jzyPCuvw7zn2oiIQIX
Y8ugQaEA3/3TO+K+1+//jQ/P3osjZInBwuEXyBg8+Jf7/4SMRYjKzBaZW+o6U0mdiuQPooeqwVFG
d4nLBIAyV9NP4JgRIgxmzVQ1BGfoabjXT+B48JfQNY0UG1keomy0/2S6CNT9/YLmeSFWw4UmpmVA
ovn5n2aLVdPei0rV6iFGY4R1D3jvg+X4MdgdGxcj+tN5Wvz+Qfnz50f+y+fn23nivHx/uvwqqeeq
z+ugqStkw5kWC3OL9I0uETQmVbKcjcqzdfF6FkT1lpKLwOqrUi89Gpx3nxG0LSNPy9Wtu20yUbjn
jA3NeSWivby19+gmQALNGoKO1dx0ChOkj8HV1U4KZiKXNMfj8p99jXNpDzpF9F0q5iN/y9MXBy3j
t7EI790v9//jGoccZckaww6RGf0vE3RklUzIVfP3Efof17j+G4I1RJXcXhQ1TFT+fI1bX5ckQxNY
9yaX/38wQef1/Yur/I9DZyLz/bIzUiPJC+aiGDjDsKZdgwRKG4tpCRwg8BlzKmsFvH3DQw+pAc8h
7VjAVCJsZmjG2wDwymFO0q5g74ub+CU/SJsGGjkVnoMNnFAyRO2uS3T/Cbgb2wC2s/HgRCHeqKQV
sJZ7343ukWToyxRwsCk3av+WJfIQXPbZEaKJ5BhE7bk/OVgebOD+YFnrMKiG1HRiyq+JLgPu+XPf
rr7m2tC+oRJlYwbbyWAVQE/Toj9eMbh+Fovz7qRvIQjA9hdc852C9L30oTwN5PqBRQ2BG3OOCTP9
KsoPz/0wNk+YnGeQgeb9qDanPLhEPuAX5R7zUh9TBrcUlmk1sXyG5NmYIFKPIwHRgp605Bytnvs5
g2x5b5JwzEDyMhy96iXMuMWAH3DvE56NKyPkRFZvgKxmv4ExBagJislxPvCFbaOiGJ6TFzLnRU9Q
Hjz3w7vBkCBDpYWCCZ0SXQycHFoqaL20N8LSZHzNrFvJGSWkzwUqCM1DzlYshGZPq97eQusdnlS3
MhwNQGMwf51feB9D2ZxK+25VR/c3+TpFx9SQEr/K8CyTMCd1UyeZDNou6ONrHSkVFCtu0OIKZ8Aj
GAvHi7XgICxmJ3qIjqrylJvPNwZfx26G9cbNRx12Ca+ZD8+LK0M48sz8iQIL+diXZOzU4ZXYXF6M
LfYkFQjfUuiXsj5CGna3IuF4xhmwROMl7aW9gFakf06vh2LHE3IMtCM4nw46C2b2wjDOvx4azj5P
iHBLnxBNQrE3CEi6Jfgtd0QDsXxep/KG7/EdDnYhQijAAHWMOQtE4/ubOLq0E6jEA82gX1nv8A54
dE7OFYQf9LcyfM4I6CWcYagQSE3O3UrzeE3I7OR5gjkZaq9A1gdOm46SwdG/FGTKlzVFq3jD1B1q
2MWjATwZaxOh/Tyjep5nO3HgrGEe5hcHyE+wr6ABaCH3addxOUqL+dOYcy9jSORF7Oc+BkYX03MZ
1gD6g4EX1q7huG2hDmA0YUIxw10DtFOHHYbSwAXcuvq0yFCumuCx3iJPiHQsidVxHqljHDLnEBWh
nL1vCZiaEGJhMySzYcU5w6/3CuK08o4DC6QsAJXtQMIbnuKKJ80AlDWBHpZRP73PSx62jMxQ55e2
pflBOwjQdUBK1ufQExp0aBBDrCOUYnA29Asc68Bqi8e4sx1x4yeOnRcHre5kR1AC2MKg9EFobwIo
euPhhvWy3w8MOTh5zmPOy8x2zbJd8/+8XeM5i7dGCaKXe/pASOeE6JDs5cGEAx5Fux5YEgAZe3j5
BRyLgZ4CxWBg80X8HPGqCp1wOKQqkqZw/vznmnduEM5FeeNW21IkCkauIvzlEpfXAlPGOJ7gtA8n
HppdGSnQmBmSfXZ7XgRU/Gm3z3bGsZ2b44E6+PXIiDGXvM03wEcqggNsQ3M8PMdA++j3iPV2/Z5X
3s4d/DWh+hxgLmLO2O+17XNtHU9Mq330BI4OF12AcuKAw9hEYlX2w6n8zIY6w8ykwlvc1Vl64ttY
gDJVzFGWQ++uoHI/HGNEK/Z7mf5PrH+HQHFRVxXVggCnWEjt/r42gJf8rTb4V/f/WRtIv2nf7BF+
Fr/Sb4OGnGIBmtxAuqPC/Vn8mr8heScQV/yDG/2z+OVHEOuoizFygKRsmP9JYSBR23+vDP77wIfy
Q6V0gVf9vTJQ5ftJLUxUouWuRTtV3LH8kz/VNKWxPcakX/RVoCjzp+YC1VnMdIpru+waCPONvhRr
WFnpxQpPOGgJ15D1Fw0rTvndeVQ80GYIU/4VNwjHlcSVsKYujPHj5eFdUALFGEmj6SByTO/nIHaS
r/kYMhoMREdEVRfgo5iboJrO/ez9+nJ9weF5J6zvBvIDxtr3z4fXIpLRtcJpYYCBK1w1kexxd3cx
QkPwS0wQcUVUvWck+aDweMeSp8LY7YCD/S72NCuS9xKyeQbkVpi8oqBVNhq/mrfstV9cx0lN3w2K
tDI9ZSBgt9EpSLreE8p9Ka/x/pLBALVIx8pL2HHj/k0uRhLEuMdG+6gEhHZOfnYLwrnUhUS+k7ht
Hz4QOeuRQjJ0E+QLJhj+nTSXSdkijPSv9YyO9cSkCQ65/AKmSgQXdiiTk38HrTad0510Fy3qy/6l
geR1B0wyYAkTydc66sW5Y6uOb7WmBh3jmHN7Ihvrh3KL5Cx4lP7tCc3avsN8BvzNnP710iwaghg7
lFnwXbZdN+mvUUnKIwWP5FTgb1hCq6NrPdebUXFMIoGFug0VzN5MWOL2gwKPioO9AIu1JioZzJIv
k9tl7Q0CN9hl5YfVPwcxdBzq+FFXswu6DdKs/aRZW1k3aQZDDlT9lbd9y0Z0QHK5bM6vZAffgyzU
oE0zzuboawT9b0rsmuj1rw5mqYIrgmNjXObjzBVeECiGuGAhxyelLNujrwzizZnkqcFO86UOnzgf
Pxh3WDNM48BhpVcUfrkPmsc8l4xzcWQ5WZBOgZZkFFbQG7HUu9lN6SVH+S0u948WfiOgZOqZb+ZH
PLFm8eIOkT3MHMz/vGQkTOMKa2L5Q5xfJ+fcVtfIxkZaPevCFWvyp0oJNaIIzKIb2TnMUfhlulnQ
I49yjW0J6+SGh7h3LMNu2WNDRlmDKfOkz10G0PqI+e+XSvMW8Jzbs396jMUWeSbzsK2BbyhvNYla
3glutX2fkvPBO01SNCgI15hbbfK3bpQftB+5XxUWzIHuhzAjdLOnyjny7iMNmBZBPT6VnlrPMTEO
L68k8S6zJ0b1BMZ6D2ogQP2nizb0yaj1bB8BMpkB4zmaBtmWE/a8bSUJH4bLK/luy7tlE9E94eam
MlNHdfjgUl6Ib1RDZVhMMTkmzafhIyY42fK+l48qUkjLv1Pb+Mz/iRpUXHKsmUmuUfliaCyypUWn
NXf1tB9EWkqxaz0nXYgAViBBqBt3gOChMiYzXCXKjtgTtRcjE17mu/RZ9vr0OipNQk/Ygz25G+uP
IiQro74h6+jGBuqJ6xoSoTrBYB8kqx+TCYRP1zqF3uDpHNUHGXoZ75Wyzkq3g2mBQ620y7EWF95i
chBwsl9ZDMIr56uYIUmHFwfVAHvVxwiyiuhfoNVE5f/j7syWEzfbtX0q/wH8SmkedkEjMxiwYYey
wQYhhITQfPTret2rK93Jqu+r7KbScbttjSDeZ7qH5T2QzeBMcgRpdv3YGm/O8XI6fHXb50q23QZL
t7OnVZ4BkrGB2IkgMdLtsEEb7wyS7Irp1UCd9Tsap9qcfntL61uLHKDJwoLl6lXpBDbf7qoGWTHF
WRPOGomNpYusB5fDnCwYFhtt8BtymYNup4OTk9BjGPIGCF/KJR/onoEIzdd2WG201/JFK73usxQa
C9ZenZfbfi+ckrCboCn78JhutxRPCHmAVkMjE/oG2P1kfi5MDzeK6gSLTkrdW8unauKowf3sQ8FL
GsFjjU8tjnRzaXqe0Kz+ZFBSv/IIrEHWfag83zmAER7J6Np/sGZKaWB1Q2lqDgZaoARQseExhJ0G
gwSvrjl0wfNHi9VQ96bPYMTghXvwdyYpOLXQ1D5mkdZ5plBno0NvvugsQaBCgIdoAN545DC5WJxH
zCtYOlHUOHtXF2njZFy/5PPrS1eEypL492Z49ehywQznHlITwFdA1VDbiOz6DndE5JTdC8ku9QUq
WMhRpFVUdJEOEAE70TwAoUIBBtS4H5ONqWvK1+eqCa6F9wT4Oui21RIDsH170rgESZQxoESQklCj
H8LgChO7zoV6Q6g+RLSIpvcqpD40noG5JVQsrmsGAXkVECa7NDhsDpt2rs9uI6BelEvIEOL0hnCk
sB0xR7c1lPyZOmKe6suj++Q+MWDgjTr+eYuEZ4wd5FHBf5qPGVpINJ3h3HuYQJC3IGaLn2m+Paon
uE6i4I4UGHuaQem2vvNSvyWW23wx/6ffD8p+uE0Gp68vElzPcfFgaBmnO6HpXaLS19nnCQ6dOA4P
kAwWSUFrKMdL4EeOT/yFAJQwE2H6RSi8Ltvn4l6N48OIN1F6v73KO2RBowKoNw/4rJzEq8uamd9j
y9DHHBnzdFrLH8Y9sg68oB46/V58HiKEmuKGIJyR3BtCO500ulaHd4BumR1JjqvE6/NZWYEbp3Uc
IdQ/11UQD9qbWTSMEaVI0vaGMUru79oM/0m8L4J+VYR61IHmGPfPmdONmWlpmL9oXNgi35nn+R3E
jd9Rulb7u1swxERxBuNzJURcmZEwyBdGkCBrzASDvMOEZ1x9aSnCQWCj8KHOnlVotwtpy5mY+0ul
D67JVuAvmNubvNbPW0rSGUT/OF3F8RhmlYSMGgMRQRpPJhVUe62fmtK+5wFd96tejZRiaMxYqdsQ
W6XEFaGAxIInimX4pb6DwX84owSolRnRF+DkqL7YCKIQvc0JtXICs/IeAqrX+YS3gZ7rnuyU2Ds+
3Px591MEIhIqGkYUMIIYsPbnV6MfKZsCQKT/nBtAW2ASab6yUYJ8+qzGAHYaHNTg3gZ8odaqgw4j
J6gM59eE56DCHQ23KVTGr5gaoSA7OLwW+8PrmSUT8xDZPRBJkGbhjWU0sq83+geK9sIoQw5rpM2x
rFBfwabjVlcS5rF3+0zmeJW1qMpi6ZfMHgwC61lX4EUEoSFvcDzIvEsX2AylUc7NugmOe1ecD3Gt
h8iaNJtb44i/WuB25viQIiVU2MPavJ0cwkhZtSMr44VuXxy81C0s5tSdyvAmzj4d6+PwOPJvgot+
XZdVPswAdVpLtZzZ/cfz9QmvwEOT+xbg9IAq+/ichYriPz56TGpJMB+B6SCNH2jwVpRdQzIwlclp
6yuGuiqZY0ax6mkMc5HUWUnry1Qz4Lq44ImfcLXraVl7ZTt62mvpZN/Duo74AW4nAGDIfhUfCfTX
O+PTBbIYJMuQQY654t7pnRjCIebWjJm4mlNtDqveL1x5qe7dO5ZvZNOkuv0i+Qhj2y+vXgz2uVtp
C5jU2oDrrfSAgrtzSbwFmbyjPXinCbIsd0jKwDdwQvpEgLDpfdDpITe8eRCXocnAnBkrde1naNAw
5YwS7G18a1KzI8nvqUY7kxXRGCYxTTrprS/R1LcKILpllGAuPeBCGBkjLbqWJuYs+9BXBUZCDM3S
FdLOHQb23455Ja2UdsIUvD5zhaEOiO4wJDevwsPqQOwfq/cI6zottHYW2ZEUPuWPPps40QU0Dg6s
zeDrocDn9rODW42trx6hgBQrsoivRpdig1VaY7xxWFE2mxJdCMw9ghTJe+R3Lirt+0tODwmeoDbL
UzQ16IvY5+m1698qORvGTLLPHXUPoiH6VL5k/+rOPsUEwyVVpZg2Zf2/dfaFtuHvnf2/7f+zepf/
QNUHVoP+Q8r8984+HAt4cc43Z05MC37W7zT2BVcO8hvEaTHz+q2xb6PUTv0OkQIe8z+jxtl/Kd9h
Kf925cwJfhtfPVumq7KESY4xuTVBjhYnYNiMzimcuB59A2gM8rt998z351Kb3GLCt9DjHHQO5Adg
q+R691MDeaqMFOhQQ/Aizczx6ReRCuKTBhTS8DVffq9Wd3oEUPrTCYXESVlzELaSylCCQIwK/1A6
B2V0FSJyBQUuxs4UQRvFzVZ3lgJaBJDgVv3EDqSBhOe8FNQxvfGh48eIICAgTrPUxVYERZscrdsX
dXs/9aRfAu5LEkZtaT+G9x1ntQBG4kro1EEbe8jxWL6OTec8BURLN9dDR7Sh5JnYX+kqK31TCR/L
xEPCzevX5ZpfJc2H7pWndFTPudturzynibk2W/TAhpya813u/lV51UEMRKQ5glWIBs7wdhSs7EOQ
AxtBbsJiEBLgsrnTJkl4rcKsoeePHhciFPXoMTiMmF74dIKPB33Qrs0t56jKLaasszuo6UGjBW1k
1CO/KhYdNAp1I9UBmxbzuUzTxGXA3/uAIXglea30d9nh5QMKr7bufSEPhSSOW0MURk6VmaV9b71E
RsGrNgLwEj2mJTRZdiZ2L5Nuqm/qKMYDOPO6dhpQWWLAVrn3Lcav0iZ704A6eeWIeUIJY5oqdXae
NOQX3Sk7YsvVrUmwjcs6cVaMEApnoYOZpcJiCsBoQMk8G4zdSewt41AepWZIQxwPn8tQSNk93nr8
qAN7kiBF1AKzTHxp3eEvXXw9dd3XNO2jiVFnekQaJSYOdRlorTOwkAVdU55rqjG41+hPU4LRpfli
tASSpG1pzpMMDYUS3pPymNOTKKPGlr4x7GBe4LwzGSEF706LV/Pg65PmhOe2jd24CZ9NNMRJyQ9R
DsIc6jTNWPj7QmEcHfBa3srkoBQasotESg8dDhtL3q80rFf8gD8k8A2yaGsVGUNtJQOfhqFxIrfu
TIj4HnVkvUKyHZfS2tyUGAniAbWE70fTn6908w/NjIY0XXXHg5MuCIJr5iCIP+MgwH0Bt2JLWvVY
OjYzKIJQuPMRP+M3NNHZC0F3XqZqzrc/fgAXGwIcWm8/TgP3Gl13vqedzNk5KJt/88Q5Gj9wPvn7
/CbqFjYi4IIZ6mFpd8h6t6Sc51nbBP0L3P0cYl0ILYg7mzHUQ1rrBaUmL0f4GqqqFVyBqoG94n3F
wBp1FXt6fk54Adx0UIMJHdlYw6ihur9c0dmZygrGbLPK3Fa1ETVnDbPKgIy8GvLCI7mO3iKrB2Ot
NykE9u3DSfErB5TzgAkjysPnFZdFop4fsTbf2cO4/UGD+jc2rVn8aRArCjrYICisb/HT/yQ8R6j6
a9j72/6/hD2U43AFAQ6igsD4DbTBDF0YjtjIoP5gi/8S92igC3Vi8hKhnfpn3CMkgvWAuk7Qg2xu
6v+kb41A6+9t67/eupjl/wrbqJq+ROyzKZmq0nrZM2qOYRro4gEiTUM1x3ThaesYCqBtyeSFFsbw
9pYfeUZRU7QOfi707tEprYGOvfA33CHo38Cux60CrLtaZh6eINjryh28gCXH7QJzw8OJ9s0NtUry
Qja4vXF8Vib2YYopXAFEnrrnWUY1p8M8TnnhsFLIfggUI6cz7Zb8EnYQ2/Eb2kvQrJdcMCfggvOW
C1On+vRihkL8VPNkGSA5YqsEUu/+xgcCDOcE04LniD0QFxIa/Qx6zPW5RXq/cNUp0RZvEH7LrUHO
JYNOdF+tXXgYLJ6Ff0CvFE1/Rk2UJdwqN4QKkKcdtTloUCjmha+9oPO/rEbmXnuJv/i0sy5ehg7z
8BBh/DM/uaHOam+YiHq9IHiAKSDiC2sSRGK7wAnLXdYxWCqIXg52eZQjPUocG/uTw4DTrtFAqRft
CyQi/GsHFa6LrW8ZIXz1Hj6RMy4UMaJvX1KwB9noMcIIm+G92FUizJvDj7nmxszdxeD+QafQJGXA
RWW476MkpIE4VvQhlumDeeOWpxhRqxm27BeNfW87y0ddBLFYiAVrKnNSAkMfdqV/zgP0iLgjlAQv
wxy1JrpkvHMXcnBYLhy9nvQuKm0DaPRwCUBI01ol/RiKrxw19MU35zGMpbEFp6Rd30MbvIDj347f
sIVmBYyhsWY5iD6C6IP+K0ZLwM+eacQqd1EmnTNW80DHFXr+WF0qVOpkGICv0nukveoe2AiMXoZG
uM6GkTSMhQCiIDwJgpJqehhq5aGy7iPeEDdZpehftxHtpdwnRBOaxTT+BfzxJXCQOgJ3vW1dnkT8
qzJn6OC7e/aV7YAWHPbKrtMvJQjb8DmOzbAZ1S6gY2TZL26Bj/AqRqn3JZNHGvrEU2rQoTNkXk8o
fhydd2VmbSrrvSrQeFTDhskuARVocaKEfeo70Lq3DY1LFRC6w4BWXSjIf9yiFMquSCTrSN2q+bh3
aQPH4WMmuGF11LviHZAG+/ROTnkgMI7uJ77Pn9PnDBBq995PemRrp+rCPkmIGKCtkvmf0tXZSXbu
6oUMvn0LOHnYoneizeQof9UjRw3j88lJI+OK6lhJ6YcYMrmphV1XsCjCVp/eFA//tHysn7IGYeRB
DMJwUmjzvhgbaDCvafbsLiVJ5zymXJs0DV6/QcY8/kEWM4yx5ZQYPdjtIPmAeenEAX+aiF6DTXtp
SEf2DGluZOD/8MDdUNlKX9mp543JxzQZZvlK26Km6Vfo6aNEPGSjat0xctme2fpZD6XbINmJ37d0
aehSzS+hfQIs9qGtuAvSCxega34YOsXQQr2VkpKCFkTCiZcdBITjyjuwFrzrvO+W6PHHge2i9RDU
o/vr7eM8dYb4pwJUHZRk67DC6MHQQV7JO3YkNziM75ARd0VozPinLkXaSl1IaPnwQdVm6uKwZoxV
jPXF4WSsjJm6K8ba6mLjOT/M9aXi2d3YPNVjxwI2FGgr/Mq1qJugPtmO0IbMvOy55dziVT0M76/n
6f3DmMm7uPbURTox9nLJHKggfQOtsL7eIvIecAKHMeN2Y9MLxRqk0Y61MIAr0S1Et2MljTRGXENd
cvlKg5rZuT4pKFdkgBfq6oaxrMHjvEG8DrMactCycs8wCTFIQl6hTReAEsAJmPiFB89sSTaH9g9h
hGZTiJwPaj3xy+O2K8BUqKsMlbHnywXejq+DxwD5PRMyPBwYAWZoR7QmRreRjLAP9J8XcCCoO4he
MmQiMh57bCHoMEcsAVEfuFaOvVCrV+3swDp7fUD/aZnzJPKnlG7ZRgPU9G/W4QWfZwl1dkPXbIB4
/60LoP4+wyen+Nv+f6ZDaOYidYM2zTe877d0CIV4R0UTAUbStyLCL9mQjmgOqmTokTG1B3T3c4pP
NiRjYuAIOR92/0cIVgAKf0uGfrtwQ8Clf8GwGpkal8alK0XqPoeNONqiA01sx7QGefZuqryA9jt/
8RPlhZ8VLnZR3VKdoseko7Ensv2v21vRzlD4IFKfvyC3kVHh7BNH6v78pQm2IFlUjix7OydzuINX
u9C0G6MojzBhLy3P8pKd5P39rZe3+ob5CZU61FrNladU4yAGYdF49Vz8QsAIAdP5+oY/BHpBOaay
ZYcnER9e8NiGHzRUHU9zSQKA7c1VcoRlMiaXC9kSqF4advuPPqJQhl8AjHYgM4jGqPUMywVMHj+g
30BzI/fbhb7pEc2JQ8r3qvU+4A1PSbpmHJoJI7O6NxS9hXaaBU5sJy71o1kRZCcgDKN5seNSaqBe
A/vzGwJpf4pN5GlBz5lW8ZgCf8ulp57jc2lNkIZ4NgFACAUb7THicuTp9e0xur6RvZguMfMxQtWX
DjbMcJI5ElZ0wIF4Pfwn9eDakCf8jNvJodzxWWcdewZK/zXnerkUZgNIAJ8nAmnIlARROHU1R3FN
XFY3I7dgWESzvpuLSv6JDkOFJMYtQPW9nckvDGlh7g9B71G2FulYTHaVfXeinqWC/iGjJmk+/QE6
/LoKKg5xZaGjJm2ZV1zl4NrOLcyQXoHE8dggNHyJo66cAooDDAcoDvhbq00Z+Fs5K1aFWqWP+xmC
9z6bHHz7GeCBvL61K9B/TfDQRNMAsGBnIPkp+2xABEPSnBN3J45oxq6FPDy818vrJVSvUMfkCWU2
Z/9EqaxMFwV3jDoTghhgVgK1/zLeWXUBYm2wSjJdVE6rbKoIfByrI66T6IyS6w2RnEnqMVVxh3wb
wqYSMq2AR1wk3jLsbSmsyyWoMAan/R7MFRg2HHDR4eOhikeVPc1l9Nme2ZRvgemxSCtTBH82zie4
MfBsmNq6Dytg4trvgZHRXS6YQSoFyeWXQ6ZMAJmidqoKJSdMslDckYTRlmHNpTHFAHpPREIQAJQl
SPI0wE4hc/nkEGf6xSnFNY1tyoJjtxLgLVLstJmAtd1jQ9V00381xFthFdeQNweMzbf/GcYFseCv
FTGij7/v/2cIgPZACW1qpvpD0+z//URywXCwkdn5losUMG6K1Z8xwPjDonts4GFiyyplLL/6GQOM
P0wbYylHwVWHKOH8IyQXpIm/B4FfL13U3r8GgVa99dVVkZ8B67MUtnMWcNZ3qi7QqWevQeJ1WCVf
KqtMjmmNTxVKgdkF+pQmD9quMLIAXPORRlfs4DNwoYCkD8NmVKh2H0IbP+KAe3OC5zZvZ4gV31By
OozBREZsUY0On8oLRWl4jSdcAdU4h6cg5zGlKN1TWVOI9i/6lJPxe4IKqsg87fzFiZ2Q0+VHbDy5
NIFLJ5ikYfZEJe36Ugcc6vsQ3BBXxj2wtTRmPy5b7aacn8rWCfs5RXbPJ2rD37nLNCqlJs48WlL5
kYI7f0TPYtXYr0674DjcXi9Kf+pucZvNXp9KNNIpMsY3xoYtYj4+hgyoZ1mzZkkFzm8fXfjseHWV
QmBCLuhOUAEZD6hyHIFPNeqNmM1dR0x1Etrfd2b5+jiV13016q5Qo6H14Zj9CVnbgDSob6g9iSzv
VtjMzvQUU+8xY+GkjgI5TNBrVkKbo54TBbDnZjIM/iDEymIlToeLr4CSIzXHuYg4LE/0zpgSax6R
SBfxkBPqBCbQAfWCf7KdAIMNGlLQT/5rwxjdTs0ruRsKaHYk7lyPvBLAa9YPUO6I7YGEJzg+a6G2
x+kQmyNsEY1pn7xpLuIXMwIroVBG3/THBVzfvgtz1OK4GuIk0hwh/1C+e7YQYMieaVUDyv0GeeN/
ooIATo6syfZDDW6gFWgUcFpiULMgQGjPd2Ezsq5QJxPgdwKTbkYUtHDaw6eQ/NQB7AO3vaGuhwUI
nWll389Meyr6tObmVfokqHCICw/XYc83aKfTK9amqiZw6h0iAwYy3liwcIrsEckRGcmJ7Q73dfqI
2LoNaLR2h4wB/4qqfYD69wehGHBVFK25hOyIFisXx9YEV+kTHxLAUbVL6wBZucOEzjmNcfD5fesR
OOWoTr64DSD2AuaOeLU25SgDzqRNtX4HrB4FM/6wq0maT3eEjIFD8uKAdRfIIHoWFQJCNXBmCK/+
vZ5C+1MvrlLx+0dYHib5iPjTlHDyhW0lJI1W1DwAkI90fAXymsbJJn5j45QcgdjS+rwF/GFDG9g3
AGrRQgZ4jLTne0HVhBbII6K5Teu4mVPXwBGoAB8/qHEIksameWnm9Jupj/gnkZB+Ot/zzYPW1ugO
hv2725yPynfOB0a633MGY4Og6dRGPaSJbB/T15npX8IqQnGv3SE/NEno/zQfD2Yzm+wQ2GG/B26N
w+MgfvtXhzqZpq8QTlMwRDSoLv5T85fo87dQ99f9fwl1FBSKbqnELkwUGTr+EuqgT2F2wqkJWSKe
/Qx13zWNDXhaxvtZWEL/GupgMxEFsSNRdFDL/yjUAcv+e6j75dIho/4e6s7W+ZE4qULzFzdSJM/J
lBB2oyurKYAg7UPo6DawGhoq2hy5zarc3I+2B8ag3JEDflzWWEl9Yt+ZXF9aaZmkp/oAjsueVvcR
670xlpc6VQ/TpjjCn1XIpEOkvTur8rI4ZDbr6+L8BVKhZK80+ZLGz1FVYh/8NKODhhyHXfn3FEV3
HBNgwHdcZeapU/EfCdzt7d7OdKtyjcuYUFXffQTGhVUWy//8IQ99LWbBxijugVQAhYb9nobGpFm1
p+86BP+SZOyjUvPGOPL9drwd2S5Ba4zF6HakEhpDT/qEZcQqn4zlaQpiC2fphf1Z7Lq9UG8iikCV
Tr6siX5BFgY1ULG6i2hCCUHB2AovvMsbTKRi5+AEvUlrd/59Eg6prAkmcwEBE4d+ipcL1RVjMGe9
jkR/ktX+dmxP6i3o9sWOXDVsX/g9cYEYTVF0YTKN5JXQuiIU0YZ2u5nQoeYGX5pVsaMoqucmFPA+
qpb2e7U0JvLUmFDZBN3MmCA1B4/x7IqASAOYdflFlHIwrhh7i0vSXM4wcFBC1ZAoEncjWq8AAW9B
jrLdifhGTCTf2YoSDWjnyBpTpDFzFUUbipaIYeV4csPtItI2qw9Bf7MwpB0WpzqS0AVsXfGf4svD
xpMRlkgBt308UKlRwmqaz9F+GqfocRlja5yNjPCjBr7aBOgxMA7WPbS5NPdbMIs7FSfhxeeKreEH
0Z52dwiPzQpFpYsOAvdXh1e8XnqkpD75TW8J+XApj+ica55khPYn/DdKzPaEBjdcMr4Wu3qBFbne
wGOLrRf2IoEoPN48n32IgUMqset1+KoLXLZtTMqBBC471LM9/WHDAzBq4gH2cGGhf8h4qBvdFNKp
d7+Oyku+AwImUUA3izPjYHlIMdnP4KYTg6jf8BhOB9OM14jyDg8ZhFeiA8EtHhoPfL2c4WZ2HSyO
+mDhlCgXVC5aJaDdRpBWa1D0xqSm1h5h+GNP7tj8QiZvfYWASLpyGR/opp+NjwYjntg9WKBRodZc
ukx0nYm8YPQwFtubk29XCFHKAril1qQC5bcyDQdUT2gSbKX3/Lm4jdU1cXiAvLjG3JfO5nuDaw+5
havsKW7JB/iKJdtJ+oSLRQ/eElkZwCFeImtIUsJgmd24ZjzIKHlv46e8LZBHdQsa3Fp5wsGN2fnp
CIVsRmLSrujRg9XjMuGHcRNyxAl0l//UIVXvcydKZV/M3ZvFAxk7Ymx61DagkEPN21hbuua0KVXX
en/4bUBAbdMZLUcGwnQMC+BbU5tknJAcvyVH2pBwrFq6o3CGTNS0oQvhJUf31hQd0mdtkoM58QtR
mFE4qqltQC0M3mlJUIZnRuD+EcGhR9qvoGgpnhkCHybNfR2T0UDb1A6CIAXTC7Ax+sHlBlNsZGwF
zUyIpWvQqjh6crTzKPVRG/SKJRUyV3UQHNRpwUqZLJ5iEqZ5qTNSAMpdeRfzYcEU+3bSNjdn3Pdk
IQ1HA6usV4rbP2jt3uaZ5rGOo4SerFX/X54BGNjhCuaS7Yi24H/OAP6Gevqmvv+6/y8ZAH1Umfhu
wYUyaVD+kgHoTHc1KlbVUBjxEnx/yQCQdEX0myasaIaSN/xZ7IoMAHkBXVM1NMH/WcdT/j+KXUbe
oodqKhb+oH/peFbO/aHHd41+vgIWGKBzAUIvRyK7PmKZQp13aD2iK9pwRsXABGHgOMLGhlowZ928
zWUeJIMHqhIg+HKKHwE6LOmEuuN2gvNMqD3wMKpIJzsjqqKSxzRZPXlku5nE40s0gV/8hPUrrQjg
OcwKIk23r7S3Ipt+L+80+xD06Tepl+aBPJ0TJx0+Mhfmi3ih3dfyYWKJxV54J9ivyZggyVkJAqzu
xATRkkRVMQ0xjyBScPRDTKgr+eA62EqYkQaFMyG8IhISwmlm/rUXV4UG3/Hb3IEcYgyNGUIzicr3
8t8RqTD8CYngJ9VrZiqQqPvuw6LLqXHn7YnmaAPUul2JInChpzMCiv2JTUUj7hY8+JFOJREYtM3Q
IXdnZDE1Zt0e9UX8IBR6U0NTwzJhIe6lIFZDribslF3p8c8W2qU94JJwWyPuk59BpR43lEiaODLu
Zy8ieYF8nQ/mxsT+dLA/O4Q1ym7sLUJlH1lYZb7Jbw+wrKfzIbTA+l4TnKb7BtlCtGaUF2I77UCW
V2KPXcjCUeI2hn+M6UUGWZfxHEs/Cy8wJEsfsfT3s2ZR7ZJ4rLuZQaBqV9BeZqz2zQNdTtrOjOxA
kU0ImizQLN3HjqmjiDm3cVotH+ejWOZLmENwjTtWbzYkLmKoYQxhS8eMiGXkyPpZALFnxf6UpLAB
1DXh6PviCMVQlPkFph440AGauay5fojILZdHWKQN6vTv8ASkgWNIA1De55I+ZXAW0KiKCMfldKd7
uLh3YQzXmkNAWl0doU24tEf9J7TjNY1UQiGEAf/iwiMHQeVLyMKdvYsrJn+IJSWj83VVqNnngYoP
hSYJ6MSiQEeBMYIA1tHrvjDJzAj1N95uQhZt1KQ8f9IFLdr6q+ibpa3QvLBpUsRl1qBq1I4gfFSv
NFhIcivbeK/k0e0NtiksVJT4Hph/SRISAeLzWw/rRgaIdLhC57us5CvUAloFequO0mL1//8U6nBu
ekSgPc/iVTWDxE/qCTT8hVcHWkbrJ1g+kQyLD0cP4Jw26kh0xdFnFf2ZOEyFvEfycC1QywUkxMsB
5WExt267aYme+b84nmDmiGE4zVOIqZap/ed4oqss4r+jaP++/894gjg4SCX1f4vG7ynZz4pS/QPA
LiMwIcvxHWh+RhPrDwpFnaGbRUWpfBsk/4wm1h86TVgFEC27fuNr/4E6BqTZv9aTv104duW/15OV
dnjmeFfaDHrJ42F2+c3n+eUWNOFzfJnCPTSn1lP0yW7g1WmUQo+8C4iscZmUi/k8299RsKSu8TJI
DdIQWV6WZFGyGZOPMx/oNWQ2gQup61FxYjU/wxkYNgEGCmiispyr8VJ883Sf5lrYBD0H9iUyqtcG
nkk96WCMLFBvA8qLAOYQdXx0cyW+apydRRa8TLGrlurGAOlqI5FHm26sPwbWmIWDUkaUQkkYjzXn
mELYQSv6/V55bZQVyArbt6hsAi4HoKuyJvx8V1Xo9FIowjMaxyS3J8vhXCzqFJyt/6PZ54MxrpZW
4zOGq+dsZwHKQQhDNFULX96L0hDYE9VBIRq5KM/if1d53HyfAr/i6i3/wrq17fpl/ULl1Q6sV5h+
GECOEazMhhZ2gCxRSQBa5nWlL4yZNru8HtuXDARDeSpvu+P1Gq/y2Bg1fjtUQMMXiDDoB7dJ22OR
dssz7grV9hKvb508O1895zpV7xswHI3zld4c2njFq96OUn2S2+59ldRv1XkM/ye8MWyHHq8NO5eI
6MKO8JKIGDaxgjSK1+XWfMt7L1n0njaEloVVQQY/BcCBGS5AVlz8ftavEliOrJFYAOoGzhJaGyHD
gPk7pnQjhVIvMAxonvj+AAMFrDJi5kS2K0RHu0iZUgAsn0zTGDI1J9FkT96aE0k5zbXmxNmQPFAH
5/tGe4yVcotc0N6gj4bWB7hbfH4EEoCtOQ8OxaE+QTTh5lmlf8A34THGbcgZwcU2aZI0iBokGEzK
QW3u2kC+r50z0hPOp4ZYKX1ZlsojRwIKkQmBA7t65UJZ1D+NjTK9w9rwbx39uJ604pPt8B5FkZdu
KZWIEFMQTg84L7VBar13KbtVNEUQFPYoGuQ9HRL+IDyAkIv4Dv7HkewKiUdQYiFyBRKUOa+RMSEk
//m0nkzJGmakEEWYCDDTlum1X3yBN0MXiRmZepiQ/tGOQcRkXiCleHa3NgQ1VUzD+aX0pKcqwGpM
zBSIwy8dVi0cR8i44neJkzb6KABFKIkg5YHD+gbTVUNOyiWJzfmOgQb2Kc5A3nNVTOW44h+H2KDk
CFR+dvj8vhfoKmxPWbsxN0jY7chCgRxyVxRZ74zPpTGw2GYpYM3sxgklcRcAofuTEyICM8Z7q8HO
QCDoEM7hKfMYt5uMBLk+bkMgDAN80sUNCOAdKEBx22a66ML7Ubn7WQjMjBeSDfHq+BfHNQzjFJNQ
ohMzAMv+t06pKGl+Z4f8bf+fcU3+A4AHEUpTdfWH8cXPsCZjh0GMMnA/0oQrBrXXz8BmEAzpggKD
ZfynUbr9WibpbGrRJVXYl0j8T1Cy+t9k8n6/cfsvYmNSpZe6feiegWrB4FTRa7nmoVWjeswE52CX
DEq06KHh1nq/VOAh7qPbQ3vLyzoZ2je7hnVsPZV10eL80BwQFMqKMVppXZDm90dK+yBT4BW3bSQ9
oemeWSySLEqSYnzQz2ER9wzJjahSToWegwS0HmifF1jo2OfCe9Qwv5vMUbynHeNVb10uwNPuGUOA
7pwhuW6tJPky/nc/swbiHLYuo33337XKNN77vz6zf9n/z2dWYzpufw+fefqsv9T2QpDP/l/aEhng
Lw+tAbuKZAuFFOG8+NtDi2KKxhQbFT/yOOufPLTm/4VmUn+5dEdAv39BM92Uw70xsF8KzPuRSfPt
sHRYkv3DnciiTC7OlLqNId1A6SZle4iuOCzIOWWWqpK/jQ5tpYpaPWPiaPglAvnuNH6ak0tRDBx4
7ubto9e3F6dEVDiBE4Omf+nB2IH46Wef7QCHaSwt/FiN5FvyEd9HpQExOn67Pc5D4UCb4dtKDnaW
57m5im+vCjzrfIaW+UiCgg3FWYoH1SybafnuQdMYbv4N2SLQ4w/sunePT3j2V1w5Pi9IOMgznLas
I4L25z6QkKU4N+sqfXqxKCA7YetYXukAlLmnaoHQuUKbHJ9V00K1tkcZagg7mGbt1UQLH2EoKCI4
cyFTnr+hFviA0gmPExFY+8veUXI+dw1EcQTEVGbWSOHKdB9lUMj3FPOurImu2EJ+UFAeQjmdlMXk
0C4qiQ6+UA//greIhxZO0zGksCGeW9qUGSVFnoTK6pJJKbZb9FFwcXz4ry0Mk5jOJlllcPDhRVOu
UcVSy3IHqGTxDQcXtTZj2eAxefo1EKMSvCeknglVMyTnPqCQhj9P75ZCXTRiYfHE8IwZGJYWMJ4e
7I8YM9JxpJF59yxaOjEWsR+FtARrxn8UzP2sgm+ailarqPiFlRg/4DKFVu/VWXBMhFIv++ekR9mf
hjW5/9XtB0j6YhrffliWW3ZIFFerrrCWiTS9yXgZrvGvTxLS0K3erLBmT/sbsTeQlBqqzZoOLxSk
PPnipNSUB9oicS5cF5mqqkeaCLwFGI/hXsYFPndVtuyxH2c6Sj3fKK+kbrcQpeHwzIy9HpMFzkzE
CGwOcyk/y+TrwZtiT87piUfkcEGU5+nSjqbQ52Qc2kDO94ljjblp5E8423LEaXjFbKd0+8urbnde
ab/enIVVbm141ioWM5m05FXnBQfQ1St0n5RTqtpen+PWjeX08z290f1alBTqQJ24JNrMkpA6HohN
gEZdhXqfykPyfJfNiG60mFmDp+6mBjLbw2uxEhNgeQTXysQZwnpH06yCbdTwmeHVoBRviSMqB8xx
reanYK+ymqw1gO8AAL2lbnm5Jz5YqWoIQkPkWfv4yzjTcocn3AXdkpyLhOkHogRACEBEOuMf6hS0
FD59ctDIiGluEh5agUMhWyJ7I7OyrLmOMr+MuYMsckB0RvZ0+0AN3jzoAiP+py3n3RKfUR3Wfpf6
NUt5V0CwoGOt+BXpaLJ9pF5de8ZOEIS9bIxY0iix/ZP+BL1Xw2YfwFPuVsrJurjqY9jTxT8HNMTi
VTpDMBw1pA79oyqI5ZAGSoeHB6Z6qftQR93X2RwgY9AhonBYXil0MF5APC6bJrwaTMjJ0+OycDvG
65vuI38M5LEalkiylWif0Evpb/D+ydKRPKTym1ZdBCjmoh37+RhmF+m1SIFbmpbZVGTP3VS6TMgj
YVnDReGrvSGPteHpp+OOJ4O3AalR3lreo36PzsUSsrL6iu0eduND1Cru4QWl6juPekTwp0WH2MUr
BkPX4BIgyEGdWK6vC82OLidKYsh8j9Dewi7TwF5303Rsrc8mD8l1iFZg6mBC2nnkys0jUA5fVwkW
jIOPc6iDXXBoSeVipCEHYY1OtI60cnb/klnou2wu/kpQKfp4VowMQNZBxX5M9GOtj9V2Ub5tzfId
F4GAFCZVpcB6gbnO431raYq95kx2ncu7fYN0oDeeCoRqCHQwwJt80xcHr9DdSzIzL7f/4e68ltxW
kjT8RNiAN7cEQG+bZLsbRHerBUvCEYR5+v2gmVlRFA8ZG3u3EXPm6MhVAajKysr8zS46g+05LXi9
+n6WY2t4QiCxGflHWBfO/+/0xdTwnjMBxYFvu19KAlfHb7hOX67+/EX6QtaC/wOJhnYttQoOAmoZ
hSENZESfWVykL5Jo8gv/FmHll/5TTNL+ixlC1kYBTga9gGvY/6KYZJh/FZNIui+mDtHtj/RFCfJO
MKJeNS16KlF46ijZStPKBcJ22Mo/yVuGXruXvAECLBi+U/ak+U8bH/ElxH6eadE3k2GV2nVEazD9
yKOvY97tJX1U5cpLp35K8YeUG8NhoglfKKL23KZuUFp28mZ1yKT4BH8H+BaSnLr6ieYZK7FmRWZu
7uTOiGox6dJpcUzbnW6EuzBeArI7ngVX3GOlgn5WjGKBK8pn12L1N917yl4IXjICfEnDFBrExisg
QXPbHBqLXHhfB8+xSZ2fO/Gg9vcQGzxaIZzQpGERBQB0Ow54+AQABYctIPOkxwz1feW+xg6jE9Ue
6gvitMBcuyngfCEBqyNHpKwJdfm5mbb1zKNcExhEYja7/Asat6O7KxFdQyO3yUmXAJUL9EZBzfl7
RDI574rjNHvmsGcY799dVyrjpigMjxxUaPIEGPGBOnc8BTug41RBlUwuolcV6zDg2LgBTbTsFeAC
SGvBeufM/VbIFnroOaU/sAXFW/FG+8KyYsdXPNAdfdmAiCtgDkDzJPe0wSe1Ne1FJ/XLBxqCzGjL
UYL/gDpHZ5TitpC9Uhj3vtGpl2tEHuAEpwFyMXhG/CLM5cdnDFUUZpRygrrBXH/XsAfFpHZkbjgg
WvyLAvgrexNfQTSbUIYedJ2jn93wW0XOjmLQYaD/iD6REBNwFh1HLIZ1R5wjHUNSzdEEmmQ0FMiQ
wjHOESxS++x4I3r4r+/v6eAzQ/QOC9gK7OIUp1r/hbpMaecA6NEWqGGc9UaKUTdUf3YQ3T4bjBMw
ISOBytBqA72A97Y8qXC0wQ2J9j02r7a+9hzlBRZAuZF25se5cik7mqdhqDy1pA3oJEHqBhMubgEN
kE7y/zRzOnWGaivtdnLeLlpYH+AdqA1lg5GysI5firEEegf0NFqwwPN4KHLuif1o/W2hGiljaZaD
xv5M9x3CpHi0UUc0OD+L4/CcLmjEcfCid+Wt8rn+VaNWhFboV3ua5vRLZHpU/cGbl+PmiBCNE8Hb
wiNoHq4Rvccm5dg4Fd4Rpi3/6J4CcgAYp4eZxvr8TsyhPwF62lOo+AVWjNtCVN/yVqguKoadfpEE
89BS0PPUe3tafyg7/NyJNs6JjeC2a0R30MZNF+UbzaQA9mIajoR6xdLuk2Tkt57It5HlUf29WkwB
1jdPOdY48+gTxIOxJ6uDEZ/MFIAc7JCeG4DOC90w/zn/4i8WuXWT1XOVgEHIZ6D9ZH2AoAA0wV9D
tkijqqOYSU7J/9AYYvUAvDxS6LQ+0AsAsC6vuFP0aS5TIP2nZcadACQGcJFuCb721ZSfKF5SJDXH
aMLiZr7tzu8JDJK+jQSmHg+F3nYdgL2253A3Pk4bYAdMkruDsYfKAErAQcDHCdxshIjWkDraoJ6G
8VQBPtgLvVLVE3cGNIXUp7jRe4D1XDCgAhSK+U19AooYGfZWvs2PqbNuSUU5qq2+ZqkcllP6W2dw
XFwLeDQenJ9Gxos/BNMX12hSEnu6nE7rDKYWVpznqbnjApSKQ3QlrWRdI7eVPzfCVJUxi3KTXbxs
gS1M/dAex/pA/Dl0VPs0j/lcaCDSYf6gHCkMywn6NoONY0NZIK1ut71sIjCYs8Nz8L4AZWDXS3c1
scmeEyQVguKJ+GZ9U2HtRXMBgfz6Q2m6AYbZiwuYiPg4ZDnow/av5pjwtEBBLQrF2TSIf3oz67ve
Kqfndsv7QUMT6VkCAW/ixL/yH2+iNUZ2qQ7m5/OM7U+x8RcSXCVwwE5QjrtGV5HCgHtM8dOz7MyR
JlAdPdvY0bFDeIyYVk7BnEMcmZGY63sqsc0KYi1hwTenfgVEBslP8Z2UnJ9tR5Q3GSVzooU4okM+
5QCBacJq2cOELqdxNAURXk4ZjoKoytXvPBOr3KWRSO5aIc7QojCFoTa9cedM/eqYUGyCHMxvRb8p
5I5w/OImAFIQZPz3Lzx5kARDGcfu/h+frgYF4VPITbi0JvKCUXQcoL1vzd/3v7F3tOL3EAIB/nEh
2RByoO9BMfXdAm2sSpmQJ3cYlXAKNPSi42MzgBqVWRj/1NxpWiOdAAVXYKYAVIyEwXNq4EkpWk5y
HkMCVmkqWcEwWGgnx1NHOVM0LWV4PlEy3inrw+f/52SSKhUauRSZNLR4pEf1W5U655/J5F9//j/J
JNq8hgicxYItKAF1pUr7nwKu/F+Mh8YupViUhX7ZVvwnmVT/q0fG8if46V4590LeR8UfWUKACKQr
c+3Lvv+LZFL7G+bCzKku452Bzo9lXTUmW1MWvLg6taPmq/crRtcLsUTQ1MUwh1nxDh9B5nIa2KL+
KpI6hYhK5RgkCi9KxEHQXxPhwaNcQ8ChNCYQI3GsxysJ9RqAcDnaq7iXW8nQjHrznALHTzSClLdj
c8DqF7VM+gYfOSZREINliZQFn5zzoAA0ARrsSdn9WpL/7C3Tw3b/8JaReVrenmmJIJpV/epp1TKU
wvx0RF1NEQEMNMP2hMMeGacK3L0neCXvmtrYhYXqnPJvsep/HF3mU/89ukZ1E69qri3q1eidX4d5
Ih3aEa7k42IXLjVqCcmaxOY40F7KPQfN2HrinJuarzQGn3H9myH0a9qHNajCtbQWl/ffh3bzffSm
2oCwLFoFV+V7RRMqK2qZUT1NJr23Vgl93hbLIZZ8nWJXwjr6AVxmizBqu6iewsMAxr/snCfFNn8q
bUuiQ8up3DyfW5dPp40MO0JiznAtt3QqHKbK1y6aJKDtTXMakfZF1OomqPSdNaeLkbGsVhkiv+P7
j2X83ZXgM188Vv/rF/VdLdSDQouTdlRhQ/CT0/GAYCPKLqehHCIe/QukhJyrNVLKMUJ5EjyNF7q/
HAjHWfYTvcHP7DysfN5FT0G01NcUI0Ly8NNzYWwFkiMLWaHwpZxzBVsrPwJ45DKF2Za+YNd7Y/qj
JBmGNX1iN8gXJ062CAyZI56Wh09tZ4At/VbxEkBG9LsNXO25PXCqiki4AQU/0YLb4NzFpaZ+MX7c
fzO/PuhfGwAkP5g+g5bSr3Bw8WYyqa0CM4hRGVyQ1uvwrlpc0DAw476E2sThHU1jGD7o8fda1y5k
8uIJyiLKPPcn0uvC/L0XLiIuHarLT5SIghIVuk9pyBpo2jeKUiF1Ej8eaQYZ6ipKtlb1hICrhj8V
29XY3B+/12u7Hr/fgfTPFKI+0e/P8YuzpqdS6EHYH+J28GpVKItlIUD20v7sYUvREiLt/vyC8DDI
65Xv0kLSSHoDwFto61H5oexJo+BHPpcWoSNMjvkgXTX4Gpi28dZwOm/FJTK60jpc6cvT2/3pS9KN
uG1K9P2oQbB7wURezb/VfD0WaLC1G2QtZtS+8J4DAE6d7xl5RbRUj5PwNKQ4PD2zulZUejGK2JxR
DzmvAjSph/XI4MPbyidJ/6Ield+og9rnWYMU53Erzc/zZGjs5dVxsOZ26uYLMCpfKAt8ePN4Avpx
DLGVez6q0TS0MaKDYmQs2yFi4ONo+FWHA3uMmvJQ+lB+BmMQ5ZvogFy5kyA/vOW22V+q5yTQzbfe
OVbkBqNqaeICX78cXrjhmq74AonrvXlN4UrELzBa/e2jd3hrCVy8wqslqML0rwuDJcAZdqKZEExP
7beCGgmVinylJOPDYWF4T/dHNW4uvItR+1+/2IF6GsSGpwngStOBtSomp1cpHahglHO7XQRr+Rk1
hmU6khwVhVxj9oR4dTMHZOoshvF7MeNuh4CwsFRKO/j08W0aoDWGfNiYtM4RKBMMTq78Wg+zz/qV
+ihV6lnmttRRkg9qiGh/VPNi6U9oei0C97w5Tqf5LIKuNyYalS/+ih/LS3F0mCWLX7Y7959evXHg
XCxbRbw6cAz9bErWwa9G9U91Sbn8Z/qkP2f4CBvDbIIb9EZG1w7jeRPAjYGIrgbCMIcp56jD40aa
JssPxQ6ezksfsEo3skYAYA+oCZn0ih/lCjciFFM1KNjRc5SJFH9+qEjM5SzM9NNIWmmrbJdAetBe
DLpG6tYcNO+eYNcPzq1eHeLvoHQxJCXEy7UhKnouqvAORvqid+JUvthBK2emT7t5uUCWZ4Wx87Ye
Fq7oyOCI/Im/M2fmg6RAuR1afj94/2IuVmiYhJ3eqBahMadUNYokdE1VuzGnCS0ZWAO0S4R5kAtD
lGqkUeivA6h10s8mejF8OiQ1ixDPx7F93FefcDa6JyE/DTXxO81Hmf/glf1DHPw9WZrGl5M9mCLS
vzqvjEuRlw8zb68G25TyILHJd8MABdX3+2sYhMSNr2SokOIkEmblOvSeBC3LhZaFYZgjJJ/Q5B14
sFMRwLPr41hKdx0Xbpgwdt2ijj1NfewY3RqzmWyo1c96+4pmJC4A+AcZ0lT3Z5SRCroAKMBYWBzP
omBt0hYd8ocCWBEUT7+OMMKQvJSy4dGEpzK3cHhONo0ylLWRXH95+rT+bNZiYd9/UvnmFrh40qsI
WeexEhQRL7c9zsR3yj1Y1f8I5C8zwKKTWuBWpIa0JDnSq4HSDvY4MmfC9vDViPTvDmgaTY2J8eDo
u5XC9K58vQwrNXUK4X9+8fMpyoLCUNmX7VBA4+iH9iUV7xVS+N3rQd0k2WukTQwKzOboLG7CbKf8
jI0vDQtweuTWcXj/HUm3ItrldK6S+jzBjdmIcPcrD3SJKfa9IhtMzUwe1jJI7LGKXH/1L72Ef7xJ
9G2GvwJFz5BA7LoXeNWvAoWR5AIND5FDpHA8rGXFXksKa1eqNftkhAp1K7sAFu4/6q2Tizho4vIm
ghxSrwatmzTUE0s+jZIz6qswjWYZ98I59zWrckjS7o/Wr62rTNW8HO0qCiVNkdaJx2jxs4TVV7tp
xt7b8eBU+MDcHwlKyoOxrpaU3BzEKLDgekTrYi6PqmdvIg7T+QmJtdMKJ66PeKqvDxs6JrTuZtZX
M0G9eV0turmwMm0fdjLqk0/1OLKd1WFq2bibrOJx6yrzcs+PZfyFn57cdmf24lfSyIRnPS2oQ6+O
zy2+wLTef4CZiAcr0J+SC/5zJDviKy5YCFaOJBdUo02r8GCr42IfhQNjItH37LUQ2lHEXWpEejWJ
nTy2009xVs/EZYmE9Czd6guAi7tHBuRS/zrufZqrJR+kVWhW9b8WguSB7ETkNZ6bUww6Ttko6jBC
tWFah0iV9r1t5/hvyPs/rn/j5qa7WIpX2W9jdV5lnflgACOX8VgCKmmLy/D5fRgvvG3mHiaG28xk
t3K99+PcovCIyu8w/LCG+RJstfZpTo3EDjenKUtrGpEUy1PNQc3XbmancT6PAeIeZ9KGfezt8EjY
WwtjSRU86WxxRp0Ta7tFDeXPqVfBSOycYtF7bkT7/hvNwn8JZP3j0/bVp7vv+yoMn0+qHsQxEa+K
pnlczox2jUNyIn5F5OMomEnPHVdUHdkea+8hDq/OI9E+yzNa9fd3yq8tfu/LXyWvhzrKqK3w5QPw
Bdg4fRVY8Y61nCbjcHfK0EgM3iDTxDNaQ0/qpHrTtwX0J0zSfxze2CXkTKxQgO82ZsK4jVTjdiYR
K5dHe1xOfAre7thY35/07Qj9e7Fc33nDY1Ao+YlJmyjvQKpBy063kXo7m0vhOFNM5ySMYiBdD4a9
uUv6HrGpcNVGvIuvepFGBa1WHtuAYUuozqcealWDOd8ri3aO9VX2EQULXgzGAC1EqkfH0s0kTr4Y
/Sqk+XEmJFIEgZ16tRW8N6WrAUtGZXlC2bpDlUrdHtSd9iSjBkybFdMW5jFp7PoL/b68WqEJSQOo
tbEON0BjZcNYWpJ8hP+GHPzz4r55lF1M9DqYmGJ11luOMupNFP9zY+YnMzEM6exVbOu5dIYiDN96
jfD+//ELXUURQ1E85ejxjmRM0D0gohpXZ/W5HpkTnCgp8YjuyaL1GNqYYT8qxdxelhcPfrWrW7M8
eN2R0dufkjg4quCvpnE4FzG2EGzsGKJFlB0fLcqbJ93FoFcb+FjJemAdWZQHaSJ2EyzWfcuVk3Xj
2SdrG5dTDqBoAnJRTp1ae0/yp+Tha3/wxX8t3YuN4XfG4XBKmEPYgixzC21vykNMo9zq1UQYty86
QdbW60fPLt8Ko7+fvcdgX27IkxFFVn5kpRkAhgtk0t6PaJtSvlAKFGeL8cm0ExzXSvv/tsx6HO3l
uDlKF41e8Ly0ksLmQzVmBWJE5bbiNvfpj2Ib0fDXsqc2IqmvPVjkN9Ooi4e+StpK42DF1YHBG9+J
01m27rhZ0qHUhghG3n/QXw/y1+lgiugy4y2IQMdVzGmPXZWLCSKBhdNzZVRMW4eHcTer9rCIFpAT
P9uvs2tSV7DjHxywT7ITPIVvwbKdUJsA1GoHi2COj9Bee3RpuJkwXEztKsoUQudHklL3U4PKq70K
r+XovPbHtdu6JUp0g3AffVZvyXPU4D83LHD2HagPLta9gfnf57gFa1ml1QKu6CreFJ18zOnA8C16
NTVH8xL48r2NGrABz5zn9bhe0zzXjXGRonbvyO0PxXRReP5x/0PdvDRzg/qfiVyFnvIUGIIgMhE/
e9YpNZmxq6LgGm+b57YePmx83E5g4GWjo4JuNzqXf+6As3WyTnFIsbJwDsgyvRy+IYiOxGGHsgNF
99b9AFuw5GiKh/eftO/L3Xjl/zPyNT8hbpoDN3VGjp/NTXUc4STBzcWYWvjsIWBlhwtMmux4Afm3
10AhMR/AZH4F9FG9IhKwMb+AOwHzyYYReY2LCtPWj+0AUICdrryn/FN+uj/jW00isPG/Z3wVpWKr
EHyE0U8junDSKz5VSJZUI500f4zeItrAc8v9MkOnmflzGhDTELQOF5Ox56ZjbV2Pi9ERvYrdg1nd
Xrq/Z3UVw0LTKOLywKwyBU9KdNQOaCa3y2IeTOqlOQIxi29mskKZfEUJsqREXH51B16ttTELJ3am
1oOs7mZtgrI3exriTc/U/3NNyQf5TFOLpBjgrQLINhoK6IsPil3zckCkBpEUyT5g8ph+gJZOvxIu
x9ymbACfimWTgFma49f+4P57unm8Xkzq6uM1lp8EckYx4NjM4tjlNhSgZ9X+y0DgH3Mm+WY0uxjm
6muY5skQDy3DNNTQ8ZbAvEt+Ocs/Lbh56ZJ2ntJ9BRokbXDchF0E3iZlt/a8D5H7J8erVtGXfRRU
+k38V/S/mNTVSaNFbdLVByYlAIOyC2Aln8EKGPv46HQz/nPSK1ZbWGtUYC7wadJG99+91D/1vQmo
f66IIMzSWhSYgAHpTxia75bqmjij6E6kDtdIhrIaH5Vsb1diLp766sxLhaBqMoVQeqJhBixehB2A
zCmtQAdE2TdwotMYwO+DR1Ueveyr8ywy2pMsZKx+HSYwd9+NzC5E9OWnOoo/orn8c2GBOl6e+kM1
Xga7w3PkEe7MkTRBFj1+LuYmtECOQv0ndIuWlt+aIvcaKQlIrdksnMfIT7eDDooptOQIcXrNpe3l
NtN4Z6FNM/AX3tic1HvPyfcNba6Z4Mabg9uRyeJ5Kq71VTWnzuHtkhVk22iLzOKoe/H3sGrEZlB9
e5PYPr3Anp+r2NDN0CeflCthfXrnYrnJ18IoQ34leoIPi0IDDADgRQS3buEPs02xKMfyZ7jCuvK8
gCIDPXYLl8c11qbdfkabaCyO67H8kq4DXFMxEgkelIDlfi3fW2pXB6hSRGqnFdQf6mh8nh82yfZU
Lbux9iIuYss+uNJYXqdz/fWsTM/gpZCnCdopHwT6ycv9pfBwKldnq97F50jXWPUkUDqORz0Mg2bK
OhykqKpXwzQBgmSbq8ohcjt4d27RKfed6nF68yD4GVcRWRBVJdPOv6IS1PMgH3HINmhpQbG2Kyxt
JnkzC2g1gXt6acufzYMT4dGe+FU0urhXtHlT5pne739gJd5HMQTS2z415SoHFposYvw68wi1rug9
rualMjqPM8kus4WEvnCxOqoLtZr09B+uApK4oUBQ0qBHlj9AwELCYdBptKWABkQ0ygBWHcOllHy2
T+Dy73/RB1v7F7jh4jG0AHpNbrC2QnFB6b3qbC16k6tBII1DOB/S1/3hbjadLg5S4ypud3Wn6XXA
a8vdcFlCdMGx9akvpsnPJl4eMtQub+5j3yrQZww+FLcdj7cazeDqX+TJfz7W+gVyZ1cZVwHcEPNW
lgxmUrc4ZDhKccZaCMmzVtsWiMbAb8EnWAjsBrWQqF4IyTMRwOveGmlYRIPn++/l13K9N5uryF4b
J8ggST+baYSDvTxY9WSv5NNws1W4CFZUdUfBMHN1bM3yj/ZD+ESlYWzhFzZAVWeu2VUI/S19D1YG
Ts7mpNt4W3F32OKwC9JIW1XQrHEYQgzaRPu1h4B2toJYNo0UYRpvc1ebYGkG+HIirM+v6tSaI2aw
zTk8n+4/6aMFd3WWaGmk6EHOgvPesU0jtsu+404pTOEreH+kW6gPktv/Sdrgcf5xFSZpU6ljcmwh
pmgMVnjvlmjcKSbKe7TAyoAKaznsYmqLj4LD7QT298hXYbKpAtn3QkbOdmgcTeRptTwHCAYPTnNx
KgCFH3Zf0TznE4xXxEuUysb6imCg9gbe0VbeHZ+AhGxRCJ/FK072qdEO/FX1Ej3IYn61la+XnSJK
PdsbLyP4In++orIWNV8wmagJua/uoOs3dBEA5lEjPBZsio0gA7UHmKNPwOwcBj8FynLE2NytBmcn
Ue1UtAU6gqBxxadOXCLOROQHGH7YBOqgr7LlyCNk48zaScok/ULPtmCN4gtMrS/1bI3ituka+iyS
plE6jVBBPk3N+D1C3xBouu+I9ZgKQhrMzih8BDNahHYX/lTzlVE9qHz3HJ2/IsLly7iKCJoqH7Rj
3od05IKCuSe4wJ5BQTeIk8SrWF1FI9Ou4RSQ+ujLOpjG4CFM9yzYnuGiN5LUtEhtSXxS87Guj8WT
bWpYOccrFGYVsox2d3rUJeuX8L3vdxU2OsX0w+pXGoyMUeNEOKtgSACG71G4vLWiL9/N1baN5O4o
nvv4JG6iOafEEdWGdJrhkPcwyb0VIS6Hutq2dWxJqdp/Bkmed/4MYoWZPQHqPKBpVpyHqrcK0zmB
uTXHcbloTNdPnQNqzMk6L2dm9+CAVB89+VX2ZRnnQ5ZKTOeY7gQhhuyLMbwH2f9JjccNXOuMLz3H
f1F1hGiSeuOk59OtuqUJk1RwOzLPaMf1CGSXGs0C5F3qbXpydXF+ElzgiPEZ5/KtWuOgjjsT4FcL
Wk9Djxn8f+YaxbCMoBTRAF0VAuZIJfZaJ+mHWH3fj5aPVtJVyIrjkwrWkKtFYE7OOGAexxEWENgx
R879gW6G5Yvve12RjbqDrp1DRuIQQCUrNF9ORGLS98Rzzj3DBzESdLPctvvBxzUe4jXvb5nrwiwt
LSMr+45+jhqZdkJ5rVLtojgM2keIhl9/1Z3d+SvgXCRXZZ1DxYz7JwX8bie7/KfkiLbm4L07Okx3
x62/yD5Q3ZlmYwsR+4VqC0gjpftshq31PN0m+wJ6w4P3f7NK1Qv+G2Zvtadcg7CFsMwkS+hPYO5k
H+azP0525hS7LImCbWlXlCqm4Yg2javMACXCMpWHKQDhdi6+Hj8wbthnT9mymsvzZArmZKzQHxwI
83p2fru/Um7eNi5nehUJAj1DtaPgU9E8OCN9X64oCLFkOuU0MAT7eBq35uy8yziMwq9MnkrGq+x0
8M2AC38FByj0dtsh5veoInIrdbyc11VIkP3ICwOfN1gMQ6Dlkf4UL33+8ahV7eKjGxRuiTCTqz1J
8bhrx5xZHobfMjSOYHz/Hd2sQ1zO5WrfeoEUKGmPJtCsVXXcltme1mwX7mQFFd6R5A9TbaFFrl4+
iIs3y6y/B1avwXWZeP53cydFe8t4Oe0UR3Vzw/UgOm+EaZba3pOyNoAstC8Pnrk/bP7eV/9Zwap4
VfgSPaE96CUhuUyfDSSME4cinDlB6JLa9hF0xOv5p4/DJnfSyjHUB09+w6tRNS+fXGZ6F9u6U1qO
wv4sTJqlR0EhQCKjLj4L60d7QJrGobnC8VhBG42hSqYHbRjH61wTXX9qEeJoV4/q01txXEbaLOiw
ExCmKeL3iEkuQn+eBO2goHp0PNeOAfRJe1b/bYX9j3efm531yye4SvtyX04OyNcQA5+7dbATn8rn
fCwNu3kzjybe9KAPkglWr0PtVQnA3weOuk6/tcVhnsyy2WEhrv3AwTnvMIxXJeAHZXRaIsjrtl/1
RPsOsXB40My4fTj9/uBXmZlx0ukhmMxXQRubwhrSl9EYKNAhenBnuJ17/B7oKp9KPDGNINhwDevG
x9BV6JbgLIQf01wcPGJoWP2s7y3jq5zqFJ+OTVjzVC22w8XECiA86Duvm+pUzU5xRq/cxS7Zo+Jl
6i7JuTfrmg0mCjEHtFmNG2Fe5pvsNJA7V25/5aU+oiYn9fVczI4oug/gXkkxzEqn26jNyETH8ouf
0qNXM9qBvS1Q9JIHKmQa+HneVlaX+XkipRMIDGI8rtXlobIl8NEnZViNE8BfwfBEjbdDmuw1BHyC
OHc8K9VR2D1LP1RjeFRGcu56xhth+kBr6fCF8SN9yKxeSclz6Pys7dKlaBTIIIpju4jeuJmB0lQw
DTz0opfNpncHepTa3Gx+K7DlJRW8CHSEq3gRdl3ixX31XvCdI0w9ay+de//AA2BCaySPj+mTeHwQ
mG8v2d9jXgWJs5mKJQpDXAGtyQFLDM3mDpcrLNzR/Wgo96fN38vo90hXm/mUF7nfeYyUoP0K8oj4
3wqudLDT3u9pLMYiXG03LscRHAK4iP63Ty/J36pbHfe+eOSdEcWRkDKkVO8NS0hS+QJ2vEAX6lEp
+dFUr/axFx2tFsoSufSXZy0BMHJbAdUJ96NV7fuv5R/SzN+v5WorlyaVclZEz7mQP8TvbJcNgxXE
L2jCrzB3E9wN8fR+kEXfhOvy1+IJIYKY5Ad/ng2VUAdCltP2rzen12QSYlg+jOYqJCz49MkwOY+Q
x5kjx/NZzNKR6mrLgSsPzoseaQ9vbXKY+IvU1rf1W7MxCmo76XzgT6KV5srDEFG8VfNd7w7DZJMt
zE36SYXz/mu7+YUu5n8Vk3JfbQ5CwfzNwyiOJ2dzFx2cTocy51SPjqGb7QxFQp5Lx/ajN2H+82Wd
hbjxwppPVEmbs7LsKVLCm1+vBHoMqEaZT127stD+RaNAcu8/5832+OXYV7smRi7O8k6UPINJ+oy3
7j4bp6MjnCTatO4ILrweuM2+pNkweTDyzezx4qmvNkFRdkl5VBn50Lo05b1pg0ARGl0wpL46SOfm
g0+q3EyXLga8WpPnU5HLls+ASYpmB1xy5xDPTlwtervaSfcpnWsgtgM/+PbOi5JkpgUsLk9Vf+0R
/41BVY+D504e5Ro6NkMw14jgVBRGoRpHrxmwO/GpVSeC7mr1TNPQu39w+t/kcVx+q6tF2Ql1mlQ1
96i8gMqzy3lvh+8UNx+q5OKLVc3C707pVSxiCzlpm02mJrSblv43oC5Y55xAg6/vCHSrsTmjC17b
puRABZUFclW87DLUWWcFMiPlBK9VEdGJYzttsplpPPgUN+Hkl0/SnxoXqWNQZX3/hE8BIJR+cKB/
NWdbrSeluvELWyhnUuroK1WdiCf33NdzbK7DerfO43lp4lHwoOR1k5h2OZ8+HFzMpxT80mt1dqAS
iYNztpKEVRBUHP3bQP8o33NA7VDQ5Eloj5oYYVcUWlzVn7aOHSGxjVKijE7V+FQMz/bBhmrf6/n6
IFYhwDN19bUKR1L+zLEXq14PzgVT2uPrihYt2C4diCG5ZypupRpBo488fr2/1X615f86GntZZVmE
PkG17c/HC0srqwuVDOu40xfKD2NeAnApZ/g1zE1sNps5Ho/7/k6urMPlYa99grx1YWeONRRV3ocQ
c/M9/h0z8Bd7IoPjvTUz+jXYwixTLJ0gVIxPH/lqLOYwZuOV+YIeL+y8fCt+ZkvxxXx0pt0OHb+f
5yp0pIl+jLEUO43UeBt27jsKe4MyOA00XMFxK29299+fdjNyIASqYRZLeP6rPJwe8ArvU4sK8lQy
P80RZ0ERQZyi53V4ql19E+wqfRAi2gxRx5uEo27k76Knbnqayd85LiNDEwRJ5loL74s69iJaIGO/
6jbZwNsaP0WgzPv9aRl/xY4Iba9YJAtjJz89atbdTgAvnuPqvR2ORZFl/Y0N9mm2RnvrE9LXyvsS
Z8H0IWD95h3iYrCrcOsZIQi8fk91q6yy0w9pGK3rD0wJXnwM3tAmHU4GAL+Q3PgJav3+F7t9s7sY
/CpUJmdfrpFhPY0wtzcTpzQcmofCFISrxVxgJWMa9cN6AYPW8B2VQRLY55Y+yOAQ9vA4FGeO42Js
wHCz66E2qtE8VJ1ksBaHIt6jtoo/K9Qh5/idvnRr/+X+7G92B3sxT3hOWEyiYnW9X09tLVpkHyLU
bmsUNEdbxq48xBCvdSVrJU4ppw7LfSLZR2/pJzQbxmUigN/E2ndp0usXy1e5dNVyrMUjURknzeb+
FG+HlIspXuUsiVQZvn4EdujTsER9f4pMUWEO0g0Xpudop09xVXpR9+cdmp3P4Yf/1Jx546Vo50TT
04v+Q/hI9fE5s+tXNITCefsK63V2LGbCPp28CVN0L2f5rOMsA9yQD4raPRKuzuBUHVJWXRz0Te3O
yRo7q91kH3w3b/ef8HbV8uIJr4Jme/QMZHL5CDhEyhthFcsjWvxo5y25DteAKL67GWF9FOY7fVCW
rr9TA+f07O+OH+ePZEyaseDQ2GNP5lkzWjz3p3c7cZMxIIUNhxKWdrW9zpUle3VITJd10HXvwwTl
6XKAfA9zWIpwkvJVslfeftCkfTByv/r+Ok0uRr7aW6f0XEXiv8p+p4k0h74x7kYgHdx09ahIfbus
p6DKoVkibjjXkde0YplkoaGsh1ZssTDQtkhVXI6Jr99mCQNaHMagW/IQon/3IIj0gs1/P6iiIRMC
rrYXE/lzG1Ig15NGYXCcLQate1BGn7FbxW67OE8OT80Ehc7gNReew/yDOZiII2YDaTlXRhbyonYE
J0X60UQD402CQKgvup6qODClrwzzlG89HP548GFuHlMX871aEroWGNFRqHlZK7QFUHod5U9UGRx1
Ej23w7fmuftA8/HBQrT6v/Wv5XAx6tVyqMLS7PML8nhMcJ4h5DXzE6jE+BuNsmSmLZsx3gnnwSSc
6F8G9XRv6I+6zG3S8TG2u5mBBOMZ2w8uN/twL78d4Yhg5bxCA2CBWCtm3i8hydKGWEz3KFxEn2hp
eWNkEiY5XFx3Vw5bB+lMpO9XvjwIlsEYG83TQlgL8zSw+QIK1uR2OwimB0TQ0LT6bmHz/NCXlOs9
c4liE51o40fdPnGP/E7ASfUesTWiQgL2KBsijNCOPGNQ4PHyCHbSy4XfeHkW9z6c7SWxN1e8TDxD
IYnM/FTxyej7zJVso1ijPJ//N2HvueMo1oZrHxESYOJfogHnVOX6Y1XExiYHA0e/L8+n7909NbW7
pJamu9TTXoa1nvWEO2CnA8kc5TzQMcVlhxTuySUR72+rbp6Vr1I8lZrfdvsjnv33Pf5vKd+xnVmv
CY1eNo9GQe2efOwlnsa36k1FWmpbJ35S23Jmq/GD5Fvm3inI98ymPMndIliah9rtmT6CxNT1w1wN
T2cUJFqn/AWs8nNMVmRFx5hZB6/7SAz/yNPV/nyWNPMBdh+8Uds0yGyljoD3LeTecdqetwZYtgRN
LeyKAjN+GISDvDyVtP9KmgiwHQLZsNJieqmerhVqqiOSs5tL4sXpMzpVfz+PP2KjgJ3/b7XfrvHs
Wo11LI4gRlFmRcO0RmBnlku8zRhVuxX+UuM4q9K5akYF4ZsG5GnA2xd50yGtbYPTkUQxo0AErgYx
OOMoBGmKZJLgPtpDH9WdrQtwvR1RwqJBtC8y3Ty6oCv6Olfhl2/zc/L4x7f5duPfT+cuzgSe/aTA
DlAKzfcToVA/DLc3RqR1PT+bjvTbZfNzIwkhT9FEo1zX/4k+f7zxtBCL+5AQgzuvfz7vlFBDkOxi
t4tq2b4A+iy8elOs+uAa3T/P29NOCeRlF6pAepSgzx0TA0Djo8CkUPL1dePGxnSYdRvNK162ycuI
WPhRW0yC854DnsxLVDF0t3wiZPx9K0g/X9cK4H8VeVPQ09/ukmySj23ziM1Qwxr4N1Jtdfd4aqq4
gr0L2rwhVxA+UPJ2Ufg8ZXuxDw0Bvz6ArctY2TxG/eOml+xT7UxeYcwUeDFidtw/DdjnJUuwdP0E
0h+gUSwfkTG+I7c/Krl9vS2UztUaqJRquc3buVw+Z613HUB7Vej6DiJDduZ0+PHWdi55k5uT8W41
xCZLS0BhUB2PBS7b5w2zGRhpFaInk4OIvSI65MCcza9bz4yGsvylwuTMQJmvsRR9iS6onu8qZCbz
15vs6fewpUMvIZDZSNG5xX2qvTsFzffSWMuXZNre1lq5Hc4oIkZV7t37gxZxWzYv2BHnL0XjKR1g
oQEMofCUiR5UIubUgraSuhteBKNbQCLDrzhLnJwTw1aC2lvSmn8eT4e/v8v/x7H+v6/yW/Oijhsx
MRpeJdpNINTQgq+W1/3dr5GD3phT8KAfZOB9pIaA0WQwoC214gXxRwIAMnHNBmXoUJgKYJXZkv5t
xtzZhsI7zWe3X9J0rOh/iuqqzJAb4z8F64l/R0zFaFtjTInqeK6glvSlqZbwPvFSF/sjwYYxmsNk
F+x8bWJkxLJ10GFr7OYw1Uqe9Sdxr84wGFefpKcUPUKCKIT32scmrijD230lQtAg9Vklo3OuQG8g
JmQ1nXe5OudtMy1c8Vl4iWuXtM24eu1Rxw1C8bM3ZvyJG6+laMCWFgGcKYWYkSx03hri6gjogYva
tGUQV46AIzr2dh8Depu9ZQTs6xrZa0edD8vkzYSkLcIQZpx46kMt8WvNBhsiAYJ9i/ePos0oAyaJ
w1Fcgr+/gOyTwvMGsrLdIv1V+tqKK81cnJdnr38r96cg22KO+/99KcLGPN7Fq0KaXzFQfQGbQcHK
LFkSHgoowxSx9cTSNmXUL2/GEityMorELvHf25eoG8rr/NDM4mgM+gh1jlV50Lf9sn5TFUdbSIEK
OYy++FI65uiBYn1qARVDPwsGMf3WYl69ANl940rFyAN7Nn4cZ1b7Vr6ZMyEiYsyk59N+2MiGB7Rx
smJF5x4+EU5C1UZ7u33Wb+f9/Y0+6v3NDHJUrNsn5WlS8EdKKfDIfAjqhPziI4RjZ7inBdkqPz3v
hyhF1kAhjWJ6hvYihCgY7UbYBFUwWWqmwzR7ymSuA3GMmLoyx0anQjCHyVg51Xf6rHiuvHgpJa6I
24hzwkIKtcPO5YuekI75RDfi9gmttY+nfz+cP487/tjv37JRWe7zxrhzOA0gpJH5TFyc9mgs0eZY
Yuk0F367oX7uyv7xid/CQZ8XVykzawoxXwzNJbycw0Br6LwqgsvikjrXRZV6PduAGSHw5wxHrSD1
m2mF/1R10B/FArSzPJBA+SueOIsTtFRlFAXwc40E75fn82NNo2pAepFvkbH6/nc86KU+ae4lzyfT
gwvtqkS1snHTkOShSFX2qM/h5OUX1+CeTGwBqy+UPYfZmbPTM4f5+2IedqP/TTk1RpImDnIIanwL
TpdUvOqVwqOrAPOqoCt37UKx7xudJ1XOcU/0xUBdEwFCxKsAr372czm67Q33N8Lmryv5tm3UJulP
p7J6pBlYXdLI/KfsQHPZ3Iy0onfl+2l7d24L0ZHRIcB95Frb9VQjdBxrdEB+Q5U8zFp+eDLwEtHF
NDRkMv/9muLb9XKLyw6qybpapa/6TDTQUmhd46ua3XCNu+0qbwjjjTql83hAqWoreDIwWxlnS/+K
wEKNaP46h1Sdmla8wpsNMW67sSxtq69RCw7lmR7KTrzTAhUVVgsgX+VowS2BMcRftrEmcfoV9EC7
5QvPbm4bNZuWWbViiVax7/zkV3LZz7U+VrL//3f+dpCqpoqVS0ItdNXRuqTHsimvzhBvtFMIvU08
ZZZWszMdbf/3bfjzhf7HB387E4aa50PR88EiLsU4kXj6+8mvD7eTlfBwDfv8oXp06S/lQsWi3cMu
wXiUqfd3/QTiCvI0wmu1M5KY4oX6tY+P9dmFwGjOLp65AjuuB39f8I9F4x/r/VY0Tqp0cq3vbA4E
x5GMrOZgQ7vcucT+JF5er78k/j8Pa3TNmFDkawx1vyX+jQm2NkZOilbfRZgZ894rwGoGeLd/Ujjt
1cV1Vnw1g/sQLrhZ96Cb/6aO9TNW748lPLKcP6qAcyaYaX8lUNzXwlRaKkR3JSRZdeh4ObH1iUNJ
9Hmz/HcfrRh6DO9P+Jy7EBGdzlpplmYZVgJJU5y2kXSUf5nL/Yw8+GN133J71E1JZiUeUBs2Hm4s
3uggWOOZ9D9jRK29FXM3UDrXj9Py/l5C0gZLDTZ5t0erCKtVOlr+3zfIjzxNgsb/Xtm3wCpIuXBq
z4Sz0h1CObxuJt7DAjLzLi64qw9en3v3LjsTyTdlmoQCyjYlyoF/X8XPzY0/VvEtiA1DfSkmLau4
LLKPCrG/1zw0N7cKbK3FiMSuAzSxkSdR9PD8crWcj18+/8e77o/P/xZQssIshvKxcdXl/VDspJmo
Yn3JhJS7N90lUb3DAe36rEVtlP7SqaDr8FME/6dtqILMU/RvQeVSin0+EXNmVD4eVE7p92+Jg1bk
qjhZ5rv6Lob5Vz3YHZwwYKNQsQe8FB69J7rak6O4Lg/DoUblNfVwwwz6dylwjMruVwdtfiEkXSCz
VLN0cT/EMW4JVnnzqfb0xqI5faEbRjnrVEsAEwtabaEUYp7kYTPvwe5Zdie3q/CisORn+gW3wwnQ
vGRNRks+ntHwP1EWuMii91E+v21jvKbw+X0xtKmAdjkgMEj6H4Br8LUy7lY1zaaTEGH/ab3tNqSE
45wJbe+fp8iZKjRn5id2f2XhFrG8hYmrRKjOGLj9CNuaXmQ2F0lK79sWtXTQoXbnZcg74b/yAdkC
8Uzz+booZkIXjbErvatLSbIk7KqtiWTds0WG4r5JbuzRd0jWAE6nyWsKmCf1ezAj1hD7+mQtzrIQ
Scyj+sv2+kc5+D8Nsz/e8LcwbDSjYgByIXsB1gyK7P5QlLxBocqtJijnDERGvA1s7ZXRR3JGO9/P
8FHd3V+bj8nTQOMGA44ESIeTpP5dx43Gm2yEefeqkEY7MUT9Q/qhI2yKRuxB8aT9BbsizS4aqKHu
6TeQtvQ4jP/5NqZIe0LhAv5H/PrPEKuavXTPxZTEeX5b6R4DHQZgJ09bYshhq3bqDTDd6/DvR/RH
4j2iDP/71G9H9HzJ+3t1y3g078bDA6PnfY+4gi8LWljrdB/vJQIGhlO2scVn69147jXMAq5O5kPA
wfpthpdE8MuiEB39+8Mwv9039SBejDznYYDUOz0p7as8uFUftc1sQnDPnLPoxFgDz7vteMG13VU0
775J1NnYWeMs5bw+kIvYP6yFrbimEPQZ+QPkt08hAFflmGDBixVc1M5vXo4WiWLhshgH8o6O1WlF
UX65B9e1Ghl3t4DvVlLEMkSa3ecy/LB41uEEjJK21z3s7eVX4oV3b1A2yzAcqW3MlGqQPHSrneua
LDp8OIPT0oYaBxPpjiDJcTQSrkYTyVllrwqOhnMkkWiJPLdSWuKe4eIEFNBpBb2/eZT7YBJ1w6ok
KzfdZPkZh+Ikwou4d3Q4tqqdZR7Wv/QEYuxhX8reuuDg9PABuS/KBQNfDItxgt30pErOcHNRFsWU
AmRv5Z5QWJA3YmzzOXTz78yStqrXydhfeVJrow+2TSOGJyn2ZV5zt8vJtMWACYa1HFZQABOqWVcM
k1mM197Xw0IgdyuGpS+w0SGh5NHlQGYcQckSLKLrPYoxMokuJ0RbTYYLKJEvOiBHsxxADU5RmPFQ
2Lr9Drm7BMM9V/WYW3Nh85Jvs/Jwd/lIHGcNt74idXY6JowktA6slstXvi3ztXh10mm7GOb3OR3d
h2dLuaclwbiw23Z0FmhUOIQsRhIfBWZixQwBVuzOZR4KlmHmfmJ95bwtvlSEY5+rO0mgWudVj8XE
/aXf3th2lg4ad80g6vNqwoJmjJ55qlcFg61iC3vaZJ/aBk8LFynizL1ssgBDeuvsSnMk5X0ksd2r
hxW73WMH07qVd4Jaqrw5mG7YuMM0O/GgoamIyuPWWNf4t+kBxmmR0ViJL6Ns13iTd/pe7QC4xZLJ
w5odUnDsFoFBTzfMxgcOArg2Gm4fSJVCQj424QS14rm6noQt4NntaFf4BzXoAlhlxmF+/Ck+Kq1/
fFxUzD/OTuuMhzxoMTFBDgr2px2jfjx0tuGlR+rj5nX8Uh4+zje32k/P7hjb56gMJuHtOkUe8To7
H/IqKIeVHEw2svx0andd4arG7p7g6+MItnXtAiNx0jntJiWz+5j7k/+tC8tnnEmiPhLe5P0lpJnF
3AC1t8kcSK6LEF32BWWptTGAhsNgpRyF3vo8H+Lg5Nwc3J7W41R3mzM+LKN9xzbQo7YamDJk0ag/
/iHTll56qPItUifnBWfqVWLHeeNgaUumWfth1cBIlbEmli17xBpFi1A9YdfqjBaPF9DXH+UbnR5A
U+306lGboTDgiUAUdBdDFqLOJzTX9VnCf2YGSYS+Unb6AtSOiqxXRoBf/di7ennpilOFHegYTrwG
qURoshI3s9MH+r6WbY2hmmCTRRRveOK4dycDE00MgWm76N8qbnhIt5j5INauHE87XHqASeLsXUWa
0xpLja7txa/vhIYpMU1fVLw5kNc7pDCUoyYwRAJ1vClMr6V7zETmBZa6p626KYp/9PAvvMsRpyr6
vzf34uDWaYtO8zo41x2UgHiVvPKf20bwSWesDkecAVxGxs4Wgg9l02KP5Z9sxNT4WbpqZ3DLxHee
cay67EDVBybhI5qA16Ny+aD/mH/iR47sceeWgX7QPxUP0AWv4RnuJfoZtwPgXIYyTruKRechZkIm
B4LOwuOQNSbo3MtOKa5MerhKBDbhWrnG02V5caQVwcdPguHrvMoQuczdOoKOcfM/gIrREaxLmxBA
IoZL9FL5KnY9lX12dgeqdZTAly3O2Tn+gxfv4VUjP5cBruZY6DFOErkAebl2M/pkXp+V38xJIGx6
co9yFDdtt39peluR7Hh72hicdPxOdacAhPuQfGpRk/Agmvt397q5k6dVTv1aLrqVHhUGHvOFp3fW
gBz3YkTUYDFvaHQ7WHqvStESdjQ+hF3DGAhUJPwjh19nyZNbzBRpi4yKox+1wm3fTAxaABeeA9Yq
uYjJiXR4TzYSxZJ97m2ag/gv+m1gPFMTkQBPjShdFvuJsGmfaDvaFU9Us1DA2GjW3dFq95ElXh+x
24Q9VnkNfk86jARozBm3YOcAoENF38Im9k7jMTAWHJmcqMijuoV0M/ldYnfHieYOaTAkNjSA9C2R
PAbE09MT5pFLydaoFOlSkprSc5rYF5wqGGo/3rNX4x5lWsN7PjNDan2QFzYARabbemx1jDe4Zp80
+GHNAat04r9MeTWAu6Q5vMk9ol3mqszovHqmeAmN1cQn/0cHjQG2X6yNqeQaVt0m7vCuzU6zTveG
JcFscctcJnx35oN4VlCyzE23Rqt7cKTXZGPOCa94Q5VklMHoE0ewrFoXC/0LE8XOTWWnGiwDE57S
7g631+RBeK89VJfkd9PX/YWyvT01TyoFwxbFY+tpZKzCfM9qSuKy4BOIkk2mWY+YRBef2WPhZ/NH
CKIBTpsfeR8gjYEAS9lpkDZBZXKcXg0m5v4dF3e3Muxa8J4+aZVZ/9wbp38wTfkAq3J60R24CFwm
IjeNM7hnm06KfQnHqN4nnorMJhddHyi5P7zqzzVuSziVevwNN91f/RjfqxrN1uZw2Q3P1wCa6OZE
qooU08khAeFYQzYdwhsyf4G8olCZJwfp7nQS6DzFE8L+cHqvUWapnNurQofTx3l2rkguV7Cw45J3
Yat33mFvhuPrfYch0y0svdTL5skLEgKrDchVWwPv2Yyo7TRbEiT1KcWOg4hiT556NDr96okEb37x
6bVTYvm8G2zvizClAnXK7Z2GBEN1xUrCL3EDhW7HrISTwP1MQfHc2lR61n5iQwzlDoIT4vEWx7D4
AkoIwtSOXe6YfxSIb9Q4oa/AURqBnwqwwYgpyKpZsOmPcShFE2x+wy4i5AVQBj3dO4XtIS3tEtmO
NeM0YZmsqDfzBe5IzC36itSjMyFAyf4ESZmrJYb49SIZP8q25BQAXac3D74+EEbRKd9x4L0DI+SG
23eDHUPh9Y3V+MSJGN8aIeJ8XHzFkfwz1lmCpxkIdDrcKCI3WGer7YzZmPSVLM6vT/LyFiVvMWKQ
6aMm7UJ9nQfqFwNPNYxX4zrN9uPiMk/n5wZeZo/u894EeTAJkjfM196vsz4cw+FZeaZwqsTgejpZ
F06PahfcCGcsmgD1TQfo28VMDo31CHi6mmuov9dhzKAk0+wHekqzeivfV0yAkkWKKdZgMQI6H+jc
YK/miO+q3x3Y9T5qBQv1tffzZbyNHfLqVLLvT/VbjrVYssj2l+3ZTTj0Ext7kcmr/po3MJOsy1Y9
Pq50xE5W2AKiKCR59wPwXL/8olYgxA/TxuYLuOqaxWeLYXa/IMxh1cuxW169W3hd4nlMZH1gtxEZ
fc8u8KTYN8yTGptZjzsydLhOYd5JZ4yvm4nbz4R3AqXFa0N5r4+kKUHei6fpprZqq2HCdKw3j51z
JY9ERxhY6hquheFdicRt9CGoNmHxhJsXIimXRTNDyKHnVmmtD6IAVb5EkZRH/dckPPHn8fNERKTs
CNDsJWjgzmFxTZDfeGTSpMDipjuaF5dmwJQAgPQGCUR4Jgk5MEhd3G3MJRkT01HIQPGMHzJaUlaN
CSzsYBDJMFj4B2+deyawQu3B1oYJVYLtnMVt+KJ+JiQO9+ji8dkbAWzn5u5Q/9DdLisHqMU1uGDz
1SKG14Tkf8IrZDEt8wynt/ybM3EuTJHn6RoHO2KNuXkUaT1ZGgexA1JFG8IpF4+A9PoYF2KdxOTS
z6iW3sR6aexaLztgxVOjYYI95Bc84QB/pfJoHtgGp9hPqf3xJrRiCkZes1yRYIG3fyyxPcLsfbCN
a5emqo4j3MtoSwwK0WGQCcATW389k142yEWQa/k0oW+lnTHrxDnzn/dw2pYz3HXwmgYt5OuOvGGf
3fZZ63TzIiyPeMBdRae+ew9Dvp6JxhfJL/2kyTtJ/7wNgT+0bKH00Lqibb53xMAcI2QvP2AjTSVS
eP0HOpMWExtFcLUv5p34aqeo/DhjcGFMSFqDtzGzsLWMxVXxLG3jpxoTNGZLq8mxNjz9KARCILIt
mf+ywtp9Nvwzj1F9qrC2I1jwRp5PvkzpjJfwO7UG9LqFMtDnttovhNYCdEz7ZRqZM5VDgFvz4PX8
1CQEW7k7CRSqnqeLAz6bH5jwkfFdESYEJkZzJL9+OW063JMibcSDvnW1ymOwErzscDbf6dwAEGlx
wDkH52fZNcKTTzW1SALRH1dgavkH+0A8wAWyEy5vhWkmaY/6gewXdxxn6WoXFUbn8zqHD4BUu90m
bJvP+rO9Ondf4C8Na4SRHUbqzBFIBEptztgYhGDDlXpz7/RFHRk6LX9Az+bGTnnN7NteW8iMTzuX
yhWR8oyPe1AJmenL68Q2cX4pQjqJqHJPOCYT3D1EwcU66rJhk/J2wKdyXcRB+kyNQ812fUlfGsr2
wc4ru9yYUFnJrjdSH1GAUqtSdM5bPw/VmeoRn1xzmTyug2Vz7I/Xt/Stfkrm9yf09sIUIBi5gjM8
ZwfdlgMG/cPxSbMWLIckEPQHYeM244m9cvQ2Z26oYqlO7/syLEPlcAUaJQOlHw5ELPvmfGZvNCAl
ErfjwLD8TjB+U71HsqkGdTQYnsjpxKq1Q3LsQqeIWIDZtvx18q8bEbb7gcg+PwveZIlAV9b6hWzV
Lsn3tPi8rR+1cLmqXmWQYa1vhsz0nEeoGKHzZAGIqiEixVk3yKlD/FEzn7ve2RY+yTyxLvHF6LId
3kbIaw9hNL/F17G2FNIkHLpvawaU63wLsY5yXCwOwpRLnEbnI8k7h0iJAwDxlel9K83FXUNIWCnX
vT5i2uWYn1fC/oP/eY4pxtgY635VgB+dNY7qlaFINTotD9dXNj/Tdb4jUs0uLSHhqcDYUsfH01Eg
LE/8iYdi1u1Fv8403jtb2lEmKJOViKTlnIfo2pNlCXjCxgsEqlUUDLAXqxzTepEcaUplJNFEJuDd
LLmcC/Pb4BYMdrCuedAnL4HqAsP0JNwhLTOSZiUqeOcdQdWnbEFx7Z+tk24ybIcpITEgLR35uSWy
kbG5d1+ib3LelvN7bF+USHEv0yZ46AZQBtUk50ATyKr0qFnBi7yiY5h4Zkwn1YRRq1m4RSkXWjQJ
Bm7VrlJs7UsCvEcAAX2xByuuO9eTXXI5PPDAOcDOq3ubA7LyhjVMHLTSAbAMMULtNh2mCBW8XRWh
vpTv9bdNymrFbeLwV8p56df+wxnyILq9Ey8UX0xpqZxXd+7Y+IkmE47gHjYJW32Xot6khbEXb5WN
FCg1DwEhwM4bfDZMbIEzpV3PjJbww7u7A85aZzz9DV3rySrmgsIs1UlXyRQOFvGQ7FJ+wtp9uj9H
UFNlTu2Idm+zqdl9bjVP3A5Tobh4cBWSaXkcZnWgPd9x6ClzW8Z0Q+QWYDu6MEnAjHiMmrh4Fa4j
udujqdLaTPCcAvpC2nlJ59YJ5lmMgKLiU57CXOfyUd2G9LRDE8uIqnW9HedbMTKiYl3sFQqFzztj
imkzT5cp1qQpCYj1gOkwRJ5dkXHlPJ2jCyeM++q6andapKOCAH4UqWW7AhiN0/w0WyjPApYLSchI
F648aNscC42nYp3o9nDh07nQaPLAgBzTL8qKR2tI5nsVpL3waX6Zckrij6QiDCMlTDZUsFLfBzZK
L4DPu6Gm4GqhSs15dorJlzCuuvcUeGXwGDf21sjy4BVb8WdHtAW6pOC+QtUyXLb1aFUBTlZB7dI4
a6iuuYTOiPDhSUNhKnndTnGvEWVYlHE9v91walZtOlDN28iLwFUlgop4oiVTA8PxLkEeoJfwAcrT
zLgarCvXFEle79SpXYgveoo/jWU8t7tMCcdyoeNNG68rq8TN4kplCZDLJe51pj96ZGq3GcYws/xJ
76aabhkLmeOwoi1K2spu+HsH/Yd5rSrh447DJZMvWf+uSqiqkzSuZQiI8nxys0VX+xyfZFcgr3W7
GXOq/i17S/1LmIIxecHi4e5ZeYZdrR4qTw+PGfoXzbyMrq/lNN/SHdyq23wa43iAJZd5/PtiJ//l
M7BYCNIIJcvYCynfYLqFXl8aSWOxdPedajYJoAMpBBC4ifTzO1qrhVfOJ4ty3k2N3bgAEB7qvtuE
WQQ99qnkDsJTIP6Nk/jfGcS/l/Vt7G42+lVuzinLInhEWOXNzCltW5lIYlQ4oihUyDE0myQozq7u
Jc/3PdMmgyrYnCeCa7zLtxemflsMHqbJ9uxdHi0+Cwx8uQTcFS/FjbkyYAPeQuUtfvr7M/2BwcTi
TWOCXypyavyGAcsfA/uuKs+3u5Z0fi3SGHyqCE4eaZq0ExCzEuYyyN1LvW+utHpp2Yzz2wjbeTlc
94pcuUp+LKlhaqeUMYizHhl9ZutG+cuRnzwW8e+R178Xqfx7kdezce/65souPc+F5ik2IyGWfTOb
F+WxGx4wU0QgNG5boCi14eoireFKm0tvTKRK7CY3xQ2fdjrKDxkKDhZjjvy5FWkpI3s9zComrC2T
2V9Gyz8frj+e7ffhvi5Vl0Jhv5bi9Kx/IEk3DjOmL/rgnRSvoTgep6f8C2rQGd4vCLRB9xRz0XPc
HVxDzte1Kb7KJmS41UBTv4pJPoJjOjzd5LDRIkpdKY/S1hJxA0ynD7JK+XpLFw8RqskvgUL679QR
/1PQuIZqagqR99v8D+hxK07yS+ebW+yuZI05bzQZZ+c8uBCnSBHS2LCUago8C6z7By1HqcYlcPP3
7ao8ztK3nQA1FiveiWGoGhjtf++Ek3AVsttFaP3UXFW88aJc66g/EG5NfZq2JycRXqVqNza5R1bi
Safg7aQcMZiPJ16+P1+OqhIw7+mqWdXMNLGdamgAZXsdkUkmw9ded+7VzigKSqaoazZmFXsZXXdT
ega9GXvmHf8qN6/8v3+tHySrebp/fK1vV5o4Scv6lMedf7o5j8d730N9R+TTVKYC2aRUR5npDcAj
AQy0HlqZ4ETpk3BbGLHPyZMn99A4/bJ//wuM+Peivo3Nz5NSFJr4DDl9mErUx4r9uAjpzEIFr3a0
bX95CP+91//1ed95LUkqD3o18m7ryhNkyM5oI1Fh3/aFBDPEyu6HilyPWq1fS+jiM/kYyTelaYnk
ZDev+l9G3j8gVP+9nm/XzQmJyZtosJ7JxE1iDuvxVh8LCFt1MQN9qcVvrfRFOQ8RH7nFUaynf38g
kx8AXY8VqPBLOXaK8c+2+SM4X05mVaQTap97uzdyjjuMk+rRJjuTrwOTVc2gfc0Luptnf7zTAacZ
OMnmlNhXObPOmacUCv42fpMvZQZaTVQXXjusLyRAarsdu7Cp/bY/nul0cbXf/DR7V3HWTc6nVUOj
NwFz2pUVUjfmpjbP7kkIjEuznNxnRU8C3saAuORkESv1ZjOmAU2Zk1Ev24Kc/IYOfm+BvvcaEwu8
0bmj9NyqAsyEBYkIg1oYX0nAjodSbJwcEX1M6g4IQtLqbJX02t1x8Ev6UonThjc9iM2TTVe7PEi3
maS8oWMo9xYK9szXzxqQjMbp6UipGxH/KahoVOoT++GkLU5V0jRlehlpMYgY0wLL6GNfmlCM0rWO
I37V1ZLMOQG0mpgzql+AmJnTT3jO8VIVF3E5ALr0aAAUZjgBWb5lPlKLR+Oyu1CuGfhUX1GXaDbj
lcsSNUIhsUfEunEouH1qIDZJ8/2keJXaICEvQJTz5jaKTXXe0TJ87gpPED7idF6CSAccsJ7ELrFL
GLzmmjO4AVCbLsdqOtLKkh78YocAf5XsAaEijaY/0Ta5LtA/hbp6HwJ1WeM2Xfrpk2wn9MY0cT45
hdHhbE33WoyvcuoolNF4HVE2UpJ+aEh4fA3lu+zHjmSSkRb0SqjaK6sel5d4juObRdX90Y2Yk5TW
oE11PJB6T08Cmo51t8iGY9/7Q2EbCg3Z4Wly3YuI5ObxnGqKgf014QaTLB1FhXiiYOAR3ig4S1Kc
9OXyMJtKp1dhhwuhcZoCTSyQFyQnLzzzCkXko2ye5JNzgi+rTFWWh545skA0g2SbS5ENYnMaHhKi
2d3JMVY0XoyE1uv00qxfEUoUR+++NKK2cgXYy5hHJhvJBePHbqvoMrbLc8UeP0yoquvm+bVQ1lJ9
m2a8IVw/8CE3pxdxCSio5Xah1ZsEVTk3dDwTuCmAM1EUtqq1SJRjeXYbeuOyPDv2+WdzP+amZ0Ch
6J9/iQo/3cSSgT21oarSRJa/pZvp2CbXLG9p95RvbZu6PYK3UV+e0AgJkbizRSmote3I4LmDL3lL
18bVL21RcTo5t82NwbyjP5iXpaGsBJgj2bRtpwXgYQRtT/XzhMQjub81g2o3D53CJhq6RVk3rpm9
/v2L4Bb7w2WO/aOpKBMogor87TLv7kU+aqe6fbgzM+B4ICt0sHIaDU0hihfjsgHLe7hszrMqSDqE
Z5h+pK/AzTK3XGiH0es+Hp1zqGacLVtGoDt+lZ7rgzHHZvMVj2fZGRac+0gi4EjozT6sZC5TxsJP
EmNNUu0uiv1LoKzk3SREuqhl7tFEcM188XgNBZfB0FuHKj1UL0uagjHBDA8KimSPa/YjFb9jQFY0
F6iDeO276hrojiA9FN7oeIXZ/j5VaEEvqgUKoZ+xU+Lubmme+Ky9Q7O5oEqXzwO33EFu3ItPuP6s
KCEotEWPMxXmotP5hU9r/h4lYe7kyyTqD2nAfJPhnaXyri3aT71fbOj2BOPXKcoW+YkfwC6E38Js
FxTJXHMnR1ixvrobpvHbL2/wv+B3VaYSe/hsa/CWvnP+zFN3i3uhaX1JQK9teTbez+ZUV5E5nA3t
WpZm55MLQ+EBNhzDi7ZE7/bvKzB+ylGQgn64Jitcldq38iW+Ts4TuSlaX6SbnDr6s1Z7xUddRsXy
bLe91a2arQp2Bb6P8Jj9vovgXVDYtLLo/l5EoCONsF9mubU0Fx1Dbj9VrM+eueW8tyUXx1yMFW62
sGqx5AgEE6ErczPxq8NAb+ZrDFNESH1gCowKzEdnsVi3UURVOgeFBxwq3la0tLD0WwqRSU65k5a0
mraaSz/W57JghPV/CDuzJkXVbV3/oU0EjYDc0oNg36TeEKaZiSAiKgr4689DrXXOrpmzTmXUilWz
Ki1Fmu8b4x1vk01QDDUnZlDmefF456n9+xlS+uXge8Uss1ZomGXryr+kG42cPKpzcX14LyNOCb+p
z4X3GHhNxbblv1xwts6jqLYMxEs46FXSnBL5eZrkkqOcP3V9ltV21ixEY6JXn+fhmSxTp2qxyeuC
9O4XVBLsoxh2Gvr670c++FP/JOP0rYg0HLJOw//PYl+9HEvtLhVc3H0fzcHiHVfRiEEDudjunIUL
BU9vWHKeMQq0OgC8mDjLQ0/Vey4buBPkPG54ate2BlIEkS2bZeN2K9jM/KePyfkK3KvFrCxrQntA
oy/raipa2HMwRK1zs7SeHpiy+VjXU20GEdaGt3YdXdZHT13oE3wCMoZLoqU50CbGoKlfpznkkPFp
TJ7Ix8l/2muVj8rjUQz6C3lq/4yue7ZkYxK/KcGMd8bMhakylBVp1npl+IChsKvH9fo2oqyCI0RC
BQBBUK4zr3Oh0c5kmzG4PLmN85kWAznDfXvPAyhiYY0Iibok8y8ZpvEa07lHSDQ2FQQLF7t1wOuj
4RpR0wkjdMU3rHQnbIZhuu7eOxzmQfjnYCofBGvP3aN72WGPuCwYMeeoWK57tkj7Fel+Gp2mhsWj
YgC8ShHxGYwrG2cwxuyE1HTVLleyn31Ys3TfENjerRWiT2tGcCTdTPHn9bq42uT8qy7Ew9cl9mTJ
v56dmd6dcDaSP6GSxiJlRqytL3Q+IiEpCGTHl5CqirKP9fa1Ob7zNAtc7/UpVOekexIBK8wpbz0G
yxGpKi7Q+PNspuE5vsyOE3WGO33P6npuHpB/Oa9QpkON19YORCfMflyG86Ph4hS/wiR6fd32jZ1E
Pf/o4SowgNbnM7xWPT76EkCtdQ7Y6RmyHjRTiFunWGuRXkDqUMYAfZdlOqHeZOv1n440bzBHUJEj
DXzZhCkXCXENzfKxZwQ76t4q5w4m4WtE5KbuI9BjJWxIkum50H46BZV9P84GoFfN0uLGB3RfaNgi
OmecTOFRSHEbg+RuizNbEfKgKWZm8XPcTCr0Ag+AaW2OdcseYzjvGtyXsKAEt44VpyLJAqB9I8c0
7TigFAy+oMK5bUAQg4O3vSVu2vFwlM+g8ezu5M0I1Itg81cCXf/+lP9BTMQe8ttD/g0kuVRn/dJ2
Jzp6pnUKdDTDKYYhfURxRr0KfjoxhClx8hkpnH//aPkPsNI/PrqvtH5rr4x6mMjPI+tL9XbVbQX0
boExvjrHWxuw3S5HyTLxb2sA/DK+4rkWtF66OK6Ysf/Q6cl/3Eh/OwnfKqH2WKhpJeaP/8QaqKGa
zVVmz3XEesvsNsugq29vT1cowxJbM5YqeB357Z2Wi5mPVDrJaXJTx8fdUA6k8yT/qVb7Yyf6+1X6
BlC0t8xI8htXKUWPWpcT5Y538YNZUz9ibtMoOc5wgqueh+ROF5LaBqMUNtT4OiSm4QkLrw0azuMP
F/BPiEG/O6iSpqGT/AUY/3YBJeVeDZri8ugNaR+y54rHWdVlZsq43CDv7b1l1qn3fA6tnTInESHK
QRg+P3wD/HWjJPO/H4/yp+Pp09fJtAWfxvDnnzdU91Qu8mDIWRILWw0apmNuu5HsMtIPBnPFd9GB
bg5X9RJDQLiNDOwbkU2KQbIQvMcSxshO+NKgyQo/oHf/nwMDuDM0fNE0/RuUUYsX9aHdub+AMo4w
wHEk4MRZNDiV8kG+a8tMdujgUiVYrbQsBo1tUBUNYk2Zg7EYx4kGM0xa35QndhZTMn7QviRy79cC
P7Y9YpD7Q2En/ak3IOH8/x1xX9b8dmmrtPrvEQ/q+fkFx6omtgxl0LFeCDqSEndgq6d4mO009eM/
jp+3LkyMH5DnP8TcqDLiLNmgtORoxG/1ZZKmD7nM04d3ix6r64Au4OKpcHZXkE0+62W3Q3AYQON6
J4RkhaJk06f8ZWGxrVypNntBjhpqH+eghgsIneW5Rm5j+PXsGD5wooZxZFErnighoBjOKDDs65cw
avtMbvUtj/SAie+qXdW4EhDPhK2ymzvF7sGETw3+fu/+EeAdKhpDIA0DJ/37LYJtfWJcJL5p9nUj
eEf5OC5P4l6C3NdXzsOZJDmvFrVqcAEKg4X3RHDxw9nW/rQMYnpI9udAR8IofTvbipACAlbobxqr
tgl3NK9wkDRPQUmg4GtKmRWrky68Rfm0nF7nqGtdyX/6gnNorQ0s1UO+RgFlHQZm9PliQBdt5ofO
nc8/cWGxRRqrop+WGzBuSLLt4w5dAX1K4R351f2wsf06Yd8L79+/zLfqtZTxJwTX71PYRzQn62RW
RZc1NCAYGsLk9YZGiul/hYj5ZaIdQR1pbGAHWJL/WL0wLX+Sta7ZV/vuKl7FIcs2bRSlwYX0dZrA
ak6lA6X8uaZEMi8QHr7OMIRQkd1McWTYDUouyA2xOoVKF9cu84QfvqHaL/r//obMDpUBY1jje3Ap
sRSvm6hqaJ9vOInA7HVy9YttFNJX87JYZ8AQy0CYSBczLyJtfYaK7mlLcTqcSowQrBwvB+isrCN3
pvQUyEfQd/sGY1b0dd2G6PncywhkRP95N0N1DVNpzRMwGrolRQon1tb5llcqk6NnvyBOJJby8ffH
YvDLwu9fX1ITcbRhf1aUwbciQT8Jt0YWcEfsZq1LHq2tMC9izvQYi/sHnuHr0s0njafBB4CNNZai
+7iZ33QP1QoEIyh9d3MHO/OCPDwdPdb9FddHuq+MmpWB0wAQBn5seFRQbz8DFM1uiZwF7AmKrYQ6
NUktKmQExM3snpriEm7MXHfn4pao1k3X8x8K99T765zDJr6GOuiG8RrBMSmKOcaoKRPkIhBXzHUj
wqQ83Vf91H9Om7F6t+VVM6+n1TTh8ZCCU2nrd1tToOww0JlkgA5PLEZkeInm82iqfon6/BmJ8BSG
9vBTXD08vGvpJnXiat9v/ZRTGpHuZYHLQEnlVLkY0dgPwKfCdHJTRn9dI2pEgO3fSI2CNk7W14ZR
6CMlV6uXaknsKgDrFUW+jJaqdU/N4gadYCeFxLm6GTSVbovkJM7cm5eiToEMdbLkDa00AnS0M2c7
N48+srPJaeILUKB6cmIC4UqwH2ApkCNPNYYNqn2M7gN4aAnqistE2HYkpaG0YtrK3ArNk9pLGiqA
lg2ruYXHhznebzbPTdTYFeLk0sNKwM17hpedFWRlmJdtFxxHe+gfLPV4sbLwU76T5TzGjUc+nGQG
jH4+rkFqqMvBb14ARdA2ILJAJOTJVmkDLxGE555AcbQGE2F1c8r1KWgdPbyFl0kVP3whKqKhU0Pw
gvbl3II6gn4WnrvdpZ7zsNiS21nrzp/VEAEF34A3RDoPZB0x/Gig7z1kR343To72/gKgaD1pzywB
rOpUukh2eubt0NwCBJqrccchbWiaXGd1NJ3t5rrEnosUoeSNToaF5YX5YxOUzoCT3UE1hR9nrvoT
1ufI5qPX0FZaWObB674masEBWINNknALcDaJYhE8vJHyWM8sZf1YXtx61YuocLCINYkxQGPDI7yx
5UEi28joE+CbAM4wt1s93k6Mhg58hc8KVOzKUGpOx/WRTQdvw4MCaP3w8n37RU8jzI6skZelHvKB
s3TZvCV+HWbRYCFPdAjmZ7RT9HtH+m3pq/1iTRXwngo1t54Vofje4I5zCfBCaSDWShYUEZqgQWLl
J6/mvhesvHJReoIM8SPYfgmWmblFnpP+cX9nUmLl8EvO5ppELX7+Q6k56HePfy1LOh7BLL+D4eD7
sGxIGpxyB/ryuMfsOlATU7ual90V4TTb5qc2HUzLEePvngLWvheLO1TdlhDSLEQr1GMKg205amfn
6LTMps89F+WjXt1hQ/G1K0+GWJdNHkMs3JfPn7z0fuG6fzv2b7Vd3sJFkTqOvadpwdkMMzr3x0rx
Yb3h9ANDFS4aipgDiox5Qd+sXkHWRL+DhC/+5AnwJwRx+NuJ/FZzZO1A1x53DiaH3HYLMI4IVf8U
osAPL16LBJ0Yi0gaywv24RBzOHcwKmJtnGMom8c0Q8UPu6r0xyLofw/ol+PIb5VvrWfGrWs5IIXE
0l7IiLACMvtn5hAi5MH0thPn75vcn0gg2IQOVDY4TEyGg2/tgfEoUPYORequGfjtA2ONgTVw7lax
eG2yz1MMaKIjRiG2ESdt0b64lYVxxtFM5vr0J9aEDG78x3sbONmgRuqZH/+s/cvserukfX7szZUm
1YER0nClL6oIb1oWPNYVakMgJWC3AUudbopMBv+z2GXmO1J0PJwGVrlUDBqdnleqLBgholavyOOu
XWRe0Q09eiwDwB0tBu1agVgUzSXD00VZxRdHhA/YTnlss/eLT13hwJwvESWcF/csIIcBpBBEzUT5
+XLfJ7sYBiE01ip602/+00UxxwhyRnuVkUhhFYGEgH6GfAMuH9Y5b7KPKPktK9iypY060p62fnNS
8mEuDiYU8d2RJsfoovZAnWqrSyg1DB0RmEDjnPRkNUKKepeoymNQyeQk+bycR+nXtbN4pyZc+53q
XV6MC+2U4ePZYSQEH81r7UluZ877RIWMGkpQHMUABcud2x4aP5ggHNwSCl8vhk52LASc5bPHNLKw
OJH8NXNXuJKpk+ygzd0gMnPmWrBxQlrWRzl6FDauLMOVMJLnyIDviSNJdrJ7hI8Q4QBfgXXFNgLZ
1/zK+nijGsbvFCksq8DdaakTEqeW7MHujPaRDyNOnuTyxfVLvfkn3cZJgdf0I/BfEpcXLLPCQifo
rkWrirI9P+HTcWHWa0vbNap5M+Lng57hPDHW6IFomCaD2j1CVcfjAtELOQYkNevrS3P0nsU8T/xL
ZxuirRP1MkC/cw6wNBbn6Wa4klK7hh3IF2UQLBnmc+A8mbUzU+tY/ecv3X89rI5G8GYfifhDOfaw
DFqMxLxi8vMy4eSbz5HQTDuIR0gQeG5O9uPlGcK2qJnNcfbDS0hQILYB3bLA8/3uyF79ZkyESbNP
oemTTTNYI/PT2M9L1oMrCC9oFQXE4eKlYW/Z3fPGsdSj8jh5wAui+XCvsCCXnTNhCEt70YvLM0un
mLkhhLvbLWoG8EmLQbLdb/1SXNCElvjbQZekvjHCR4BCxr23VHca4sNI5N3DwtZm6bjAXuwWlEhp
c1iQaM3dgl6mQ8WMOHrJFCasgvch6zvs2V8K5zqALc64DaluqFkc7Pwyx5nUO42G6+cyxu8VTTew
OVjz3Tw52CJ55DqAai/P/KEXb917zi83dCjZN/IRJjC5UUeVC2lT+8MPOKgLFahnQvSol88HaS+H
q5ynT1IRcrUaSezRIeN4THiuFrcCPkwIo+FaxoI5UfwrJnOZgyA+aVkOTp7BIJszNtVsBZ3ecY93
Y8VafzImWUCNgKwYLNn8nHMj4Whf3q16NP3cUC5+AlT2WuXeYDg1lXkSVaPKH0Yl/59GZ/Ud5EUw
HFFuLAHd0qGDHI9l1dFUdjRA/K/6EnbFuoTQPcBEYlSquiOkjXV5S7ox3O5i3xcsjygNTlGyaAHY
PoeMfDELQAXL3XGPMfRdZdj/4U3wKYzR9mLHh49v2DPBwd9jY8zev8R8AxszxNDnON09369U7ZgE
oSxBbHElSXyUzu697d4Jw2wTWwwuxlG2ehE7+8K6jMAmbCZclhSIswF3ASD+EFe1ocf5e6XeDY0A
Q/KzAA4mQRIhNEwDIKf5bq1Taz2xF2jM2n+N74Wl7549FwAGIUQuyXuSCORotopo7RmwOgIy3gwP
oYp+mYhf4td1fz4vyiVeI379pqBJxBHAMJN42E60V9wqFgSdISKYgdV+XKlt52qk+OXkws0/nCbB
2YLvzpex0fP4d7RxCtR7iREvUquYkUGhzVRc51NYYdYQdHVz3FwPKWdrplPjfhj75Gkd3xNX5Rih
YGEWhGHnMFLR97GedH7JE8qFRGOBPnXyeENoBJv/SV6krSNNO0OOm15l/A3h5Vji23CCLBWPm5YX
LStGgUPWWp4jnvWDClMbI4I66sTpHf51xtzBmN3Wz7WuutV+CGtYcFBKDxDGCU5e2pDAXY1YArTV
UDZc6mUyeH2Um1Hp1RbkUaQJbCIMt3a0TdXJge5yXcDxdtIJ/ohIymWyuTB6tgUh6BBR4WOT7PUj
y6iI+2UecPuPhYnGXElBhVMGbGfCoQGiZoFHHb9RBKKpwGPydaZOjKDzuxExCYSulbg8J2N9WsV9
85RNQBjN466KUwujaQQHG0DRZGuwLJ2OziU6MZxvfTn1oVm3KCHxnLDvaOBRt+qMWzHKsZjao0Mm
kwBlOWoWFwMpei5Sieg0sP0yRRfiJ6U5L9lm1mGPLuduHw6luX1ZyHKmwu4S5Ihl305L5HOexrJ+
ZPH83KAB5vLx5ZnvPxtbISAECYSr0bPt+yY2N62CbhZjV6R3Qh8tcLE4W3Sb2N1Xq3QhmuPSPExP
1iHq27xLJL9J3KP9AM9EcLcw+C94e/wqx1JY+kDBUAwwwBSnYoBRZ8BJ4UguFlwDHgXFe7ydP+Gz
wwrGag3Ni+CpvbpxYD9midvuOrqpYnSbatHZF/biEhkH2n27e5ledbOUsbriaeKUvrM5OvUcvX5f
W+MHVI+g01nP4MlS3ivDiv7ZZkHDzvhsXgSY7Vh5sj80gRFifdt/h/6YaRiPPiJnUwkQx7+2z20J
eqOY9VacM76Gelpv+b3uh1JjlD0mN2PO/m+wZPQ6eIuJxpvfmLOPRYh4Ew2u4eBryq/M46z1z5Fh
DWm7U7Ciyun78FVxdAumZhA2mN51WB70PkboBpmyl171mS2quPrsfLSQbCS5m9uv92z38nO2xd0b
kpMIcXAvLsdPUx7VlFkdlKaPwS/xpUFdWEXEhQQC17P00KPOXgj7SpSH2Cfw0PV3VecasUT1q3AZ
+n6WuLrORMTKfLUbGwghqllyDU53pGqhvuP+hDyCyiYPKSLDPMhnlFZIvXZ3D3U/wjSgEicPUUaG
rXsM3yS//+s30iE4uLf+RfyG/pPfziaWVLwG1Q2Kh/7Pl9bcyOQHXD3WVP8B3hyJfgMUuhH92rl6
0c3rf8hfMt70kT7yWqK8MFa/9T/tX3v3/vsO/30t//KJtQFgXNhtXi7XYpxPpIeVLYpgmc5TBudo
qb6QRi1ffhUwXHZQJOChcvdbomTotvOJt2FJcxaZO+4upplykuZ1YmthMmbniAkHWhmm5A6n2TyP
d8k08fLVTphjyTSHK490qLHHwnz4hsEJhi8i2WLjZK6GwjhK5oYnzLePTf+nbTKWrDmc3KQCPhmc
egFhBgS8S/3q/R5UGyP8wBJjiY53eg8egE5qcJ6mq0egzjN4AQjXJFR2J2QOQEcOkyK4ZOZWckbc
2OvbfAqhFj+rA1JAVpzOviP3AXwFS8WcFrFYQ62cSntcCfpWf5mg+y7C1+fAL2c8bRWY8hEJnXXs
HPEe1mcPFEuDOXZQZ2zf3VtH4b1kHuCgSnOzWQ4JBNRpjEx2clxezGVqeje2+UnBHsEyhyiF8kQ9
XEw3CLTJbcHD5yaUJi1bGLjx58QwJ8v5kMAlirE7mmC0Yeyw5fq+Wu5gGY1R4FD4T94udHVApSjz
jl4rjlohQD2qOXXvd+QUW3lfUD2mzqHKMRkBMEMniwYM92a8dVD79359AIGf/VJ15e7OucH6suw2
PQK5iYjUZUdxmUW6vX5PFK0h3TET7seH1u+HNFGsAR+V4KXksAhRHifU+GtIM/Td1OSjI/avqnv2
6w9t3S5zdiMH3tYon0BFxWwB5IU1d1NuxMocLDm4btpMcWhttupYC6pRitqPFiM15aUY4OniAeJN
qw1S4YvxdadJfJkKVS3FmxFXjjTmbUTNsM+IJSFR8G0kEwKlVWJHqNlYpZHQDVWTCobSjPxhSxQO
J5CTkwNSfVKAvC711x1JmEFSlJnX9mnDLjJORjBp5wnJ31Gpb/kMKGGgYer6wWQelxPkG4VwKERL
jphGcvYf97FufKhLftrLrVh2iFtmxoslmZ6/Hd8hGIgkTtvcmuoF10IovdRj8vDqI55j0B/0CI15
HHVB4Q8GFoyE1qFsgOGADCrmOaLuNUirotzaim8FAgK/2fjCzSVQDQ1aJNNGEcNg5ihr4Ra/ndh7
4L10ZKLhaR9sIDqsy7MtbYYTVM75XqLupXQpJsr7/ZNbDtM41GCxQVQMnpK8CZw4S4Lf8XkG69ug
ASZYVgyfBotTNaTiEq0Jw5hesMi+hmi+Z1kV688+8Kx/uCpz8ZGbM+w3TA/c+IUW8pdp5AGGQryJ
tiyo/NpvvM/PeXdQRJNq4AaNkx2t30pKcxNNU3P++XkQD5fM1Gfj3Bx3b1Gz7QW+bN4MEj/l97DC
OLlcEexkRSCtpoSiENOAd5y/TcNpqhEuFN3os4mSXLVEyDCb81Rzy8pB7Wpdp7csxvB3KW2NJaZm
29s5hK4xL3PktBmuTZa2vn3Ia7ax29oQHGWd8/LheSG8pe8IiJdn66WPGqrU8RUamIxnNaj5VAP8
75wO7ADysisFL9gfUHVLVDVWszBSS1ndQwQCbj0YNaQUa/uUKhFWZvZxGowvdrnWhoSv0LGRzp4M
qV9oTZbZDipub5JdBhgeWTqhZy0LrLqEy0N9Q5LcMGzWDFIDY66HQ/ZfLPs5xutyKMQcI+g1XC+V
+WOC+RKailiXdsxkhu7V7fdgnI0wghkgBnx6GrJImMXTYnykysim8Bn3NbRzOQb4VVtb074g6D7w
CN/e5u249i4YHKXUBEPrgdB6wpXGaoI1BU+BsOK5quyrrwTCEnAVctcTCsryvIFtlsdHr3fZFZHO
aQ5+/A6UNmzaRfPro7HeDNNtWdWKoMHl8w697xhpcdphJjHEe0ax1XKFjeOA2Q3t+ajbPFcVysnr
4rQwtsMxpKr/ac+dfK1TsIlsxkIMt6Iwo//JBtdb3h3522ISDFDQbrgAf0fihn8G//4v9IXi5p/Q
16DInvfqyUjt1FmI8PAXGYDL9KRWYfJwnkAK+C5zw5pLyYcjjqw4CY2z1buBPaNqqeAN/2vk9KSS
kcnns27g1JOhDX0R/xVFZSPSJjkbzA1elYC9UniJ5fCOkNdwbl+Z/cSasrNEJlDRAPiEg4gwvLNY
ZLJDczS1DdugX19INTAHEW0ZAxHujt5ppUSJB+WUzi63tPmx+WE2rPyB9qyghVCMoUzKhCF+Z6A8
B4o+uIFR1q17TqYksAC5nBhbMQHOXWZ0pgzbDvIyahhiN3yoCuVCmZ/B3oCVsIYz7x/dYsidiI/K
dSa3i8EwQBT2QgW8VDVLSP3HeyLvy+cP6OovFso3uJsjH6Kxk5Evyvq3QfCtEfJUTDqc/f3eCpTy
Z/qY54dzeP+s3BP+RTiPxYzJdhceQ+p1Z+CSyidRGR9q+qzwym476sc/f7/X5B7Z/tdxyaouYiOp
qwQO/vNeO99usnoTSey4OjdwVTKai21OGhmSc33EjWHRP3Hji6wj6J8dqbdLoJasPOMn7sEfBskK
4kOJEwTVU/kuQpRfyRVU+sEZGnpkeb+i64w1LNCmidu4JdZJXVSFrxWcMNwTfjgLfxik/OOzv12d
o3a93tpb04PNeXBdX4vNUzbxWsFW8+ydPah71F0Sm1Nm7Y0vfd8E6ZYXxz+B8IN+6vHvy/G/J6Ff
Gn7D/XP5pZRtH6BSo/+YAPpdHG1/PABOfUKiat+bVcMcAAMXQIIpt3jiIx/VTLKI4Sz6r/nhbg+P
ODBaZfiFdRxSdxwEluWbFPh6IKW0SL3U+O9nT/kD4+kfZ+/bdPyhFs+sULhyw1gaOM3XnR2sakx1
kUKD5aEyS+q64TbDWbENB9Nu2s7bEOY0txVDfHk0eEe9xer9w1X9Q4qL+o/j6ulFv53MayIX2rl6
MrWnMMnGHSBScPeWLBTQ+2kp94+nGa7Ekf7DCflFB/jXVSTnjRwPaGm69u12yq7XQXW6EeNRvZ2/
9EPNJHnBsDmxtHH6ru1Q1XB7aV8vYH3ODakc0qYd6c6F4HorgfWzU8jzKMwHOJYQ9fUsBDGmp+Fz
fZk2CzIPHVubvzJuACv/xLHmh+P/E91BEX87/m934et+ym+lxPHDdeZgbyqBLSZ6N5gcsNiSLwEv
EAjGUJ4KnGfknUJKZo0k4wsytWqehP7l6fxSArtWPMEYPI3bBbitDubGhtKu64FfPKfDpzMEArp5
NyarpTWgqqedk3tRypN2dzjTYNHz8ZiqML/BIwtAVphjgHCXrGcTaBcfP8mu7/8sjJ1654WzrfL5
y9ynYjO10cAPn+wHrRkOxUgIb/tn1ppsEiQffihQhXyNLgojA1uG8vawzz+qGfvV8283wrcno06T
y60scUJ/WDe7IacLcT0YPVYWHviyJYEz7J/4mAGIAUz8dB3l/j7798cTJCOKmjwcDL89AI/jGera
q+qXtQtq/CJI5/0hvNeTe4z3mAI5E7xsA0zt3FGYAYg8fPUngiYL+B9XtYE87COzNY1g1n8+iFKR
6NeXwYP4eqMJeEdEftPNcwzSoKVhKTswQQCZS/z7MA1Vt7VKJG+6vmRvj2aejQbPSEErQ5aLi3zh
/qVVv3y4+0gmyMKEocjvRyxsvdIBpPJ6XkFOL1THt6Pf283kuzJE7eVKfTOvOulKA5K7BjLhMTrW
mrb+md09XM5DCnm/ENxcDwbzrgoRHb4mpzUeO8cGVlF0tvB/zmaadUU/t2gP6JPe8u0t6uboK19N
H8CCtOe+UMr3MjwdbqVdhbdZuyLmJY8lvG9MqcKnoKjtJE4qjICeYFvKEi/d11gPGzgeF3FMy1bR
un0oZ3o/pJxWoL/fZwPnFWlhn3IMko6jwGB1OoblGetPF4/ZEdEla20lV55Whne/9048jkRXt173
qeJdpjXohAhgiuoEjtQ5GWW92xO7HO0wTA1w7esOHaX4MqEYwfF573CxwXNlaALJ5yBgT/udaxSU
EaIybEdmBNtg8ZXsjsv47LtnvC3MarC7Iv9gTBDmiDvfcL3bPGK4TjXSpTHMSf8ciVRn2kHf0cdL
I9W/z7FYPg/t41YFhaSKlmaMUnbQxeSvdtFyKvGvfafBv4FIe/D2L0Lr3684HosYZ01OMz4WwOix
e05PkKIKZi3eAzcUyPbXlbiVdtrETBPGL/qISkvB71V6B9vn7W608pVZ4cCEknpzRYHA8HiP/qcD
Dq8jUjombRM9khrWmYUVBo7wU9y2dM7v1R+C71eIzo8QphDC2r3Z74WJGFLFEawTG6OMbjqQEGcd
B1Z3KqEr5bzkfLOGDK7o32fCRsaa9R3zZoXZvlcF8k4KNDSXZTg+42WHwT2q1688QnXT00quF/84
e53sdAL7EdsrJXrsmpWCCQlvDXWfGOe5gk+mbmUQ08ZHt0Pv8IIS2ceLwuTfnBZnbDkwzMQEVvNE
wdLwrVTs/Dq6zSVo5lhL61jyTQ6sxk1cbkuGbZmjYWZumEw7G9g4ODTfaOtTIueN7ivJLIE57oYZ
icM5fEHhKS8B6nTEc7mrbZWYnByrJcGKuxWTN/Qv+M/jw5I8HTWxZaaVq0FqXWcN5tY4HKHheQYJ
neBMx2Lojqvbst2wKQjzrMbIrYf/O1Zy75eX7RBayIkdc6lAwfWyltwU3rZ8F6zjF2a/AklLZ3uI
GusuxNLXIJkYzQoXx8Hh5UljwaLLPzwdpa8+tpJFA0f7JxexAZKOWzU7izZ0m/erMGqaLzacOymS
LQP2HBud3E0eY/g/hvCB3BLhMqBhxNBjTBLdnTkjJnk7cK0ge7svr4xXJ8eZli/PmXuvTRFrXcFU
p4Q/MUNEI3vEDFBYtydb7VXkxC7hGho+gew+K6iQQB6fpcgczEUBpMRqT9opHJVoTiIHW8B9C8+z
QWMlj+1dWSjkW7/saz4Wnz5hnarkSDDfGZhQqpNKefKoM87kyGAliSSa+CocmHGg4PkBaJhr2yMj
P8QFJhNAnLHTT6JlmOSe/NPstLusnkx+TXwytLZi0JUDBGoQO7fwdcZX7xSLWwUm4g0LofuyZI3F
TRm96BSUDmsNtJTMKV5rohvoYbH8Pcb6hwKHlbdbHZe9KEnasqPn2KbFRpC5Te+8J6djZT1gih2R
/Rh3U6A6pqlgdL2aJ4kQ2qyk8WtOgEuDax+48e7lnT4UsOtV4mMfzKglH+fztAfcHNXLEPEgqQnS
6aNwjyjA4YTMynHPt8OFmApA3gjPGOhLRPNXmsLTlwcecbwPu2h88HLQ/mv9doVyi9J4dI0r/Fa7
lCmH6p1SjKtDlIUKrMchPO+CyQmwLC7QTvDiv3tQq4qZwp0n2FPRgJ4m1WfeOHccdNIPNaR4x6ia
RtvGKpbLgZe8wWjL51FEFvTWgb0ykkHGPr98XCbNoo67EXKe2QsdK67yJ4+AVALc61U5w/uD6VNT
g64gU9Egt7Ckvd6KAPI0kAC4Eos4DS6HOIeUZ2ejdFRHYoiD0ixfZuMzVt/M83qHXt7JwvTCwwAK
UdGzXVXt6sQcr6dvQi+WmeftsY3c7ztzMd4zVoMgWFmr/WpxNFf9VKv/pvuUIqyvbTpz9AEHjujR
/mTv2Y1glsnvMmgN83hw1J5WgyEXNsHMKZkO4XlOW3BktFPydcnWYrTW/+MBFrbADLO2N1DGbHhA
TF//r1kn4UZaxHCZN1w9w0qOBmO2fp640gHsfXUgG1qQBjcoNNHDBSE7rl8A9FA52OJ2RXwZVTrc
aLzCbePA4w7gQ5kBU2hLDh+mIAI3iWreucPA+vzhKpc8uBNJWL0CfB2FztcgBkTwgqLWujwsJkcf
SO2AtejhCbOsRoRKcLutyLJ9XHG8Lz3Mvq3E12RLPEeatGFCAZ1KHIkjX9yFzqafWh7Ap3vVPQyg
y69zUUABHZLlaKJJ9RqGqOl9weSxhMhZhB2UNHSm3jEQw9P4iSa6txS84SlFkA3XfIzvlAueFtYz
TMCGWBXmXcAC00zIh/0k6DJtJ7I+7gajp7YSd5DhoXU+Jq94OIJNC2heh7rhXI5T9Tp6sF0X2BQw
taXVZKNhtbemPcL0tBIqD91J3N4TS3UoJIC/a871ubKFaRkXIA0Y8MIuuMaZI1MH1aiiK4Up4cVJ
YJ88vacnxSrdWkWupXv1eh7IGVskdV5upPnjreGunqNkt3JGp3gIL5Vx4iuwG6SQFNGQh1/HH5z+
BMYTl4Tx1/o+qWHwsZKuIbOWctAkzCXpGpJ+Zknl+YQNNdxlwLhYlV1Z9e8R/FPDiCFTzsrp4EhZ
OoKZZAANy5ZOdF7h3LFVYPgzyZHNvJys858NFrqnz0QxA5I9K1ztGDQy9qTtZIQ8cBlTIAlnmK1P
Buf1pAP197W9DjXYwp1z0k6oD5UtjwiOcVy14yaVFtkhdWWqghAeUzd/dHbyPHQd1pFleCTB+cja
nceDl5u5haeg3w0YZ/RWhK9D+3ZeM7u7zrtdLlus71jy3cqZyLAH61xfqIOLHPwfzs5ryW0tS9Ov
0lHXwx54M9FVFwRAA3qbTN4gmA6GAOFBAk8/H1Snq1IptXJibk6clFKEIbD3Wut3zHmKXYLrLdQX
smSWZNcPb+HU80bSlP+tCwvavoDn26iJ8acHI8amwZXWngE0yojw2Vurc53HahlMcaJAYFBARl7U
jj5JF8JNtdq3+GmwZWuBmIoOahq/ma+kPsj+qyiMgnntkL7wnqo7CseR2a55HCxxVryk96G09jfx
wCZsd1p/FFNCKBDxDnV+r3ruHqdMmG18OzvnkALW+ZSuWQRmJTInhv8tMJh/rPI7PuBWMA+YVTGW
BvfdQTOYQEmAS6hRMJGmgE/eizdr5+E6iGko4E2Fm/qgbkm3GJmwgNnKd/E5eWlQjJVz3v9qVM/K
XbPMFFc5sTf7IKCKI/j41FPQjNpkH5sOqTr721J2EuUl1S4p2Xxy55J1PNnhuzwpZ+oO/0tqKwwl
CEUVBD7bSqp1nnwzSTaN3w7VFGRL6OKFXmP5c+eVP8xr1GR08loeWlGJtzFIQgEtOyAPxGfFD6+7
lkgC4irwJfNva61cZgOyrBO7Dw4OtHaYwbWSnkrx4mdPSjyG/EeaZbY3H3CTjBfzvmtgsrXV9uYH
7xqDc0wcGmMqEHWgspl2KnTVOXS7gYtR0f0iz81RkTuM1Hc1FncTLFBG+cWzBtgMCki3reAQHBqy
VnN4dNM8fw8HuJl2ywwinL8VYNLdwSKq7N6zNcXYqlioveWA/cKwJrRVTBmaFzW1OUajOr1PfsFk
NdnpJ+w9w9sHery6GGUAsJChvUG6ZLyeJuOb6rTxR1RiSAnDZO6J4zSeAI9tYnodESZG9SJlQ2Ne
tdg+qDcbLwDbePPgggBqiiMTdRGVq+d28xtAXWh3Hq7/NjWCRok6Iz4mBlgKF5mIGTHdLUtTidqY
DmJ4GyxF+qB9Wk5uHcQBPm5t4kC6DVrWqFHP9xDYy0epjXS411TCvPVfIUPXUIjW3skZLFiUDkxp
aYLeMMgYbdv1Wl1C32AVKibhGMjKVBYNywKN/sZM3/SWbTzbqvA6KIowZXmXnYNcjrTXh8rKNhKu
5xjVxPTGzXkyx9cCKuGEDLRKcm8P1hJ4llor29J1pONVA6KNGRRVijcY6T+M9QeYB5G2Qc0mn43X
TFzdiH1jmauHY8Y8cTqJ1PEdLQJUI0ZfDGr2dXhgA82ewutSnkRgXVivqJOWJ6ajnEt1cSb49Sq+
aS8PNlL8oGzjQ+IOllhkY/7ow7WdVebUa+ABm+qoRscRtbPwHDR0I95a1FwzTu06WtbL/CJVBgq7
5jk4+CBdlEt+n46iQv6Zd1M/s5Rjhu9765jtsu3QmkkNZz+KvDcxnMUPV58mtOz1c3d9GdzmNanV
DK10h4wEiCUCZcDpcaSqK5oD/QcOsg62Ktyj+7rpcV4rHIwCmHqQBvewEQ7GCzad7+IaXU9NOdPB
YHUqShFzWORTCo8AF9TYiSOHxLF6pt5xPxqz5cvTdALutchOykJe9RSsbJ+DrqmjsMQ+mVaTGyXP
g1Oxu18TTg7zanmWqdMIO5gOagEJvKOxsoovD2IR/H0kj1CnQOLEiL9epG4GGFeu43V6gUynn3I3
vS/C/AK3EE/pYI8Iqs2gnTEiyAmJYZpB6E5FyfGCcXH/h8DpWN7nm4drWqDDyd2J0flg+Io+HzPz
wNiAMivS6G44DbCbvh686B7D2XxxHb+WtFiON+3wbYWH6YjQKrA7giXju9cFjMoYGcg7ZDE+L78/
t6z5eMvnIPCkrwxJJfKyeRm9IVeSgOVRZtFPbRls8Acd0eJQeI4iuOG8nftr1GaoHZtilE+Z1jBE
0tflTIYwATZ8xZLlcc4l624MM9WWivHgvjDAh0scsKij+GNDHZuNk2EWM6UjlJYglLgz4UQJbQtK
2mAGShaf/RPDRkb616FGm+Xq7+RPzWVXHNfom6CCSeCoQCpXm5B7f9WlPCATHidguJaK1yC1FJnB
AB56PoshHb1fVyW1SzrN+hz04D11iB6hzGbJHt+O98I8+BIOr1YA1RxbkXxI8WQBtXMOTnufQT6z
QjwrHubwpk963jT6lXGHLK/bykuUvq2MO0rQxzWObyOME2f562Mb6hDFkfNhbWqrdKUihpuOgKHS
g3V26HP8XeYELeayDvLlcoIdCEvcHfBG2jOaOV8ru19A632djgTGxRg3V2iyloI/bd7aZOI9pj4y
q9QRa7dU3LA+xwjZIiJpSJ4YNYzcinUluHqKnz2mToE4llRoGlBSaw9WCs9rQBiXZAJpsj5ScIkS
D6bmDWv1467BqcbJBLdlul/sp2+9KlG15TtjD1Z6YSYBRNghJCZ6Y0JzuAcK+pNUK4ZPIlk6uAFI
4yS4LjLKWIEMv5lUutdubUCzROeICcWNdWgJo5a2qXl6jSkio9KSa832IGDT18cb8bqqF1V7BLm5
QRDQNZ42Rhli7y4LK0K6T5XaZj0MC9ygMRkWlXGl3s4dkr27JQFYwzNXjjmbnm4/1KeuOicJNhZE
EdzQGCIxrtdSbBXS5OpPBOPg38eeuW9Dp+2l0S7v9wO7irhjFQPhZFOByMTajf4Sh+RORl9YcjLM
ObLVI8RHXuYeHFM8ayDKsQfWwSlTHfkVLr86DJ9gc7FfK6PeywJ9jvLcAwCvD/FcTqMauvB0AIuV
XUHXwIXfMMzoNzogl57CwVaqQBgvJ7Jzo2sZ8XyX80glu5Yt5Hp2MhigkmX48yh2cj6F6N72iHVA
BvuttCh+UUWUyfjxWr36T2Qe36/7x32RAc35ysHEYRzWJ5sN06pTRpshjNl3goAShVGDB03UGwLt
nfqp+20TGoc8W7SyE8ukN3Bz4xRRyLW1c+O9GTBY4bFR22fDwDRLGrOpCbbY6o6oaqOBvmpfwtBW
MX0WnWZsACEsBEQgpSWgDUrtu4g1qptDwdfxS7sNFfkssZr/rzwTCi0rAAVe+ggVoJRFQ4cEMeaF
cJgNPDH9IByKZ0ay4YMoSmZXsjGsa4SZ0M0RbqmTYhUQg4XRqRXNE4pZ/GgIYKQR2JZPd89m0blj
Se2WqD/W0VIaeliDIY6kHGtjPBKHxTka7mh+Mh1WSd8QNs+9S9g+1KHWK64JZ5gyBtZvn+XUWpAA
dFZ+OxyzmGBHw35WvgzO2iw7wyeurGQlwGk5NDVfgczOJ3JfvxFESfpvMQRdwL4I9Lw3m/q5kr2K
yrXKDRI6m9cBm6M3BDSXoeRqTKoRbdpxfGiSUZFYkM99JircW7gRuwA9rmF3lVPxNydMxKgG3Wjf
MrMbXhnIIgD18fFbtAl4K9PaB9lUH8y3ZF7/h60Sj7QnYA+DQZQXKVQkwYpwyINmQsJNNo3RzZSQ
LqrGAtsSs9X1AbF18PqYP/YwMjAWZEQ6Qfd8P+qvjxoZqnqqoOgqTuJ00MSZbfJbJDiHU4x0WTLE
YnRH4gIYZneFZdLpGQ4ObEQUsIGFPLLYS4d4utm6SDTN9pa5Wr0IlNDOiwnBPX7AhOocMwSIJpWx
DAYwKJmFUCOXVm0885LBZQJf9+OnPNkJZMbcZ7U+MsrlY/BWwndOH9FQqJcZtEcFyxg9XjPNNyaU
IuqbMBLCrdyeC0hE9aVJyoWZIUUX3XLeZ04+FvmuQTOSWQRUVCOGizvQwlV4MTbeQrDk10UEhGAQ
/RKf9OeGfpABHLpZen7yGBiDeStRnwBxCOc6sxDePNhE2YoIZFt7h+KQrpplimKVKRXjR7BFANK1
/wqbK8WNtqcnQEmKuN/r4ELa0rCcETuQ7qpztwA+9N+kEyUsfOT7KnbcAjYBTbnLTknxjVbhh+ZW
IfQntpXdAwnGbVzAkcVR2rBgPftYPXjDhkUTG9IdI8csPxreqgotXv+AUVKA0IvdlyMB/fCyPTEt
8F9aaN1kSzP8hECjORGPrDK8T3CUZJj5jVuG+VtyzKc35Euv19bXXMmTgkIjtnAaOScSOUwoLog6
Wj0g7e20S35mPjGXt6Aypnxo1aeydbER9XCbi/Zi5mSZrWSjBNv70JXn5UVbeFsm8BohCaQw6k5C
zEPN4vAR4OiEnoDlD25jZnfE5YlE7U1jVr90dFMmcu7Q9Yfj4iNn0cKqOKP+HSWVE1ej61omRkWB
JUmsEyRyDPEn0YaEsSabN3ene5cPEHJYnQHvUG1Roa/LbEghFmk7lhtj68PjghUNuqw7t+Y5eifs
5kOPxqbKaPqbHlr5LYbbrzimIYgSvuM/LzxamZWRFOI0L0HwdrUx89MEVLKb9uwQ2MNTfUnhCU22
QYqtOOLs8dJHfoEy1sN8Xs/zaT3Ne7bI+PbO7AExxAMYBYOXCIHhn5kYUg+k/gL4fjrXL2yea6QO
blVBQOtDHOboXyCqQ/avXBIimXkHNouU11cgIZzrbCYvoJVOu2IoJhXhnGsfDHiDmRSJEswc3745
t+/uY7/Af2JjmHKYZ37IAg4poiXBcYgbm2MCYOYLBDFOuypP5kIl5evGbgqrFB+UP5+B8luu06e7
82ULqYVHcuskcmIBpsDioUdeLw0jskuxL5eKc8N3AxvrqUoOwC7eJec+ZrC0o+Ud141jfGxPCbmW
A5eUwj7SFi6WOJUWON0zjvOgJmzkbyhRv8fNP53wlzdakFXJlyMePXxfmNsR6TIU50y6SMJAkuxQ
/9KztQxJcTJhym5ChPzzLfv2DL4wQdI2DSJd6c+AIv4Ur1UUh1OFkDd1FhM5qdmNq45VCZfVKRmK
5BikjK+/OYcfb9ifnuovLIoree1+lfZPdeGIGPjDxSfeHr4vnIrcYhxgYhiCmyuxj5lFN1A0swcK
0XMWDgVATCSIc5qdiFmQUwEmMC0UNgb90LpBLjPUzoR3L6LVHg3AO4PHNflSV9osFDAvoM6MarCy
goQDRzxZXN9zRKCpHbEojSgwmaQs/cN1c6fxXIazFW6AVQi6Huy9bmKooxiaeOqkdPC2mDviE8uq
R3yQFdPGUIfEGw+W2XVYbx774A29aER1SqlFvtGrdiDI1YG/BWSIxQmImSc4IQY8b+FHJA3bj7CD
WD1sl9VKfLnzHBzEfeizX/bjbMwwcf3LO4vMTiA7j0QpWsFDsyre7keGsOXiPsbsTSQGV2bOZUAu
YCpaIzZbqiN5MqU7nzKhf+dBG4JyVdAbCjTABQZQ417zQg5N+KRDWYC8j3qLIgtdMfR7sExUMtc1
mT1IIvxpPbDKnXpgcxaYsTNiGLg5cyxqJQqddknu6yNxFP1waycGKV5zkJpurOzhAZE5mjnkl9tZ
dhiQj0tC8kKyU3oEkyzOS5+sBZ8Ai2hp0gf5BBsypi0owyGQV2gyTzWXNTmub+SwUjyBpyLlIzcv
IbgHRoaHTOM+llr8ZWxMfrGTUCnFXqURxS0zAU2FolK+ZCmgDZY0RH3hzEqrxaqpz31ZH4bq+MYI
bnVzGAUgyruWfRILc1XUVqpp7bIxaBciipDgzvS7dey3fLtPy8IXOk2QJHpeP3gpyXcC6oFpPu2B
u7tF4ItpG445EVfeosBzcSU51Up9YiTTzKSpGTt1tgCh0sdIfh0uKbcrApJYymbyVDv8+b3V+rXh
19dWh6mrwyxV5S9kXVlK9e5a89pGc+GjwQ/6g0iyHTqiwsI8hznfju/YA/J6ZqajkUy417fJgmYT
aRPjHBBQ8BJtMDZsUcf6a2gMQEUtVmd/8V6OgqXEnZfG0hy1oz0p3mP8OAwCUmrRobMF15HXOG+j
livGmWu+J70MX5NBaSzeKXPNoIeMtBd1/+erVn/jWyBjFPSvq/7iW5DVNz/KHmxzrCxjhMuclUON
P9zue1lOZadbea5iTuDPgjfDQDqj4p/ZEXZrI9hlWWGZCT7uozlFtZu1jgeAtNROajm6LO/zaqm8
MBoMnxg0MXCChX0od96st7DSe3/Tc27a6Td15e9plP++IuVLARRG7aPuVLbN28ksHHn1sCErZzuY
CAmQNpSqiuxKWoUJ9pc3QgG/rWr6be4PD9KPCu1T5SA1Xm4+Em5pt0K1z1AmRrmgHBj9jBlwJQf/
XVoznNJW6ZSkIkfxSM67nhDFzcRvdmTtu1P5UsTECYzTwODVu0aT5nWhyz86FzRUGNY4KkLKp8Ey
kCdKZTOfTH2rlWYS43D4CAhkzbEJn3heTMyn+0H1MAew7q/Ga/k2IHNsBjtiLp9xkY5f/IAuHw+L
zBowILCuz0Rmm8qufvEh9OLHBJw9hzNyw+CcUNw9hpkm3LnYAnoB8g944xpHyXfZ7RtGrfT7Gu5f
D/ePCuvTNxGFdZ2lN17pYG6c1VWw1kfkbJEyMKqYJxeT1+CpcWHXgGAanN/D+v9xh/v8ein9F/Tp
DIwb8UVxX+EqvTRE9+3CA258EIBef5jFxNgQmHW9wBMs1G2dH6sCzko8ybolP0f9tt7u8GfoQRrT
VR4LGE1iPQvuIwkpXjDqwqkEafouHQ1GUMLsSpgrcY6GDU7e4ZlkjIIY+pxLGgN9tYhZaTINVOIT
RpW4r0s3lF8VAekcvAnJlQk+CxcJEZawbzR4XCGzkxea0mDx5zXnf6jS/v21fKnSqsc9emBRSIsC
btLrXpbCAd/c/D3DiGQtb9BHsnm7+Vv4nAIv68/qXjg3z38+C1EUftt+GEJvA64YhvnLjMbzQhJi
rqx9CuIyV9en5uAsi/hfTCOmWBARRZvlC6mcigsZmVHJ1FcWj+so0ybGA4U5ehwiBKqTdpuVH0pm
ZfleAWmekmZQmSthrB1UzVHOt7mfvUEUDNbZPgVnwPYA5TlBlBWmEhfGOldUryFebPMWg/gcTyly
ocJhfhm0uaX6l7bcyqveruBROrww9Mute5v3kZLhMbM95qmT3q5E6T1Eojl0SRyRHYMQ7+SI0QLV
ZvAsI4vNrSLbC611w+MkHt9163aKccyHE43MlvgmoJ/2TEwwBJ4zwygV6wJ430jlw5Jc3vn1WL3e
BsRzsB1CPyaEcxTeL8CwOBeAujCU4rdxFfGXJ+8MAaXLpzkLyRTJPS5FERRrjbODtEKZGB7BryJz
LEpQ0vwlpBWIoirrAs4bAtOYO9eAEZU6aoqTiq8Bt6ubArDqJzRqo4wuLHQpS/N3ytNkIc7AcQSG
k8ywJ+aL2KI2wMOmnvKqe/PbB+wPj+SFegiMVUSTG3fpRVrrW2XAhBJKyLS5PJwHTC1mbk/QmGxp
SoT7JBj1XpjzOcrEGWIFek9sY8BW5Rd1AmREFz08zwrSvYveNR9HQxzFbjihyG8qWDnxnenEIx/9
PuydZNoNU8nnK7RgE6cRbaMcPRfN+0oGgcN0Y45TEjLFBROdkfSOnGySu0xGZ7pVOB2m/iy22h6x
xGuE6QJOGkhFCUMHFeYpoamQMdQLLTQoMBX7igMHjd7jvXFBSRAG4qFsbWPCw1uikW1sYiQ3V3v3
BbdbRCR3YsOTWKgLjHRluldCqKG1OfFs4IDLOXgtM5Pqw9+ZP0KWIXv4Q0VtLh5777SHc2gnLii2
g+Q9e7/ahyXE4tceLCa4T2QM23vLvSKQcbxTRxMAOr5SF/5CJVPUgS0JsiuEdr3PlkYvWQlxuyie
QdI8+za5IikjCmItFuPO2xv1qmB282RClkFQL7GcWsLcSffqBsIhubrmU71JidsgWEsnDi6onqIr
BWa8ftQPKBSUxDYMEiDh+zs+QhwHbxlvmVF+lTg1VBi/XWrhyXtpavu6eywQo04h8w+OTwBFCq8O
3yjtNFeFa51uCasc8ieCR+h2z+WK7NtpL1+sxZ5CIyONpbBTbD11QENaxA/NNI5Wzf3dyA9cXgDH
ZA7J80N0EaIDhazbVW8pgnHSWVj5aFJQ9wKXlRabc/ESom4/SG/56yu5X8Zruq/pWTQMMeKlJlrX
lUfT9MSoHEUboGuMaqZesOXCnM3Zb1/ii85c/CTMs/NgMKzNPSAwUnB25qAdMSFKc8vH5U8GJRrK
0MnItmDTTheaMgabJjeS5NjwBEk1ZQ50QV0l7IszAY/qunRpoybAB/NuE8/kjYK9wYNHHk8hUMaA
dFG9/3SsNDG2hzW41xbyqNsPnqp18FwFNh6cKjyZyRV6Mao2RuXH6ogU+gCJEyOsNY1yFfSzcTZQ
GKtBbeF8lXwI23aSjlosUY5Sw4y0WoAubjHTjBaDZ+Xp5ra7dM+nmYf6uYJXp1YHeaG3E6AukiTj
i+k2SzwBpbm6ATo7UchiYepb93OxLo++t8QOqb2o8/TMeFDcPiDY1MykXHygQEW4p/RdA5h2r/X+
vipXygwj3PUdgHASQKl+SfShrcI84I3vS6DYEelWlSocPaQPo5teg8XVBCTbDNR5JVHoO22D0aGN
xrkuJtlH6GMYIUKOhv89SN6VGt7meFC+tOEhMyyAQhlVPtPgZIqdOlG83aJ9fX52Ezt2diwz4CGm
AXI1pcZc3nGuuuibjt2nc1JAdnDc+1rEFy1Y8uyMyOsgt3iUz5DVj8wdzDuYCMW8O7EN1IGFCELk
gTaHwWDqfygLc+W5QTOrl/HbvRxl/V3YauAEG4gqV1aD+4zRhRA9xaTem6vCuGBSDD6oDZUSMQHj
UYWExmFdce5woKoPGmSD+I/4fJ/E42ww1ffhLnKiZXyRWEPCEu/N5wFSCWESHyTTDvBh4b13MZER
XXkj7PwFXBtO0wEfR/OpfgDaBSNkM+mYpc8NLlXP4+7nYsElHjjIqc0F71vLazttX0Uicsd0cI8Z
CSo2NzmbKc+DfGzA2VV2kAitBL7dukPeNuxVBlsw4W5TOfMrQYj8QePGTNeYgYzqeTLNPm6TH/0F
3jiknMTLErz6o0DhgwK6HmnmkBYwBw5xBwv8UA7J6grR0G10MlRul4ebwvreQQ5cB6dmX+29Y/3O
noALBMmVAgSdSUdmMEalW+QaSOaypb6R3hj53HTXe45fitaKZ/oy2KXnKkMoQBTuFAyF5pFl9g7X
tzfBw0AKjs5tgqgN0ifIBGQbbPTNpTLF0fMSLYn3RnJ+DADYD94uXl7frjLUz2QPXQ7F98C0t1Bg
vCl2N0eeVwDsIligvra9ib7oY2IG4/DZdPn0MUGjUFiPTFLuDcOP7L1ZwOhhZ3dRt2CjUywRE/WR
7IMRSchY/moLjQbUvW6zt2Lg4gGwMufRO7hdyWJfHMxplQ/v044MmS1hLbZv8hObA+5Zg0UyHSwa
l4dBH5pL6flh2iIzk3P8cT8BRUOqHK97rieRVDP8CM6dthh4lvIMLpWTL4Z7F7a0g6Hi95SmyLBZ
6+OtJg3ztwrC0xFqECz/K5CWS+6JhLlqPoReQIssD7GOc5Rt+HSr7D9XqIr+2+b8U4H6pXtQGiP1
035yIu+yOYnDQ1xsYaDxv8HapEy1JKIqZOZFAwslyApXb7e92s2+B8Z7cMlmdlGtql2wo72rcQIn
zTl4hgA+Swn/qsdStg6qiRptwRzLahSF4yS2EWzXnfPQtjFmZQRE2enxNmVT0I7y6H58hEMJqNCr
5mBgyGGoLiV2R/DtK91c4DDQgujZnBqbChb6WHobszTcjDHo3UA+hvC8ZJahcAvuecW4cjFgRAxG
EyDBtAxUl1RBwJFsUk8UtvBe4RristpMfMb9pTwtxBFqZ2krLIXxEYIjMo/rRdnAClkkT/lLjCdP
M9JJ9ISTR9vPNbM2aG4APWwRuSYAvqS9lDmxMlbDIyjOWOjdYF9f7heNasdWh29oDhRcqPRpjSoc
t6Z5TsNWwybFxAePYABTtAbkxk1h+jN7pabrqaokNxHiineHP5ZW1/fe7M3EIeBazftSfvgiYqIM
P2W4fRXEefTBS927qd316eBovOkzGbcWXBf2rLZ0Hf6R26NUL/4EYAnXEmMtPOt0kB8SHrtX9CUw
t+NZrM4a1w/sqLP8hKxbYSftVTiwJDLzOo+Znq7bc71IDoOjNufr76a3526OXIn9u3oRR8LFI75X
WlJUjTpbwhGvwkOXN2fzdB8p7D8MPrVgi6mUsjNK1zDdhPdn6SNWUM8DfaPc94L/Dt+JoLwhxsuR
Df7oYvdmsdCFz9SX/jO7FUOBggiecpiyLvgjHHl5AAIA6k7aYPOh0EpQhMwDuFoX9QASfBRky1wM
8LqQEztZw9kYqbzgsjYbbKQTAFBHVDlP193mv9WxxroQN8BoWu+7cx8tOgvZBN8xZ4MmxTw0xpCE
mRX0WndweFgUUP3yLS6D5iCtart3x0Bdki57kzyP+hLnuEXDjGhLRe0PkX+R4mKYWw/1FlSg8h0P
uDH8JE+w7+RZTsivweKMoKiT8IaDTvmKE5fjGE/tS0MJKczLKdUXzAXmg2gueKbk1u73v9tQktb1
m9G7ESMQwg2dODTQY56scm1OWsHVmPwlyknBZ1BwJURfIJ74JbL8IuYIawv5qIVTG7e4nRszaQID
i/ntK+SNObZdfWy81Z5uy3Z651gg3RtjQmbD6ZY4xsp49c0XSChm3gdAo9Itx5yFGUwIpkwZAZ1x
dow2xrbkD+infLKRm5PpOwW2MTBtC7w1Nia2JzhV/3nVk347h8XPVWSGB69C+wKfFFHaaolOV167
xCa5ffvoufUmH5MDNVMwG8gmvZkaz4Qr2ZUVk3sPTX8hrv98HqL5WwqHoZMnrZmaqslfVt8uyYOB
PgjB31ZgF/EVRxFjluIrl850PMtX94+HQVkG5WQE3HQdrCU8aOyomOTRBJoLfTgVUcKXBNvsGDEn
pQEFXe9sUOfr4baqt8k2phgtNy2d1RHTcvgqaIa0/cPN5xHVbB/Z84MZxMhSpYrcBDRJ9/WPQKEZ
5Wp9rrGrYq4Yj3wa3h3rAUoWcFzCA8XpI7RxeNefMsFu87mC/TaLYzBBIgm50RdOlYg9SjZsRIfd
kpkfcrwcKgG0IuXVY28lyXDYfNCaGCgeKF7ySXSEZ0DnUNg+dRFpU268yTAWTvNxI0LltML4dIvG
ge8aqttn42DNjEKx3gqH6LbgxAJw8dzCrpIhQt4/6vlEDZdXwrtU24BzhTITKwcSci2VshR0Rhgh
w948ju0ucsFxquWttqEoCPvOyZZVYGEzWYnV0BNH6Dlv8E8wq6XaHorHvrQSr87t7gyUp7tU2bcM
pjCEEooGxK5C4LTEGoFIdqOIcChYiSwNkLvIWuMVHUxyaO4wJvuTQrhQYET24/n636+P/+O/p+t/
DoTLf/wXP7+mWVuEkFm+/PiPfQpROvmv/t/863f+8fOP/JO/PtK+VJeffnBuVVgxN3gv2u17WcfV
j4Nx8P43/1//8j/ef3zKvs3e//63LC2rCza1b+9/++vPp29//5uqCmSxmRoRMYIgqRpGAZ9epf5g
f/3y8pLwIbIs9D4R//zc//Hfv1/K6u9/Gxjif0KRMhVdVGRVVbReEXB//++/Uk2V/E1FVURcVDTw
71taVMHf/yYp/wnxRsctAWsVxnf93LtM67/+CtW2qBqmKhgEOfBX/31bfvpO/v0d/cetTtZpeKtK
PvjXNUAxuGQVZwSMnUXhy2IU+ELn1XUHjSsnDnvCMP9B23hNdnk8ewTzzmO3te+hAwueyQVyztvb
4JzB5J0H7Idj/Q617dPN/OsUP5+S+Cuc9vMpfYHTUp6JUAgFGBrahBGyhNAc2VUzoQ2KUhTMiGyd
Px9S7pkGPyMaPx/yCzSmSWXc5j6HNGnj6nStjEt5jOe2BAYklFuAXj856dJOr+y3VrcZAubKHliM
6UvFK59prqg96wWBMKwcAV7DtBT6JCwnTOYih90piMfRGa7bn89b/O7b+wJuPVQMFHKBbw8K281G
JcEq3OEAQb2ZjDrPqaNnmY7um53j17HyT3frxxf4aeYPL+f6KGLulsz+i2YCvzYcqJlgfIesfneg
L/SZWi1yrTC4vMw8GMoQsUIgLiSMC7955NRvvv8f9/nTFSltJ1Wq2N/HJSV9oE0DptlEfROXKw6w
9Zq1j40xRZnfahMMGuLqwlq70AzIujfMsJ0Mx0W7t+nshhlT0gFy69E7JsLDxs7T5QlO8mrKlEza
d1vGa0WJ6qY9hwama9fVI8YWfGJCMCzNYRIhGqufxbdvHpTvLrD/+08XGPsG7UX/ldXFevDYNuay
nD+jirCg4c6r4PjN4b55LsUvlYVXqkabydxPkmLTtYifYWDpYDSgaQYYN9FoRMv1iPA3x+0/95f3
WJd1jYVMIo/+y3G1VKkLfcBxb49dhDqBRMwGy0QoG9Yj2g2EQ4hrRK8CXOKi+82xf8XieCs+HfsL
6KP5vihIObf4LgD2of1R9g8BFuJQVJeoBfR58h0Q/N0Rv6zddRYWeZBxtUCN9+5cVJag2v28BCIV
U/pgCodC/26tFH/7KBFFZUJtVE32wp8fpbp6ZGGScNTudFPmWC0iwdYOg2wM4yfZhVQYkD9v68L4
7qH6tW7ub/C/D/zlBudBmkEAaeE+6X0PX94FbKXZ+MYmGAVjEh6uLIWgcre1fPpYqMnlz9+w9N2V
f7nfjZy0gyLFlYpkO0Ed3RU8EIgaZ0ZJehik5w2ixHaMGqNk6If05faRQO3VtippabjePt7SK82v
Utp05X8+tV9lhT/fmi9bZtJl2bVssKmKuzWDEQbOyYZGmch4zZ//+VCi/NvvgaENdZBg6vjH/PwA
eH7UpYbCwY5IaoeduBbOZn5+MCoQfcG6QdXRihcM+HNIzm301EEXdk2mhKFurBPjJDGab6o7Yt1V
etuptZu4CnIFz0kKR/1QB7D0VwN1EWdO+JZrK6ZzncKUA48OQzo2JWSCwkJ9dIuYsKw8jxQvtLfV
JMWoNLVoIlRhRWt/o3vHYBGwjMGX4e2u9bxiVl6gQBowTSAbHsZqJz9x7iCKM33kOzFjRhj3V+TX
99Mgcg0PuPRUNgDU5IwWLVxhLu9+NvCkSdzmoq38AjYU4NM9ml1LWlDyClCP3dBkbh5AUh5N/AL8
VK1srXbDciEzfZaBRUWGRBDHmM5ecVEIGFAStbqWik35LL3hVSBnzTrqdmQ+SX2tHtomoTqvdckm
T4q9sNKljYLDmAT6okN0CM4V0cdVXIxD/xXr0O86VvG3Cw2FqmZQImuC8qXM6AJB9MD4KRJHj2Ij
+vMsORHbaMsmUOkZMpdp//kh69+kX9bxfx9Q7UvET9vVVbjlbagxmw+wmcPcl6jZjPbN+fNRfr+U
fTpMf92fDtNGCJKKkheaAQTNl36KzX2cj8Egmk05mEEygBgL1vrNcX9fbn46br99fjqub3qiVPaX
B8HPv1Bz60w+cWvDmgzVIAbC4MInsQ9XMHYGc3G4uSvOZQ5Y92DUqy6UU7PJ9/dR9z6Yqt+xSsTf
ll2fTu9LsfAI6tug6k/PQHouz/SB2zVw84YCFgv5w8pQu6dLvc9leDMSNCzKO5Vf2drXZvTnL0j9
3YPHJqPxzNHs/HMp+nSjuuu96yoFCr1G9k81C0iY6Ztw5EukEMMFQZaPp0KJ70yJrBePhdBqkAJC
CFj72C2AurnRLjlA+fGBKMJ5+5qXU0Xd9ghFc6x3jM/AYsjaQOeXPHNdYxOPiO/qZfHXMbdifL6M
LxtHdy9yL+24DHJiXh/2fZkzZcMI5lmzBWAJYYRDMSa4AAA6vqt/vofy72qxzwf/sjeU/s1AqJtT
Jfxfws60V1U8/dqfiIRR8C2z4jy73xDd2w0IioiMn/65qH/ypPt0pSrpVNLddY4T8LuHta6FP2nk
Cacn5rWZHoyPGdgH9QwQbqJBdUCNx9Rw5sgmWTjXYe4RuUjPsRuEx1E/I+fJ/Od3Jv/dXQ5/TFNk
WuORMfrjsVI3ZZe+34OObIx8tiJjYjaOnUGBJ/nZcgxMGcMCoKwHSOOe6K7W/iyarey/bhTJ5/FP
7v/LG/rbK18heIrs+rGhi8YfP5SKz75KYqR1YF4dOBNWvv5AdcFvyjk/cFo0JMvQtyM/XQDEderZ
GFVhD1bdKTa9/SAoq4XSwzZe3hsHgZE3XjULcGQHl48wHmlS8HTmgUZUHugBi/+Z1BubtQXyjuoC
tmHX2gZpKiSV+rkVQ70mgmCpYgQeb1rUyvmXnDrvbbLGNPBaPpePfbovvMcUt5TbIzCNNsrYbDny
Gt4j5gcTEHSyFtiC4dGRp8YLheBWtwxCRgqv8SQ0IOyh9dzGRRftxwuOUAXVXGkVfONmtY/wck4/
1zq3849N54KrHUekA4l7lWn49a0RKaDsMd2M58JA8BMm41XH9SNAsGby3DsShxsTvAY6eqoCxRrN
5PGyO6nIY7jx2FCAiamJCah8RMtT9ITGukz9HudnWxWmCslBHi8+mOD/CkV62Y+gIWD9Q+ZXtWO2
yx5SAkqyIrzOum9GkRfDpYdIQrXAVq/+eu+pSF/FPnTuuXv3Qqdge0IQA88MXJSAB20sSB083dQm
fiNBrfvP15T2txf5WBUBPsB9YJTz3896oe+isTwMWREOXSQmpYZFW0LUEY640fqBsAQ+EhN50zjI
pB0YOKxtOZk2/OJX9Jz39kYAIxSiNyyXQFmkk2wzxkMkwHkh/oIlGcKn2CY65vMbDhqUIPqWh82S
ADusxkt+ozFPzjXGIaL9duU1gSiC1XvzLx/zb58y//Ex/3jKKOOm0bWSjwnMgbt5WmHoEE7JJkqs
9yRJGb5uDC/0YFg5xZwFNjuk6pRwhb+25NrMe/Di6Np3sTQROlYe8SIC7q3OkJjw2JacKZmGy/Gq
YBK6qfeZzwDazf7lSTkM1f6n6mBU9/9/qj8K22f9EB+vD4P51ITE0WfueLi7W7LD5AVpPyRFSC5a
pm5RLzunH0a/hN3arAx4UrGSCmrCheELldYNvph995st6DJ0uVxkdx9fmkbKB3NquBQm+CxLX3JL
TbopfTBWkYdtoWzfgRj1+4vhN/6/Jfyp/9f+/ndZhRyWgf9wnJIs9yeuuTe6Tm5E9KgsJD+n6NIW
8zKdIsTQKuRDdvLLrL+hOLcr7BXr5MgwjM3feBPXzkjfKZX/uMJnGvv49mQT07YGHrJFkqYF3QLm
Q4kSmWXS8AgXrvFp2OfqJuCKQbRHmsJFBUG0GS9pHT+sqEpX79znpA55yj5wrPnSKQ238iiI2Ws2
TBdfKKolrnUDtU5aXGvjt1YWOKGiawiHAVwmnBeg2T/ZN/tXskkvKiq11qwWzaXPlyVCkvEWenA/
R6sXXSGOO8nA6mCxExE6CnKJzfwWRQDe29InBtpNFvLX6At8gy1xVq4LgtB4Mrs/WG8NE1ANeghe
HcUm+0JyeH6TBxtHbjwbte+J5caXOngrPTw5XPIXdZ7QMiz5DumQBnyk2VyroAa2WAeZzu9e/PIt
skFpWNzJM/SRlC4NwVvdfDhH9GsSwBQnPLQiJTTbU/SM/fCLwYaBmNBsAFEhzbibn7kR2vpKXWQn
ZItUac2BHC9zHd8Mwtr4to1Jh/myM9/fNSCEMcmjI9I3yBObp/a2vW1RBYNDCxfPfXXNsJ+TeTbF
ubJIoQntiwPOleq1wJLjUGg5zRSZUoPeXPXEde4ML6Fi3yIIDmO5+bZH6wqN8ZjzWbHFtYru7hnE
PFwT4BNWgo7q6YHE8BEsGGgmcRDuDob1+3AhuCkdI9LQ6Tx5DWl2PdwX+i6GK2G9QWpVdvwVsfsB
X8zPcK4lM/p9TrLdyc1W9cPKuIWO9Yds9/dP+1o2C3zTbNzbIO+/0J+WsEkshfP5syUJ+PCZcJiH
3nAos+qLFgSg4H0j/cUKWbR3G7KbXIya4tODjn95TxRSVtLFSTMfv8KyeP5oT0K2TiHhE8uM4AAU
91DRXkGszVpYkYXZXkn6uosAzx/rlgGU5KUQqYLuUlwwJMW7IZgQEZM4xXuce/mm6c1lbDUXqjBk
DHPsoT84ibKftwxshAwMyD5nPeh9Apqpug+jAxHnAVY9AhQ8fNPypVs0eBj391OzgBRZYyN82sbH
BRxQsCW9vHaYjAjsJhu92dzBCBEQj+kDfPjuozgv9IKtyT8/0ayNqL1qOJYYPrLH2jCcUtsytLBJ
B4OuAz4AekhhzBo5UBD7odPCrpp7Rn7p77vCcPTrrl4p1N/ZRWtOHTJ5jFmaPQbICMiQYF6RldPI
0siVA/m8fS2F4x0d4LYNwjOQGvAjg04flJo2fwMsdFTqrnPZDPBE+cZW0dkN6eItZrveG0mkIbF1
lu+E0zqv0Txtcf2NXRhFX+/R/KVPlR4/0UxT/D63saoMScYQEKGe8NPQRhBX8yONbdAKg37Ebm7U
ViMJF3S5vY/ecIkGSqPzBAWZT2HVGBM4OR+/Dl7yvlKQ88FyiW5DN6R5Bsq/+mac69yvoED86Okp
lVwUkm9xbBVs74ErFV987+hqX8QNAhYUzHYtrl5btEx6yHPASfrpeDTPGkw4YDtLKCieckT/Kwt+
d/c6xhl1HfphyFAvwnMzLDS9NshcOL3SVThqM5IFJI566p0XqYxefeQ75y95VQtqPOMHZm+4hL0I
zbD3+ZrHG2Kt5nzvRIeotYMIIE8dI5oq2lwu9iO6+nwSNpbOM5wCdAG/9IquCuWBp//y4HnrVrUU
VMwUlsaW3TSgd4LLIGmDb7dAgAEJmHKDQgvO9tiGyflQ/X5fLYlTZMmCiX31+npyPxMRoxKWNkiN
3oLZN9b4bnPLh72tgOK/uzodEiR8ejw4qAiuefyx1p+Gp1x1NKQ4FKWdo8ATk5yQWWTOXOgkF5sq
cg2vIA7cR7GnfMesQYm3Y5+OsgtJ3gMt1LQaDSNTAs30Bcq36I5HmrmQ04TDsulD7BTef9XB4GbU
1ujHwJXLNVhj/z/loc8qtsWCXMBxnwvdctxPFLz3VFvCNJXtEHbhJZcBm7jRz+MH5MNFwGM/Mtn0
ZrCGJ9W1QSoUbl73QNS+Si7wI1F56M3XL8MecQvBwvw4CbvvSxxk04x8DK9hGoScjNYB7TSyrq20
r9Hpj6xc9V/7ZEmzZhzrr2aXbeSTvBXAMDwmrBU0zZwd+f37tbSQ1rUlIKXzmyUU0PaSrNBOvgen
fLf9WHsmZGXjtq8ewxcbDDbT7SGm0lHZZNhvzcIScCeO1Itlsz31y9EaUbwy0KCFANpqEoibOrLb
c4pzio/HpTkBGsPhCFU84ru3QeTkfApoNkTtsccm8AShDFQ7Ri0dXAuz/9gicttqQZkO8/lO+MW5
8IWASR/jEkVxPoD3l/cZE5vw1zhUMFGla+tX3nNVHbQlLs495a+6YDz8OGokvm8Z4eQw6WRCtsZn
DhFpFV2pSNX1GI3IAIp4kqZFUd6e3vTF6T4lOpABHY7s0XkgI4cHQC8c42y4AA78pgeYa+SsQqKV
OGzoUSw+LXQEOMyAr0nzWb8JH0J4J5p88vS7+nlS6WY+GqbHCmMwxLkRkfHHUjQNMkE5fAMdvYy0
FvHAoLl6DI+2/DSCXzuhHpwauT1Kls0LrB23B8IxiLXSDfV52btv1KcYxnlftAKvtQ4D5lShQiTP
TvDaL4ieHu9T/uorB73G65vi/J26IOYyGH7IOegZ6zi4n7NVtHnNwjkGvnmJ8eas8ZcoZruSJAaM
pERxm6J4LhlHrWkmAr7OU/d9/1Urp0XeTyW0QTrJ4wnWxHA3bfdkX+2pJqPKLfnM3Chg7TI7BHzz
djqgRQTXtc4d1zSqIMaqKORchEAs01hDG6pb6q4iuJQspbEwvmAY+tio/PjCvc4aGlYT4l99wqgO
Je2Y6sofndARa58ZWZUtYuCLuE2clzsgQIhZKSfNT7Mzgg4zUTBeEZfhZcT6TLpZNi2Ch93y4LfT
3QeOTrQEpFAtI32qnZ/rkZ/52UL8lldjbAe5VfJky6EENcgpuQFlNypQsGJdONGI9ekRfokHqiJ3
tYTaw+7riV47tQqFQ6D1poARp7Bf+M1LdFw7BSz19LGiT/6lpKh26am+NR8zveo2LKRPYyXanKuk
xNPdejraEnryQFq2p+d3KPv6+Xl7nJ8LLgC+dv6C9zu0ISXa/HeIQjGSjsGM+1NNqe8fz0AzP20O
qWSmbbt1+iuvK+4VtJ68m2c9JMg/W2fck8s642g5xb2HLorusY5OmuZy8b7DIwt4IiN2kOw6xUzu
trZuM7OovVfvGCyh8MbdelTzL2dk4xNCxxoi7O6ctPJEedYRb1jOwvG8yFyek894/ZknywiLemTm
VwVXL4l2EWEvg0Sfehjf0VeUUZ+9T+jjwT3w+Kl4ThLvtk94a2wIljqlWrrRYwevSVKTyWV3z20+
4g+lv8oE6Z9qAwZV5/BLRqSbcVzN+R5L4tabqcjIUsUnRAVhvfmuGXzQkd2dAalElpyd8EhAHPQe
ghZgqmHvwVxkEGiLhOdl0ZXEkcNtISWrl2DysOSZ8uIoTBwijYz9a8ZbujPU8J4/GAFRE2CRb9Yw
k0CRSfV8tBHXhYmvh1BJqkK9D2CS45YJ4TdjBC8YUnDLsSf5oTDCfMsBhaIcm0N2SXfNd8pM8zZC
QfRTIYbdqKdw+2B/fHpItqC6o4icVxMLjUhAU+ZpGHlxft+61hJIR8XKSDdLuOJorXwPAtPEUmTm
TgNPKrupwEOAhpZOOOfBHnEIrLn2e7/4Ug/5Jb20p+iAMHonBMkCv+Eap4eBV6d2UqfaFIvHQjuJ
UzJ/9gMTV1q13zk3aRu8VvKNarAPOHofgOrv53QBDZlXOHQ1aP+epuGHR8xbs3WiH4/GQtmN9mgm
ch5TmVWTSUi48plQCASC6F5bYs5srtiHbOELEXfh6YXyCj96MUxDpMXzapz1ApU8ZifiPutDf8AP
I13aL/laHpUtjxbhRSzwsaZtYg6vo7uyNZ6svA+Sl9tpIgRxC+OEuCaCKYbLQ0ely7z7CBKe0vC7
27EMoYBZ4VgXzjrK5fzrEfuCZN2/EbcfNPz1CORoJLzhLDyPCFmgKqJ5AttPZIBJoYPOWhQCIzB8
FQzWpBAmA8Ky1wdvTEjEJ3gV0HAYaE4SuYRW91NBqiEw8iWAXDcmn6m8pADiaBe/0f4/BZ7ydqqA
f+Q7Y5XFq1sldRXXON4STEc7oI6T1ntsVQozhJZAjQjUHcQbyvyNbhc1bW5TjzEm4hStGCgiCAzX
4b7SB5Q1ThmRM31eLHmS3lu0dAsGTSwBfDUQptK6YrBQuQ087tMDBp9qicfHkQ8PLYHaRO1n76+c
N4Lw+USWMjJYyHA5Vxt6GSwNLfF07K81CJzsyMyOaxxObzIb06ywaWShebcE9qr9BKxd96LzdXvR
IV8VIwNhQF6NxBCdnqJZkJXU+7DqL7b9F96vPJu9yZPGmUEq/cNBc5iAiMoo9d17UO+JryS7Yvf5
5v48DneoD6IC8iClBqOSgtOG7rlbgDmD4sKRj8pnky/icz+RtImaIgIyH77ITy5s9a2ye1RIXNEP
WtxKJOpi7FmH2HxAIMdOg8EHmONptEwIdGuWtVffquvjLx/qMO+ERjdlLnnfazsGJ+3pU05pSRh8
cWswsmSa1G2xnPDe1bHHvJMZqMotjbPqW+fTt1bL8FfEzuUIuyHlBDzVJ742hv3+eTztnrMekpPd
zkT+3NPpWjuEKs20C4wi2AQRbxoCYFgRfGxxoLc+1HOmb8RorSpryrQREzz2p4u3K2lU9gNWkcT0
KVYyDJWH+uPmoZfBl0PQOXANQDHEPnpdibQYXJ/zkrxrmSPSgPe26eyx550Rk8GjhoQcFMuMVUzh
6peQP9zYlyHeEwY81+itou6zPji6fnrnvUhrK8PI5SSNN2xz4bs6sl1AKQ8J4pWcgg0zE4fJEM08
gClE2wg+c/JnZs/p+8ZojZjawv3wBhAIc3PhdNI8kdRnnj4QLKyLYh0NUgFMANAXkUvaPDKSA5TI
Mc6o2yNx1dzzb/q4D9iS6Gfi1RLObDpFRqsB5v8JAFNrVZvvgBHZgNv23rdoCwju7UmXYpe7uVsK
drnFruMpdIc5alQmhFi3xmsIqw+caNnCAHDz/k0mJT7NFpo9Ycqzx67atZeLw5QQf8sHeqYG/otp
KuSP0k1ntTQVvkj4lnp/JLjyN/g0OCv8bowr9Ym6DV1GrlRFOcuV1QguPApcskk8PKDsyBIvDw8F
nfmyWFcLxPOw0QpPLAbNrTKERUbreAuKkg4PwG33TdBDNO2GVOSXS3LGsg+gPu7Gm2ybMzm4Qfdn
IlNM73Zow46gSKccXiu+uGe8n/ZeSL/oEIz63haefBY2mcsNDNHGvOlOHaD4ZU8GltJUrR2dDBcl
VMguQ4tnKnb8rd7egCTxHNRLmmwNNimDne7y+ck3NQ90RHotqxo1sYxbTupWStb9kB8vDGGQtrAv
T21sSemUHz+qpul4UnwcnSKs9IkWPg1r13aBXkOeZW8r/wC8RnHuAt5NPkwlLGT3/HEeRin7FrJD
B58SsWSqnROQmdJT4gfAd4TVmDUO309rflPyUGR+Qoyn2K3u6MT49jxSTRLqP1o780MmBX/INmxj
p708cJLiqvrYmLbSzxmxcHakA7TzVTmB4b6UvLeD7/dsrAbOewlHETw2ZbTFXr7j/hnK8NWR5GxK
p8EYBX3UgqxpVjvBE9bjL8Lth9HJw+tptGu3jKhnWgT8TFP2+mMImKixzeF1xYOUejFmULxkyhWb
BfRfiNN2LNofmd+/xkeboHngoSZVbrJ/sB1jPQvOu8F/YsFfpz0gHVb8eZyev21HhnT5tKQXV1vC
yUr+js0EiZHH0ljlg2spB82KhfVNauaWGQwF0oPE59RmFlLKQdlN+8RFEy1ljGg9hkNknfTHDk8r
/kaVstKEr9IHNbc0sqvFBof09Y3r5lYHmDDvy+e2AKYWrlu7YFAKj5KLLAKYL1sh+3WbtuBAqVc5
DKnJSd1g4+XJCzPSwtKtfdO/4OdvlV/Nfp+g43BrQdCXv5iLxhOqRK48htpD3hYDxkOOn8AlK8Xl
X1poDLOlt6/vGGwPECFKUhIWqBAtcRMwQ85mQxYE9yNqed1+YzY/PY5V0J8ZJIOvi98+svKhbSZw
aWz23xh6d7xSeSl5lj+8vKPP6zbSqpfcEpwMsxT8Trkd/Yp3kqwVN96GzJvabb8Lf7t4Dr57Km1V
1SW5Bi71od92G5EDzgwdMjlwJoTg1Unfox4nqoDq5uVSM6zfz90Yi9l9vG59qnyvYrpCt4kswXkP
1wC/ACqFcleSloCTFCTPYFTROxzUb8QLyU81o2LFGcyumyoF2xFd/VwnbpVlr0NOzYexuepyX8iF
nT7OlUsgB6cmla+6ZQAHYYpTiW7kEC6RXnn9QukHtLa0wd0SExMPZlPY99PmJBb2gCFh2Om2m8Ek
KLot+bUW8450NmYA9jWawTTyGHNtw6U+pykbX9iVBsk8pRiCOWkm++fxxmxv/iBNpUToyWJkAmaJ
FAO4kKEvZaTTLkip3xTh9MFRa94a/PI+J/ItBRp5h6Zkcn/HC2T9w9Dpe1hMxmAKl1zdztMnqYdT
ppmpiE0nInnmhS1tYjy1d3wT1mNfzJUAxy1Wct2Bvm3JHLDEDgetoxBQAwp0yKU/KcJsxF9zR+w/
4zlinVkj8skjbKEv9s7QzsnZeHix3bDmtG55PYnIvdSJC6ITy1Y9jjAbc8RCowowCf7lOUi9jOv0
MxUnBo/MDnlT7mmQOUwJkWtrrjBZ8IAcUltWK9wMPghZuzrHLjxGYGyDXaO6MVJM1qkjOoQQTJ87
TCb4xBiCEjzkGawNHteKVQaeiBnTlDGrlAfPTmYcuxfp2A8aa0fzhWN3I9caX0njVh6nCelIPwO1
fhl60UbCAf32JVcI5wAYil9hG5GM/C0ScliaAp0zj97Ylpli0r3v+Uaf14+f3h3GuD4mEeoJ3sxo
ytzn+41UW4VkTgy5k34BwZuzyp+/4DSV7vt3RMT26CccZrV4qHCg0ZzpPdfHY886hz1yGijXdP3a
Qk2my+l4pASqpToYxwpSqLiaEraFQEy8nqgO0MBwEMJoOB258H/p/2r7gzePh4FJvDs7H3Day/CL
DvCvPRVQ9itUO27MGBHWEOgIwdOV7HrSzTPswBZB3WDT50g6TBjuHKIwmoZP107ES7OQ95LP+B4n
cIM/BhbhHmrdQJRYgapaivN28pkAw8Ddj2KWb+SqHAdSEjAFnIEvG7m7P1ooE8V8HIb/u1vAeWbo
YpaHsXng4bRvjtmepmrSruiDfzAsQT3IbfVIZ61jdewJy+qCkgG/+cP3dmLxxcNu+jnLm/FOJz2e
qWAEMonHuXPq3dBTWfuROsx6b8XYrXdfs2xWn0Aw26EnM+t3JEzJvVOwzBEPAy+79GA2OcPp3pvX
/nQ4/AizyE2W5UDW5O/urrlhPsh70FfFkYcv0VJOa6eLloDRxoJIzhu4Uu4/AtpCm8YhwvjFbwF/
ZLxj91Ye9TM9EWDL+zyA9a5YyYXob0pBA6/ayrBe9n2WHzKel9Uh2RB0w+f0+cUPxYIh8hrrP5fx
3YZNjQPqzv3h3EFJuSw+WOVhvJ2W+1xl0SIix4AXYmEu7laly7mFkWBmbGvr2B+Mb8plOuIlk0Mz
B9yRAB7kMqYnxj0G5mCGF3ioJ23V/CaIMZpGqllhspSCOMEEHS97P7Ob/eNFmiwwkSO3iJFbwrGw
SFUY0+FyyxCGtB/uGqZd2gaU0IAQaWyRvF74LObbihgmsdAWh+K5mDDUdWp6ZIvp8KbaiYzSWgQ7
02JFFc5Aew9B9DnVrGZ2YWeAMIbnFOa9uUJbbgnWo7Lr2k3396WwoZvAxlzaFX+HzBUCT48kPsk6
fyfEMxIGMql/XxcOgLi1kyi4b94HcOGMvuBMbUTNCUnMWBEgOPy1NfxlHnXyLUnAM5PVpefM6WeC
TPvmN5zdtFK00HTAd/MKyFm2WVFZ2hWjmfMRwYkQEWRpc7ZVQ/8QslIhUDlbj4538/wNp4X1se68
rrAG+drlLVxZP7Y/JfytjFHBfGxRUDucNwtxJl3UWbUitUqkt4isMCAfM2GGPRcJrkMJsmv8Man1
96+xTbpcZIu+HLQ38frcZ3Misf33F7Yug8Jwze7aiQaumJMehR0t6/2WFAxAHAM48BRnF2Hy+RIN
xtpwmXYwAyRT/fhcf9p5x6FcLz/jWb+nxZx2O2Zf5I4X/ILlREZ9EDs4KMtVh4pbmXaIqJkpnAc2
N3kXgezn52FZgJynsDqBn/ONVkagosQ4PphT0eI5RcW/AHHs49xfx0Ixv4duCg7BEpuqC2B1ra+0
M6Bdqh8GfvUZyg/XMmbZyX3DO3BhGO4yOv4fsu7Zbn+sdtFS9zGOHW3GK8YlDB8afpjUNo5EEKCi
YHHO90wxb0GQ8ePxukSFRLNJ2A3HPTQbeP7mg9sktXRYIUyobipFNWv1h0n+BBEX2lyfj5YGvfjn
8KHsiu1y13pkV4K60ZYMxKGEKI64Hm70pzXiREZL4I4nfADtR5to5wzEufX0nukQODGu5xHgjqPM
u/ss+HRWCYE/yANtUlyrY8fURw1IDBF4XnvlpHcq+4LulBqUeOHC11cZIU9sK55Tcp5A7E+zRefy
/qn1xckzUFfjuxXWbCDTv/I6ruHPY584io/7ZgIFIr0Jz0mrTqRqcWfDRYulmsQ0QWoY5gH0cC4F
yKvz1R8RqTzVmDTNJx3eWhpwDy+LeI2nD9cAVR7SJoCSB6Q8nHur1szsr9ZWp9WhpRNjzGbxjVo1
ufYEM+FfhozWe/IqtnfdogeHow9AHPaQXDzxlHNniF6SkOvT99RTQhBJcIvppRXalS1zjZjcnyFn
jAdibspz6pV9c73P73NyaOy7U3LzRNt4zXpxuAMUAI9m7gjC5N5OUWTwH4MD32dW+7Yr1nrcQ8xR
Rj66Daz1jHVcGSGEiqPHhVAKTP9J+2DHN5H67jMMcfsffeTkfvuxlQkh6eynWn6UGkKczboNPQNJ
6/YrmnKYcFA1V0G4hU6ZzRmysK6sW0/gHqa7Mt+eDnmlYAQ/RhTBXVEv6jXPD7fly5I2JXZmH2PY
5+GI38i499Kmj5cEZjEp4qI/cy2bkrXv9+o12cIFaI48Fpiq+sPlx/CnKaZo3TlEm2oFKcBtmI/E
JsUehXRHhM4u3DbcuYrF5EQktlLgXEJkiNqCVMRuSAcWO4dayO44pUmF55h73cIFkzIFKjqwh7vX
HIHaiCdjRLTDrALAZPPZI1t6YsuGzJEDDiI4jHUTzgduSZ5JTD361VuimLc5FSM2T42N4qTIaeSZ
tx2Y5TMdZ/Jql0Pq8NiJ2VVwDRHTNXn6ofirQpSm/Nc3ecLis2Fcsh1z7qvyNNGD14i98YJUl5pD
smMvmNvCC+4/0ym2r46QrOBLMm5Bd8Xsfk6MVBfaBH0I9yBjzwKV3WcgVql+TeFDEQmKn1nh8T4v
gvIYFYDGXRDrkeK/W6/j6Qu5kcnoBzBdPNjNebaKAdddM0jqYm5yXv6Hbd+44irFBtzB6azc+B4Y
HOpEasK95OWS0E0Z0DGlKmcfwTk2FT9szg0vTsgW2RlIQvyOzU4QuZ1/t1gcfb8Zt4NediiIJ6x7
UPzA8LDECb0//T9BDtRgINumXEoHhn0CISWd+2YCMSeoSJq2U8xpj1lpTJ6QCHhpbuA3K+KVcRLt
PVUXM31Sr8zkt/8BWDBCYOkii2Iwj2EGlBNi/nG+eD49nt3Bp7cIMFemT+IgLYWm7HWU2UPwNH0y
JHcytpLSWfEUAkfJIxGsW2hTKlMvykYQMiVgQmtLPntiN3axw32G1568r8LGOOdzFAvLfF7lA0C/
WmcrViOjKbCx2uoWqLUhS3xo8z1xT8JY9l165JdO+nW7Ec+EAEGgd6IJVc409sdTMt8g9tPX/rU+
RU+2oOBpr1JQ//AGAlJYDVdY3AyuF1Y0pFvQCAIUZl9JmEc6R9hAWa4z5T0qZObxxAh/GRAwJSfu
U2N/zXCHD20xNUItIYCs49VipkAeQal7JKW2Qb9DxSTS8jLpSp90URyS5thawCfoHaDpkSBYzdjP
KFnt6u0gk5BnwnOrvFevDZUQ11XHZJJjk8fwiX7ULOnn+wVjU2PJDUQ8K2CZjjkE6tGrRuYMC0CR
wNNh5K5emfZKHNhF8wvq47Xn/4GhmnnSNvoVdvf5Y4nJ5P8KEY5XpL8NMd+IlukBV7XH8TRpoNGE
T49UBAruhPS7co1lnaxMrQyGc+YTRPX6dU3nObtOr/IIhfF5jmoEIOfmU7aZiDRIj33M5TYOV3TB
YDgzvz4M5UFMvLUWOyikRAm5gI3UTdoeBJc7V1t9XI5GdYoYnu1vvDacmJmandL4shtYvOej6wgB
sWg/N8Zo00wKAvbEI/PTQb4nTYy9snt9w5ZvOvvAn7jPO3V4SUoDmlKF2TEMJOYKjSu6rNxnoKrB
4H0sJsxOR/+ue8NlrS0+fjKyhrHSPiNfhwfiSvjuLtGbvhGNSPRVB4mn/iTWUFM3Q/Tr8HwmOIBF
EtGqyFjuG7abMN9Ed0BufHdnBCIIwSqXIpMjpDIzuiPu0sx+G9Yjc2sG2m45ZKq+QTFBf5ftDFMR
IXnLuOVpKvvGsRFJr2WVt33ttXanpueXQvaBIzwd7kpSFmT0EgUQZJuCL2Kq18wFWgj68cp+pwxr
nfSxrggkusIPwsWEVsOYVghNadv7IGlmuDbIpKDurV5B3yO9+3pGhxpkqzR5SJOPMNeXaATnyk5D
pUu7N8sDBJfaNj0Y+DAePsLwYuxoQfqVkOFH/84psi2+3gzLAcEAwkP9uIhX/UyZpRmbhuqCCLj8
bdZsSXl2c4KONiR7z0ZzfSbMFPaYW9irVJBcTH8NxsZkE82jQ8KFyAMT5QC3LX/RyH+DFBwvOrY3
H0JGE5cFbpRuAS2EHQF6NmRFieUUjdcTvAIXGxO8O5qLEZeJqRB0z4jgU0x4EHYxSklH52RG+nLi
gTqsoO83DjTOovFtGJkyy+GWCP3GfV4eLU8YwxUNswvoH338hkhbl59ZzspkUZ/g/7IqdHRCqa5l
idXUpp0sHmbLrIR5yE3mcLgly0EDRF0QIZjRt08GyLQrrG8+F32t7qiQwjOCb43ZZrrrkSOSI02N
en4xi/0G5se6p0FsyK6qWxe/2haCCkfS7UGZNX1Tc4TblzM4j0kVgs3Mk5LHHGu/5wwdWOMztkAB
hlsf2RnZ0+R4/HDmVs9BisYz8f4LaaajEzjd0eR40apDS8GkcWwiiriwHlT2oyuQxEO6E/bMcomR
WtZIEzf9XGYriKibpB3qXioeYqaYAw4EMHGWqTsJlA9qBLaSkUdwTfVNKieVApYm+mVtI63VkcPW
OuH4BByDTIbVYT9Af2KULR5Dt5/+IB1Y0jQn9TSGxPat1t6UQp11iQ6blN+cf7LDInbuB1txtOto
JQuIfsHzWO6lmeE1TgNeZFAYGVTbF2RgJLe8QhT38Qe/kP1irc6vxvf/RhxEyMW3ciSkz2REOFrq
XhyMbyobKY+GllueSZ30yzLxcwED1mM4ggLECbNKVs+LPu1pTdG+48Fk7+rQ6T3ZmrElapZ0TtH5
NSUSmCjdoMU3f6qBIzZ0k6BpYl93y3W65gqIpmRrrnvNfP82ywEQNZRZ0N232iRdFi/7s3+jXKmn
r8BYIeAmluhL1VZi6yFo7K9M0XHsTIbuZzxPZzAm56zcEZ687PbYIWdyFNKZe8wCVEPTwsV6iZrm
cWLeoHm6N3R88HHBos4+l/axlTTI3upy9IE1hqM0f2xGqi1IjrFj2kq+uHUOl5T59osoXBpI2U++
iX/xmZNwI+QOEy1XtEZzBD/iBu04FSVNdIDngoxy9oLPNXsJCq4ISwdy5Ps0pd5vb90VWp7yL+5w
ZXAN/rf83RhQH5qiawapRdJgbP0PN1lTZcVY+WBjlMNZLx3QFWQRzBgbPdtDcmT4SokvP4K/Zk8E
r4/6k9hCyVeHVQ5DOwbRZqadgFHxHyXxVUxozXvOcSCOXTV2/9lRIf2vo4J3q2C51EkLlYzxH+bE
9/2jP+4SpjFZPNfJ5s39Th+mTvKITVNms6casZevV33j/fMrq8P38D/fkyoqiiKPR6Ks/+H/k59h
lxghrxw1djajd9ArZv8AtH5lL5yi2IOhNsE1u1FqwuJpMtVzu9EYxEPN48JAdSCsWSuOvdjXpumk
5LyaIspA5HqCjXFOl9E3Ikcv88TFP79z6X/NNnxn//HO//Cmt9UoFPURUV46ISAFedrGpV41FKYq
dniraKZHNXU5PwGgJjnU6e9/ef2/vcL+4/X/uMKkuhbyfPjNolFQQIqL7haOKpksqWHbOI/Rv4n/
YjCS//Y6+Y/X/MN5I8i1mOgxn3n+WFAEvdjbgSRuAC+LpenWWyaO3Zl1JSBEQpEQ+/zIs/dt/c+f
/F/fxR/embqPGv11x2XYhKvSie4+LZsyENbMWCQZwKd7YxzNnFCnVtKKQ92B75sxKURoWvwYIP6a
f7HzSP/2Y/xhL0y06C10D94SKSTKUE6wHCqmFdPet4tJvKsxkX3Mf/4ejH95UeOPu/Y5+n+cvWdv
s2jYrf2LkOjlqw0Y9x7H+YJSwcaAAVN//XuQV/uZPL6zY2lrRpqR7hLa1c5zrWOVYpXGzDFnaZYL
EyIFByhl5XIlZZ5SeIXoNNrrpVqFLJu5dcwubDIGby8tgOJFgPAkmUXd+1Wexl/F60n2SlpdONyh
gpFOVCHmk0nt1p/xgNfauJxGpN3A16XkccoWfTqgtFK/O9+qPrh1MyqcMVWRkzg5v/NbJoWMppIN
20V0kDVHydEKD0KNPA5FQr5UcZIly1w6tiSV6DRG/G1eDBZnzC8BQHV85WSHcrgLxyK9eGRS8O41
NKR/P8FfX5thGoasqBJ8NO3ue5aa8npuCzAP3H5dbjqPzQpq7EJamd0C7aQmP5g1fv12f/7Eu29X
zWtDSiSABgX6uIZOIEHWwSRrN3HuBqyLvbdfL4+xuq1kaOawz+yWkhAS9mvyiTQSthYysAsK6Wj3
98P41zhsaj+v7O4TFpRWEW6X3jBVzIFOZC/Zi9DO6nIUFh+iMv77h2n9vH4/7xuWCpQKv7CFf+x/
r4+m0FzS9oLv+5SgKfVa/5k2b70gqi6DaHilfDdsOfiky6zcV9RDetkeNqyEUNd5RQ+0LJfieYRU
8YxHKqf7MOt6aRTVQq3b6OFetF57DVTnCqdtGH6hVNhB9zXMRVBNDLmvFsc3jfRORsFQG7StJ9VT
lW0Q2bj+FLFwaTx4vL+usT/v+G696EjoTtqc0Wruby7UjFQesc4SKkSbU4Q3wfa2Xv79lJXfnzKB
iRILrGHe4//KSKyksONndsVETFdWugyhRMm0gAIUauVMqp4zzot9Ou4zRYeLogCnRp2Wc958h7+o
B+8ZYZ34bkSNJMRh2HoGGXHyUMUc6wbsZYS1EgKihHv/6BPRf5veDABP/+fi7wZnl5VaBJkRwI4x
1oke6g5stQZ6c8zxXJxp6FQjgdmI3qMyxKdWyruQ5qiGJqFzi26d9vqMi9QrS8CFoPPdpNeXazzS
SJb16dU0Bw4CJ87FmTxLibleEIXqwpcgd7dCAsz5rD0t0Y9r2hvlUc70YXzwK5TRn0Rx6/pLayKa
oJiSvlyqpVR5IaqG2lMoeKRoMh6tvL/tk6ASqDqgNkNnrrobL+dr0SVh/yZdQ54V8iix3PC9RskY
kbtBJ7naXv3jjR08QdW3IUGsjfpyXiCSE1FsWOdFRoAVrHF6IrnvNau/P7TvH38/nMG6EfYjQ3Zj
M/e/L+9007JLc2Iz0iwJoXBLJ58hVBo2s2BarAkhcqlqneYELF6mpdva5fjsqV4z7wMSR/Csjn9f
jvEvy8HsKXP/czl3s0venc+nVmQ5LidYBt+NZ2WGsFlA5g5An4YCwlA0ZNKseJqT44Zga3d9TsCr
63Nz3cMctJnW2S10+QGVUWQ8ptYDFLPn8sjUzByzo74hUq6LJuHSQh06wGJmU1lX5vHuuqEWp33S
ElCcdBveXnTLlSDJh2NhnE2FKb2c3p6pnHsd6N/3rfdfwb+vQZMlSRZloEl3r+GqnbLEqhgy5l6K
9jT+24UafVoItmjxo2osmemoH2brmAZx3m9VBjKHdGWMY80Px4n0XsCQ0eu5QZ0/nbZMlArwF9ju
4QT9nYrAXWOAOBSYOJpWFue5z74FivnrFDmxsEkKCrLZousmbS9MoH2Ixgt9ZPxeoG/y2aO5WHs6
ovboFNVA8l9bOqNX19BXfn6AN8uTUowHg0f9batuSv89lrvPQTRDXzNPDB7KNdtgcR0j3qdWs7Ce
NeYFjrzPbDWMyu3wJ+BqOppjeXWbdAY9J7C5ZOLSudSAudO7fcpcKNsgqJBKnD/Nhb+BfQko1kVq
fdrKU3y3dFD+fq3fo+ev13q3dOTXyFfCfttNbRaFiwFL2s1GgtODFYqRrEKi7vUI+fTqVM5rO1MI
Rruu6WZOqtF3iy/elgee7YNFXP59mJm6akiGDqXpjjfQtNcwzmWgGvUQDplzgZY3Ob3EBFKgrPoW
O2l4v/RptIQXPQfp/4ii8eshzJRl0YRSKeqqcrdpaQpTTvSEgY7uedynlpMZf8kcc+XPqBy6ukcZ
9xaMicN98E7U31anHz/5+9d/HPA7KVLOWkPujj6/PUev5RPerpqKDV5NGvSX9alc3g5QV3ZZ0nPh
QS6zIXbkKa01YcUDWavT+Ki7+YQ2aD7HKNSXWPvGzyfcYgVj6IP9h/zrIPjvUal3p4VKU6vCvPCy
IPBSALohN/2MaHHgLlmioKre6F0YQ2pMkxBgX7xqFuk2n4twbdHwXmfUfaO3v79r+bftyc9neDdd
decmONU+l0T7yFbceFMuiBheZiN/LDNtDOHbN5OOeAWjdfbhIH0rvPNtWQ7/vgzJ7MfPP+NL1jTJ
kmRV/SdfuoEAGgtd/x0ThME4l20pGDW0tYonxOhdObIAfqhDQXNgCiOjpr8gDlFU3copSjGxHhe0
yXx9YWheo7zl6MtvL1fR7mgpGISt4JChMYpiRp6r9B3oDeHhkNVRoFbIdtk5oPha4CwF5kizWmHo
kKojzCUnwFzQTU63hmhiUphzR8Q4ZbaI1Tg9uXm2gs/xqX32PsrIpd45gQ5f3Dbn0E6evXBOS3Zz
fTFd9jl1sjStwRVNX25n5BFLq3O4zhBMFgOf0KzOZXo7PYsHaQXJL6DS7eE6Mud5wAp6nSP6tzAk
HVA34UdiheiOl3VyHb3Gx2iVf50X3Ou+aeYhCcs00HKPfAxbXTH1Z2txTtlm1K17Q+pImuCimDZk
YdXOmZTXDEMgBX15jEP5SEnzS6OLLZKd88wiQtG1QlYFtdiEGtN350lPtnNhE/IA7OzQHQviC4tl
h4DqufXo54jqqDqDy0MC7G+AgEvnUYyxWfA4QP79zSi/Tn0yYFxNhFMmGXfnuOR8jvJagd6D+Ed5
jhKnfFIngYc7lo83HqHWGatIRrWJNqLErQybSeNskRb0CVPf6jS6rkNa7Q+G1C8pB+x8flzX3YTI
cDLSqOoz0uZYrr7SzSmlHwVDfsgrHZDQYByoVxNkapzc7uAfpfNw1MGounyZS4xcwTj8In2O8I5D
/oZyBbZA8In66IKyBBrC8AJ5ZEpxfYnLLlnIM/+QRISijdApYJvuSSPpGzlnwGlTz9zEB3GRepe5
MEa4BlZii6pGPyRzviM8ct2R3fvl8/pJ0ZnAPgrBHobDj79f1Dch8N+x/T8v6ruI8mOeVho9Ta2a
ByKOuu/tz3VsTkRW0fwDTEG16q0HMrnEz/Azh6dpOYeWNece97cz6ewcKxfiKvfOOJDotnmaU+PS
257QCZJ+IBKlcZmcbDwebK4JicFjaDN5fIk2uR+Tdpr18j07cDlUD6v55eWyD3UGT3V8tBD+X2b3
/27zbna/ZAJpvSrpFvrahBmJzbhXwC546cN+54tKplsHM30rzBnILsvL0OB4FDGog2Vviv37qRv9
zP3XU7+b2W9aWgtN0OdGvttlO0ziIWp/UmpvnkTAs5flwyXdPNwcqIzYSGLbRgfzvT33x2RPkSGO
0HIOHgI1wJAFVejseqQOjUHEMDtxpshGY3+mK7aCLYa0QaTVm3plsVd/6oOaddf09IN4WQf4Btjv
I1yLhlH7pKVDHRwE0lh2ncxXF5zhSC0GbFZpaEvIczeF+WDhVX49uv03JM1+FfzxBTZpe227gC8w
t0+L4qmgXDauxtjUafkMRQKEMfFZh9sSsXK0DiaCk0wxz7P1RHN2pTnPWdSa5C90XdkhsNc82ZCw
LfvvN6b9uj2AjgaX26Bd8V2w+XGVcluVVn45g/V8jp/8dbQpEIVh2cEXwYUm5E2fvJigrgjJTDkX
9yJH30WnkKo77MbAEtz3dhnPlAmbZGt0fjWo/4JnWWJaHpJBtA739fTiAACQn/NXRCmc/fbX0Dt1
s5R4DPR2sWd9iqiaHnGrlV8X9x831v/6jxsrK/3URiGkJZhQEx8G1grF93Lsf7SreoWAXh1bG2OR
TBNvOKDNKEyaOV0DFIL0DPBjHEmVZVVH9T/QFAg9fz925dFj7z+eH1dnCrmUJBVXV06MJYg3t55j
aAFzHcbPJm7uypVJ2lCBtTicTpqDuBplzxqQ11W9Uw/lW4R6AHRJX4uHI+5h8gCagbqbIM7zSMEw
dx38fcVSv4L8M7R/PM/+jn5csXWhBRDlXDFYhDVsKnr8BfYJCCuEqiFMEOb1zDoNWxrYhz4m/e8f
/3ul4cePvyuEhFpYmWrav84XYYvtxal2Md1vaEA4GHEUcOwdB7P6nRy70YxeqX0b0Xj87PYCtMW/
r0V79GndbQLUi1EJbcm1RF8QXkN6TzOjZ9yFyRhLkwawHWh34PkrBchdQ3XdJi8CuaT0lm+FtzMp
jfCPiMFGWC8dABmMsWl+YGTB+RGj59pFAB/Q0pIYJQ+v61Zxso9yWe3DF33TrhM2FXhfRw2mRoR9
1oMp/Pdawo8HfbeTSE5SkFoZNxeOTcPOkGHntr/PG9da9n6jiLgi+A7jy1Zf1TWW7Wpn3bx6AwgX
XzmqsY2x+SSBzz/hKKFHDwNnjRr9BGDlGMzKZ2tNyZe6nIVjMiSm5vpUQMYTp7Creq3kNiVNzfo8
Eb71mQrDr/pqJ2smdVechnNKusjh/36Zcv+y/viuv8uRP75rw4i7vO2YAOk5UCTBTznW3NsKr+2c
jFjlrZtazMxUj0fCqB63W/1NNmlGB0c0SKT2nefdg6LarwVQ8783oN+t6Zp6MgufBg9FNZjm3XMp
OGVP9AOQZsf07U3PgvpIMWlDDaOgaoXQDxaM3Z0JrKVEgDz5ugx9twYigUG9t5cE4zPPOd4JE3U2
Sbe9P/xNw98+MqcXav7HMwcPyYsBIWpENAwqjK9D/FHPRTC6dciZkklPQ1AfdUV+H0hsXA0CKixL
uhvU8tkqKqG+Aosjj4+jRqIhgmu+Mt2gcDj6FMD+6PbMP88uzZ6W1FXYahE6hqNWjWsutJ6hFOUE
E9DCqm7Hvz8M6detvvLfxd2N8rhLr2WrcDq83SZ4mOtuUoZeyI7j7JmFF+jjoFoVj9Zjqd8V/Ps5
/vdT74Zfq+o5v0hlIwYUWyA/dgXeKS+Gd5U7mO/7wEq2dgUk5sODO/61tvHfHcv9r/8YCufwekUo
wB0jTcavXbzG7bzvbOsOh0jRmJ+tR6DvB8/4u9L04yeqjV5XQdk3s6F8BdOK9B1D8czITYEhuRbH
lebBeH/0Wr87dT9+pHQKark88c1dVUcwx1awQMzCXZYsWuiaL17iz4L0wfL1vdn757WquqSolm5o
4vdV/fipJ1+phWvLrOprU7/cowwKdx0S+Mxc3TRcCYbklNJlbKFfKbSFeYnWUj6qomMoL7LiSYJ4
f4Icxb4sjrYyCRwBMsnBBlAa+i0CtnLvppIGOyFaNA2nKb42odpF1SK7bQWsyqiIu1efbrGaj1ta
H5f2tRRsHyQC4uOMA08YDp96PxJWC/zQxZFehgJfSL158ZWM9611dSvhU4pGSXDQi9HFUeLziO/i
cgBuBvPY9Og4qPKbJj5jxQftAsOq0N1YfGMPZvv65OnvT/X33R14eDC6Cnh47W6YKPr5dDN9Zm3l
vV7kfK5r9EcWIWxjiwovedvvvcSJwMjLsA/6xXu6R1qJFi3xMHkSXRDvtOEeONgL1ekA/f51D0fn
YX/k1wnuv8u8X1ySsrOCQuR4Rk74ExsFxY087JpEKi2D9W1K8syusCUNEa7T2qmN059F9OQG20dT
7e+nkR9XcreodJWRtF3BA2vcwINfuSnW8idLNisGMjzksqkXf/rUT5GeeacJHQJtQ9SjY6L970AJ
UE9G237eC81IrlwQJaI6BhyfPqjZ/77P+3GddyfIq2rlkZZwnSKAxoqq1esN7VpoG46/MlfqUV2h
rY73yEoX1vzyxL4KaEK1b3sGnJ1hZXt78KX9ulP/cUH/HONyv06k7wtqgTGCUZcR2r8ihHHSCZhB
l3bLldKaJ82qLY1qxaPYYa8MDaw7XvJBZQ4XFhF8J7v40Au7YvD4C2GWuw+u89fJ+8d19p/ijxnm
Ut8ucpywa1DX6DMglwUeUc8D461X79EunAgHwIbJIQAUsD6NjZEjzWl2akQE45ibqgcdewxHECo3
D67s1yVN76c9UxJpFN69UkkJsrRuAyrQW9wa1FSbbZRzeoTLGPaXVn7qR3+l2yC07BXOrmmDmofK
5mUernuT05X+y6ZcRsvyUEwfJZz8fhL7cXV371clTVC55Vxd/o4QQM5pW2Fj64u9sEwSRJYIU93b
khj06q3f3JoYB/ptLg0GcBVeOhNtne1YMOieYgTBc80anlb+FL0ewuk88PAN/f08f9WSQA6XTN0w
Sfwy73ZNTROe6+wUotqbR6/Q5cBzNmNret1etuYKLUk1yTmNYbAxR6pruufJ9dOAgXZ9MFS/Owf/
rGk/ruNug5QKBQzgE08O5NsO9mrxBGZ0A4GpGCaExC17pCiu4/IVjCj/YHq4+pwCVjdaD9PbhCB5
E7N9Nkt3sAIrOv0Uw9lUrynMqCQWIltqmgk4wgeP79eBYih9M51msfV9uvsxUJSiOsmdItBAm7Ph
V1zFTuxl9IJufaTasuIgp8fINtgiE/1Mgkn6IEdF+7UuZCrE2ugGvdr7NaFVLrF+vhgFObEgxG4z
8el6FM4u0JFWcSvR9YFG0Fdk5gAuxxTcP0r0ScHEDyYIrqORMve35IFSIzrrEFIQM7fPlw3q2J38
XFeDVxN1N264UYUfAVm+MDxVCwH4dzyItoHiVOibbhwW0MRz1JoUy0d3KD+6w7u1Roj8VE1S7hCw
8Lp3Tsdr6+SGAGGaZIzzVR3Xq2bSJyPLbuJc1vCvsjedbE6JXdgqelC50Prx8M93ahHuIOsITXnm
/3tmzOTLpVYFttTIW9f42p2+OtoMqNU7l2XPCSgXrDDss5m3gYMsIKEm0wuGKKgGkoNVkrX5+Kr1
kMn34It49AE5zpgu99LaWJO6ih2OhBUsc4IrvvDtGm6zBDKZTsEXPVLHSOqvs+n/3I0p3m3SwzwU
iq5l/9obDq13YXtTQSaL66kkwKJrR+HshEVcH7EmnTbnY35sF+2+3kt9NG06UR1zYk4uO2wU18Jm
MQsSuwCAs0LzwFYAkTG4wNltm8DymePz/yyB1L7ELzWG6bf0k+CYVFvxNWJOrqbIsDanueHIy8JW
RuRDDwkT3VPVkwhttZDU9O3+YIt2fmQ9yTO+yoaaqzE/aV5vfzUoa3qQvCeI2BGHGKPEW0kLHzTE
i7JGXuCc9u2S1HO7PspHyUBCXvPbmhFJ8ZNyW1wH5fIyAVSKgaR31VPLnSa8HGkIFfhdc0qXYhgZ
st1nskZhwHe+1DIK3zWVhOzBGmf2a9i/35gqK6YuSrJk9EPix6QSikKSKhHFXrwkxlJ90ofA9iSM
zrSJyhGPmqXYfEoUx7iC+Rmq2SLbEOJlVQP9NZtAecbSHOyur6ed4DvRGL+f3S4UdVjrbrsgrOJw
mpf4tHZROQxfa2ZO5NL0dqQVeOTOUV47DDaDiqRTa4zvO34nijbBgY6ae6JOU9mRD6fnFoNBN0ip
fGNtCr5yt1kpx3KZrU4fE9KFtl+XeXoQHhzx/i/f639P5q5uaGancyWY/ZNZF08llqlx5w9iyj/4
whd0ztONEQ/LVx6U+tXrhjC5rTefgFrk3c051na0Knb4wstVvdSn0px7rADolJMLscIuNoLeLG0S
v/z3KvGrkN+0/rvsu0lDqsOmuZzZTnGu0aCH9L4kgNnNLNpUO6JaPRVnabeG5JvZ7/AEZvDFkF80
+47+yqj0Ph5rD2hKP/jK7lbcWo8zmVhEVtzn6t3a6i+Uq6gIIYEgaAL/VOYQLgVl2+1V0HgM94CI
0WbnU1ysC//Y0XA4uc2h3Gtv1qFPvEVBJnmGtaZMd6UYD29hGbxEzcAksIUeMLbqtxvGT2lywmE3
O1s93k4Z9f7qapB4l+lmpY5bcP2trULRXgVrg2ReLIyHxJhUB3MFf4ln455W5A6wu7Qxr7LFnN5e
+A9eOd/BQ0Wh0A4ATrD9Q0jj8/tGCufQj4RuBxauszyQCgd0iat9BPS0XRFAzyd/HqSobLm0R8q3
itQN7Pb02KL3PMDgVS5Ln+jQh+e5Xw8DP76Ku2On2kikd+p8FZCXgYgQ1sJn68QTYWFt6GZVGAcZ
hoB98c7mC+qaM326Raw60uwMePmDWUft3/cfs859k/NSZ75w6mcdaVtfbE2Cc1kDbnqWw+EFZ6Ti
qk85YGAHEwW+U0Am6ASGCeTu/YVGtTge1PvyxWLfLw3yLcVbgmC2BWHbVbqFSKbfHLyD9KE4ULtn
YXHewEua6g+KgL+KVX+MNPNut2DqUmZ1As9UfjG57pvjsjhFPFNkF31o5bAYQYdfVh4+9uYKOBME
STpDz4ottZe+i0PkmEXpSIQMsPxE2/o2AHKhfDxqsv++8f7v7X8vAj8m+aT1hTropTSgSbeEsvVR
FJZbjLB04UPmgEBuMrxf3LR2Kw+TF/qQ5MH8v530flzG3YmlbCPd0mTeujDFzA1WlBddL4yp4p2X
2RwL9FiDZKLbQIOY622seqcZgdDQFrZIStS3+kA3Gi7Cgxnz98nJ0En94KinfUsnfjydsgri+qZx
WeFMXouT1mk+YPLgwgKVQe4BGZmMFLohn9Uh2OcenkMyv8eirb3qXrGEI9LgIrAjNwLko5P08WCw
KL9tAy0qb5xBVdO07jdOgSyWWd4f5IlFCMiFSGxILAagpWnLKIg9f6J/hvD+MQBDrEP7MNW3resP
nFBjRpdWxjifR9KA2Y6FdRThov8k7GL791NUfzudWFTDVZ2TsiHrdzOMcTsV3eXGFJ864gTIsPzV
Qofo2BUnM0Scxrs+EYf0XKbKIRjswi2cGNqYOMmB8/bMs+fmKb0NwXUPJQLQDUzs2LLnPdXp7wuV
xP5K7iefH1dq3G1EzTBLG6lvU1zANAXgINNjJa58aXLN7W6Lmk0GzIfjMMTUPG7QTqPSL2eN6dE6
dst4kqq7KnaVcJQR8kG0BIvLS7n3V9GnL0+vqpeRFvaZ8hlfbdIgyFk4A+zGnAwegN03HSLzoLuD
zGb9qSuAW4tKhGXtwMEfWETbDxSCHt4xKSMByEleqBaRHVr9WR2HZ4E0iqBptfdbC7CL5TEuAZDR
UNNo4L0SB1CuMmiHO+kL8nSLS37Tk1VYbDg9dTQ9vT4rTwUztofjT9DHO2QaSmSC4XDMgi/BggbK
0X83D9Lx7wf/Xdr867nfzZdnucw0rezny3k7uc5gfUk7aZpAQ77a7NnHscdeXqGGh0i8mhbQEE6c
Z7pR4SojvMp2/V45xgSn/sx/pwDtJmuYRiYebKqow3qSzFKHtvdRs9VF+Q0jKVJPoDgpMbf12CTw
QiAk/r6pX3c2lojsX6ZATkx5P7n8mDwkqYpSNaamcQGR9k7JSoZJEoyjLLEjYPEfl2mByQhwwbh7
MvRBtCQMbJtiGj1hsvrsEIfBKXikvrd+O2tZkinzmUsmcUZ3g7FJT/QmGh71zWbP+VSpw3AVP3WX
4fU5w+PkY/p1MYy3uduRuOQ7DeyXrwwouAJmRxsL08us/jqB0Z1EBKuAUOtz1Cgpuc0OgKA/8rNB
D7p5b98rqGuv/Xemubikr067QpYZzC9TkMmc8F1lEm6CVfJUuuKYmLTE42w/1t8JoYWBvsk38Qfq
Ufiy2Xs3uhh9aAQkK4espyfrSQSisyRsr56bm7UPoePvd8fx5rep31I0FeW5acj/VKQMNc3OYseB
//pcTsDkjc8GsaJOZoAas6VymJAUQA3cHN6g6mRDv7bhPmKUllx/rUKlZQ0DOK0/p6DfGkhCaLXZ
sehT9FrCVsfu74/SfHFDAVMNQrDHrYRJbdDjFjns5U7D/yinJaeo6e2j2+lPkUc/cxvBkZpAffis
p5B7d2BVbBA8TnWsb09ANnSGsf5KzSUlmnPILghlZ6bbKogNKA+WzThiBhoG7fCaO1AGeDlL/Hzn
wC6xDtWUrNxEsk/WSgNk3BGOE0p2z5VrbA2TwRt4PLB8xPPsJcNtMajmgBnkGiS0BOph1ImzELoG
hQfOvSiA2jVzn+xKlHtqkVDbFFTo1c0B7MAzx2SnyG9ZtLoiJQZXByGEszq5DqNqBRwke7Hy0W2p
zWInjWwVPAq+fAhJB+1wAm1AqQNUw1G9zlBUEVPDRi96gdMXm7NAdiPZDUk+e0GR2SAqOUTz27L6
4Jw4NBaIKqnZTOmOkQVCpAxM3mk86k+1NmZLc0Wpcxj1MTsnsjNJF9xEe3UHrcy+rRJ7cD34Y22T
e76rHleEYm9Tjk0mYWYFQJewYPqdt8fCbSa3gb46fWLRIVMDEEoJsfxwOwGpIwuGyR0iv48HLreN
G5M38gnpSqHwMk8u63jeAodtZhBehRQDPrMUcW7prAAiT6QGLLzzECVZhwOh67l4pz3NMvGjMpDG
ITUOXnreCoLUtxvHiE8egYx7iPpluMStT90q9Hg8TT6K5z1Ddgyq803eMe3XPUy5cFPSKcInwhN3
dJZ6Ttv5rcboD6YJAzNpHnNVHCirXgwy8BN4IUOBZPL3OB+sz3NO5IRpT1mdkHfRuFBWzbEALfR2
fdGn9bLeNYt4ef7kXMNqFK4hDSWkhiAvVL1bbz2Jx8Eq9ILn2zwfViPtNXbLacE5Gd09BfPTB6sc
hzXfIvBNeupeUjK9Rv4bB6MV+3zmE3Ppv4uUH1jSPlmpg3yEtz5l/yMN9NotgMIzE/MX7RJuEO91
B8isfpYmRmyb/L2MhrX8Zi4sD8ZPC8XVZmzrsWM0bp/xJi3PKJdBM4lPnOzjzuGkCgsjED3JHFfE
3gXOFavF0nQiF8HzRyAuTDO2VXlgvLY7lXEESHRnegU5UXvdUYeSDA/ZpgyKA62zoW+UBx2iffZx
3dSzc+fgcRLlgf4suocOiPMl4VRM4tbTaZrNT6OuJY0y3dPvwkCWLCn57jRXH1bwQ+KX4EU7CAd5
T56768+MubC+PlUT+QMB1rwAwoh6gjiQG47eec+WjUn5SDNCYxwMLg3lMujgZ9xABcAjJ8J9Tjyh
jr9uEqmfsbgSmN9Cp5Hg/DXAndPRJZ7Q4Jjyvl3SHyQZgOswuC5SeS3z+JYxpKXE5SSUEg1B74En
QnQjvlkSRAAmMjvl9gWuTzksviPmDAiSbxx5YmFo+kN4Hd0H2mQxHCJbSwg3AgRPkHnFGh860lre
KaLD7sefXnC9nXq69Lm2S7KEaGFZg/A6vKrg0fQJHZo4YTMzyvPngqiQZCRrbke1jkdAoQMqcdAz
/PVqxecrfBCTG+oOkQ8iKyJjFqpIz/gnFrMH8UUHYDPcHTVJzisijTE2FtvgA6qfsfZdZZGy61qE
HNn9YXZ24MjOdQxHOI9WkHLxKEE4r7fyc1qRvQlVjrzrbsABAg5ifZu3uaMwbwuu2bjys/rebCgY
7mgdPCtfffAJ5Nt3n3qNOa4JVj2GT+duCd8lIgmiJ2tkMCdflVG0h6NKlwe0zhfQq6S2zWeeEhtY
4JdzwqAuryQeGAZZo04K4Iz8kRUeD6pyDB8XmVduuQol0ubA1KGrA5LIMIC5waKcoCfkZQAPu1Ge
ha3KskatOce0B+DiCU3Va/BUTKjGbQFNDdvP1HJyfSxCanrV3tl87cJ9NrWWsqPYeDJo2JLrizfg
LQUhRnYtRbTqW+4rO+QEfpwsOD2C1zWkzlgeqq0nZRsc5PV1Fq6SleXb160418mFjQZk8ZFAA8Tc
BZXrqntqRuW+eKE+3tNXq1k4y3GGUk98+/+ZiughLQ/MkrAkg4xKcrnJ5ukLxfTtKXCBNvhru5zE
kMsotINiYoTzxonmiFoWm2EmT0LTM6iEitmXXm1iecxjYy0poSdqg4gPM1sIEH02HWowFXrJa/qC
gfAie8IeUDOs4TibayKNk6GGzZDSPSWifKRDZKzdCFub5ujpFFHHBQpfNVQgE+P2Ozn5VNy+Qq8J
CJFj8VjkncOt2hfGEvEMc/EofMI+07fqh/DK+tDlWEAHZzRQX/KyW0T7yxdpH+en65fviUt6zv4C
lUQSe9RIQp49CFA8FuBLmdMI4njXw9creU20ggVSsYYhOWNTYS6TQtMz03QLdIX5TvHi1fiMomEn
Tc/kGF1GCeBtkXKLK14ZPOOocYkqUCCBx0RlTRegNPnbuzXNx9MLX0B0dTVWZXFAcG7ezMCdn40B
x5kL8YfAUdllldOwW18rG11JvNKicSgsOg6yX2W+PoESBQwXD5mSOkDMvXMxwYkDgEqwY9GuOWsh
fouewgsNELl3MV7rZYGlRSUex8ssT4G+1jmV4AAMsvpAoVisxlXJ/HEmU0p8M0MYrMG4SMeN+Fzf
ppdolGXA72eU7ayvQMYVQ2FvokyQ/8HuLLbEVuCg03b6aSyqboKaHRyqxsaKUGH3pOwDehOSQ9hV
nE0oFZCCILJkpWNYnfxhRGyKAw2HaIcbNNYR053bVxGBOIprLQBXkz5dk6W/b0fmJls2i9NH0UyD
eKgwriNIpXwe7Njm53X+WVG7w1uHEocUUnGkkyHAFkRzL/h/QI0Y05xkiYrmmxPWz11b06izDZ7R
s4w667pAeIzZlBpCx65xIubIt/G9sGg+sfoDkuJfaOyNg6QSh0q4UmD5vApUZ66OcVueqI6X/lED
cE8wNghP/ELtplYpf/JHsfuNT9pE1ibpBXvvDfhkqBCrxGEE6DwiUUDsnvym6EN2HgbbH/7BZpEJ
lMY00zkJdgmY/urqb8VSRVVH0YxyLN5gAEN0TkjSkMf5pt4FdLIvXjE+WWPess9uRvJyhpDIXv4y
4YtpvtJgVDlxgWyJtr2l9//StZnrW/5Hm/seIBsyQWckCJ83jBI6+uG0WLIATyAmEtJGVNutGfcI
HoIHvZZzeh8tRw03Eh7WGH9tQvw8oNwVzhMpPUWNwQGl0MnZs2vfyZ8RuYEDY/adxg50oDVC3B0G
D0qMrEb5FHErez5mJ2VavChv4RZU++UQHtJnGlg7P7fjj2KFYpdu1yd+uekH0i3fmpLL8vfxStd+
a6eCTDAME8Mjhsu7Dopey3WcVX6BsuO6gu7XeAQsCcVYv0xyfcOHWYNp3/GNiiu2KyklW7jTREtB
IgsGRT9LDm7GC5HkAMWnt5WIGyweNQZ1sGkWzWN1fr7Z8Ve+gyRDyQBnEJAngjWkwRVdqMNRtZf2
Cq/puwKWr3eoWURyD3ybvzcdifgDa7YKQGgAkc1JJYTSQCUmSt0I65D20uBYFZ0a1QkgEbpNt2Vt
zMKrDUcXt/GVabp1SbxJCuKOh9fCS4IRW0Q9totXtR2SMADAuKLqUI4lNusW6R7LfG7tQlh+lBop
PdFkxZ9MstsLAQZsTGgY5PLA/MpXBhzyjW9BJSX7Va+Wl2raFXag7szECTCV6b3fr41HQd8MT+Yi
pPCyr1rFpnurxqq6bChEaTbgw+bpOiAHibuu5vydtzcDoh4R2yXzylgoXk7XcUCRWidl180OuK7L
mISMqRQsWpz44RY/ducE6Ibog8CFZAEc9ZlIOFq+2ABAgtAph8Fe5SB0OwRr7cATj0bY+jNCVIC0
EpZE218l1DwNR/krhL54DBQz2xfEZrDQGANfsfVVyAM6mJ/J8boiSWhEyBFQ33zavcmRXZXTEyKH
cMkifxq1x2jfeckBMZW5SpbRoo0dYRl7mndDp26SATSM/z/uzmPLccRK06+iU3uo4U2flhaEIeg9
GcENTxgGAAIEQHjw6edDtqqVlZVdObOdU0bKCkMHc+9vzw+83QeVmYkJgOaVjBWtRmYMrMf6Qe7v
w8U//Xwn3zD+FmMYXFVaZ1Adn6R5/KVyIg2GpGzKcsWEvUVTJk+0BcAEWuRsTmIvlQPBFZBabsnd
c2RwDQRpcwRVjJOkPwov/RJa6kHRfEdxqIP+sTmRDLroNuZcWAZ8Lqp/maA0kWe9ykVs9KQ6K2bu
0qmEXgb6EotN/c1xU7xi3G+0SaafSCGXcZ4XY3TSD7QQmNE8+UCZVucb7/GmIUb/zFINJZYd7mNl
Ky2Z/+cBlShYL+ZQql3taPEMi1Fxtuu7jXnk9iXh8bsGnDeszXQ9ZJ68DuhKfwOrstgoaVN/U0g3
eeuOzYDWgJCSiXC8paQ2TQr2NUGchKZD1tmTnMtzOyF8+sCe2G/TjYXkeVfDgj5U7jkeSqNqQxUY
eaqYvvI9hSL5Pnt7kAgfflb7x5KiOhXW17TZKyi0BJ1FWnE7JGeusQYSPmxZt0WaEZo56nfJmSZ3
SqpJToR06Zxkne8FDEsWGskj+Qkr6YAD4QSf0q2y491n6GrZDoKt9VJvK4IHp+A5tbSg1IkYpnl6
xc/3APig8KT1EoII6YYjne/1SWZA7knECcykIwhXGTqsSrxFZjEhhLT3qKO8kXB/d3AQGa2LMws4
VboaRwBboRhRWERgabkPXvTEJSNbOfDLZRo6QMhv2yp1avZu+k7m6ZxINfoZ8Ci8gCKQCW3ZWTgv
6xG6dvZdkkIAxzcdgbQXJ6WWBq8PCzSASUGE0mhcvzLzTRm9uYk3o4h5DctfMiPCsJBcQtour20/
Vup1dZnJQ2lGYLoqRpw1wd67dh9CTttCN2WKk27rRlt3t7X1elNPUoXNckRQLZM21QZE1JEa7hJU
NRa3l21Cc+/MLOwOkgsqUy0IGtmktPOxOEBEoOblgMom6HhuB3HLLlWhSnu0jkqGCxGgwWiTG4y+
bks1J7UrJDJRcsFlj5o5nanRNSF2LZujTaFAtvAofNW53FbzNp7HTJfZjAK4k8r2NJT20O6Bpt48
sWbfn+/IY6meUxJhnCq7upw9jfldPjDPG1Mhn9PDW8crIaNjeqL00yw4R+26pBW5XmlD6qru/so5
Jf+UdvjubvgDMd+WRq/pGndDYGpMCmQuft23ylw4Za3LRLcw5932I9qo62ARTIyNNC2O9/3QIEDA
xWmYGus1y8xf36N/+aR+mC+kssxDpbSYL1wOKUfxJXhBBNVucLhv8IpDi0vUl0BMerbqSw/Y8HD2
XMBO3FBnegl8+Kz8pWnqp9rG7yeHH/BrQXi0XaTwtJ6rElH2W0FWgnrVBLsiGHmBJKiZTRDW+iCT
oByLAZ3T3HCZv6ERz9bSQvZFn/bgBgw1xcYKter/Sh/yU2EyQVCAygDtuqj/QGdg0s3SW4mqMn9J
qJqLtnk9VdRjw/6U3L1Y99LPQeCo+cll6AqPtSWqUX0PgDCq5+oc50oBIbatLdJUU0f3NHL6TbTg
RMsz/VzGD8VpV7+0w/00w+D7py3/kbAwMl0PdYm3tvhg8ZW4hH1x57oSzHHQ1SXttijgryRZjaZk
h9MrhZrQInWSjztZ/PXB97/Mh/9+B3/gg817LRVay1PRdtrHk+TXOVnXML/pIt4AJxP3WV7pXCQq
w6QRbRqQxXPVxI8y96in4cjsCRZbAdJQRsNdFG+uPSbGem7RU/xZ7tNhAZyV71aOK9xu8XczLWEq
SJO1wogS+jsmeRlUrQG5HYJE76dfvL7hrfwT4fXdEfIDNyQaWXNRs0F3OwYWA4aKnggjCaQfdXvD
45afIW+OHTFe4ioO9GE4bU6UfaDMAbIESQB4OaHoJTc29NNpek4p/BhuNmjL4BN8ehONboIcpTrs
0sek+XjuRHpcca6SX5+Ph6jS2a/oU/VXL+qHob66S5rRKryoDltdMCvasRnZ2bbYR0djzTus7apJ
vVkxo2jVTm9dL9o0fntz0Zfojk7lUrhMtvEr4mPOk8ZRIDNcyZo3G27rbNYUUeOuhxa+2L/4NH6+
jfz7aPvh+nshTU5LTW34NPQNTQXuZQxWpM0tYWBPOtpEgj3Zt/AP7deddJqnb82ee/lAed7jfO1g
bZQx1NWofA1oHizJWa8Yf4gs2um0ZHIgQd4mfr0O01OxrOfJMlsP0a+PXSDYbMXG66+EAdJPPVff
n8s/XCb13FDlwOQEsmBwZDcb9+qu7l5vBtzbV8YUSckyV22BwZkuMm4hBFFQifeY9xlFLl5rzh46
8dFjZXbpUbfeSFOg0HF4vXI3Eh7uk4pr6KWO+DSP36+A1Koj4+H2V9lCPBRvLBuVFVI3zTUFFgG7
e6vequPl5U5b9EE6BKSKk9cP2sdCRZi3SzkNSA6wcp7CatgSh/UB5wi3Z1Xxn5C0Cz79J18Dv7jb
FLUs8o21vpkr7UIVgTOUwxBQzG/DWaiQen26l6eWy0UzayNXpz/TJCw8MhYV5kIMh3YcuZwkpkDg
s40V6AaZjL4VpaYmBbbf1K9/fYz9/HaqyTpGKU1XVfkHNWWtm0qcBJwcz9X9K3hTXjA84lhZYCWa
R8T1iwfOm9GV3jDM8WzjQwys4rarepdsBtyG0f0Xqu2fE9TfPaUfztdWsxTpknCMVBQtnAv0K3Mq
pBCREC2wNvBhn1DAtVhclbG+sjYAiCauGWEt0aRx/8W4oYk/1bJ892x+OAlbTQn1ouHZGCUFW9Vl
hZKC4IcBhRc8BfvwsqCd1rCz4wuFy61jSM69HzUfWEkTeY2tpi3mt8tUlKbE65sHAjnQYLPXdKZL
LsRSXpbTEMhTvmoroXhRzHFClNtXdALnY3ihK4gSepwj6jZ5gd5mdUCyBeRVraxZuU3XgkVPWvXR
rcJpZQtjgMnLC76hWT00cD8/GWChAVgnRl3vsauXZB8Umzhfms/VAA8/rYkorS46/Vwj1tH8RFGv
CI8B7MvszkZFnL+vbMxVOUcLClP0gFTs8NO9P6Y40qErNYLf6dZRfUOYGcWJG0R5hnTafktmOYLa
UOkQSR89NiYsMBsqVCmG2lIWaT+ZF2HVlxQQMU5yP3xGQ9mawkDPCsC1dZf7sIPv6Y6oIL43X/Y7
7nsNpQ5nk8pa9ujoSMES40myNXf6jljrJzliNx9EBhFj5z1ZTYgZoA7JV3p6pS53glltAsyl0C6+
YA67N2lR0x/9XBPCQ9p485Ydq3m0JNCd5nv0R6/4dnhMXgYOwqAZ1/t+h2mio5t2S/vslmXpzqgn
joFigAkbYug38k6F1a7BO+XLFD0OoJc+DfcUt07Nc7TUPC5q1RqFA9c62UkRDX0iKo3PFw/Y+sIx
v9O27LfSEnScC/yntAg+nqaTU/o2r2boSellnJvYTupx0dPTCCoIf/VCeGe67+aQC26xu59jTtxy
2Xjd62BCGMkHk2LRPXQWMd7AuE/kYavHwEtBYjrSy2WqkSFOA9Qn+IpvzLDRRxtoFi/aGrvbvplk
U5JcUmIPRjVuP+oStDlX4wtVYzK90xxi+pmDrfwqj7CBb/x4pY0DprEKLv+JAT/Y3rcEJ64eB3Fh
eGQ9Qbro5LpzZROHmsAYYPwDOq2mYq1HJq+4+K7LpT5FsnA5PHnO5tCJcKOWBSBlkU5AvYvXjM5y
MBTVJa+EhC2R3hjkRnSu1dcE88CaKSZ647eS8C9O8716oHoQpS5laBDeXjtP1WlJmAF9yoOh7PEE
QIM9ophqxGfBYvq4sw2ODDc+ZP04LXcxjPmpFkYET6uqaz39+IG1ZRmzVed74+mL+keMEuUTXdLF
JFhiziAHfGGgD9K9Rh4nKKgt/xn5N2vWoK4nrlAed7qH9Iny6pDvSU4siZhHa54enygqqa3Mi2PQ
2nQHGMOSJkuSTAiWv3kpLR2RL6hoPGy0Gjfaag/6hSiXocSLgpnbc5Jw8MVe19vSmbOqFLa6NDN6
J6V75+N5fLrGEWQtAq98Z4Pd39BbALRdjbXlmJKdGksjWA2s5y/uOsMl/E9z5ncX1R+WOFGoi7tY
c9cJ5/RQGLb2IR5FFzxemadehmYBJKhxOc4crR89SG13Uvc2oi6JeBmSTsZ//XS+LT5/ejq6bGko
jwzycn/Q16XZs0jVi8Sdzov8etEz4ZlIuq0T2g+OKT4qj3qDWesnU0oRRshg50geKCK6plDN7wCD
pa2uyV5oyDhpOOeFBSQHmyf9wivK1bEARhPV4zgYE1blNtuOlmSm/4ny2QwRTQjZCrpsiSvux4+Z
7v71y/v5AKzriqWKGjla1g8vz0jzsBIKlesBkrNwHcwwuetHw7Po8/G6Sbu9u/1CPlTryAejdwnj
nJCN4ZR0/EHRUTrDVYrWP8IYAHbQAddccH3pmrN1czkeRyvtF4pHS/+pzEkn90sk4R8v0TDTfydS
qzJJvrWXntH34mY5DR0OaW8ZSvYpHn3ObMv0USkqI5lSHlrQ9jTs1oQarBV6BSEdtjSkRDPxQNni
iNAGCk6gWs9Am2azaMhwaUeEZ8OFAq1e1GWG+OgxyrAyl0jF6JXLZkj9UPY8YieXXc75niZPQHcI
pkPbeerO3AVrCE79Rf9QA9coPPVFWBToH+RjK0V+cJ9qoXN/M3b5y/PD+CCIWH7jbpvD9cz1K0eO
fM09a6a+lduILgXGCZ6kQtUglXHRVWieh751c/xDMjnGE9o+OjgmbdLT2xO7KvNn2K6DyK80f3+H
3spHNMJOKXNAeEikG23CLzx+oI2MkyG+yyA3XLrMoSZDUu2i+8rFjx5WlNedCzZvhqzZl/TQ560r
YvXpX/J+m9RLmSA1lRQxuTPHSrJ4XmwRan1D0rk+EiI7sjY64iJ9VwU7g6oxXM0kiHRkktrdigHe
rKEFYXU8YVLeF9HF4Vcp++gE2SbnbrTLN5eZcr1tym//ZVufNkbM7LvOx0BdlEacuoMS7SKMILHf
HQvL1mK0AixgxbRqVr1gF0hm7vat6mfWllDIlns/Pr6+9DBIFs0oB6nStjeY6VflOZObc1iOyV21
Gg9BFV7YULaJjCIOiWZrOg9Qrsz6RXoZh6+yq5HzaY3jz4IW3LmEQjk/kdOG1bLvARYfY/NT3bNZ
efFLuSpYIofGK6fapk9uoWy4hK0J6wqIGmyWCzf1OhxINBSTWwO/92LtSz+5cu4gku0qT7Kp6Lo/
mWc8DTEDaSKKUzY2GwXscpth4/Kl4oP7QfV1t8bgh/lRXt2+aLCo27GBWhkBLuSDvufV4I04BVOU
Vcxhl36MRHV7T6Y6ZJZGJbqEeq6EdGZkiMVpg64eLx2H/uOg12TtFoRSzciZ3z82yokpA1JOpXNb
cqnijh9E/oHdYrVC+UWRYTmhzWUSrZMTb1+g4O2UXdAhjy6gYUHi2jYysHy2S5qmufkHzwFFYHDV
rwAmTTZJWo/UlMdAF3t43XJSt3jWqAvhEVBvartsw5mcEPEfLw11ArfQsUuxdrMOBciQBy+d5dVj
Wsa8jBLxU3u9ESV9gsXIsIR9Yx6Ye4TIo07Oq7HllOunhUrSvnTTiFJjc3iPWg55DlndZvi1PJGh
dN9xX0UZiMoE8VK+5iBzH4dEdgsqim+ToUD2MVORaFFvuF8pHm9fgmOiim3IcjxAiq+9N+vHlMfu
SLN+zXgzEgnBKjucqi6b3CXMoWDkOfPmo3BM7nuuPEArYugLxjTqJ+z4yT6cGHN9qdICcekONx4Z
yU+M2A38x23h86gBhdi7NtR/7vIVRhwY8YhpST2WjRN+TKQTCYQd0B1E2uvznXzxdMcHlZSzqFnQ
yQZaxc9W7w1rBqxVqJ/r4nyhKHN4qWa9KlDiXXkguZ8WxM2eO45SfVEINj9wK8bMULS4161Pxvei
jd1Sc9IdHynptNAUo+dJ5Fx2rpHLkpA4wVST3WSXI0vUmZ0m8QE2SCHCqbXR9bS0PmPhBxq6OzHx
3+LEvavHS39z+0s+RAGRJJw58iw+1qw/Af9YpRuLpLzKX9Sa3zE+3vwCok2we30VPrznwzNVFL9j
I0OTkI6C+LWz3BYcK/aKctnmm9g83EufeE+K1iJEz8BPM7T83IEpfkdgjJwGe3orLsp0jBLgcncf
yrQ1HFV3bo37hb3K5IDAkNaOBcR7FIDJqO5kaJG7TOJchGSGOvML12zPSscPQrQUt9f5XmYycvdT
3at3dsqxHy+4oEBnS6/8XoEeJ0rvXivzqEUfjYZCMJ8yRtZQZGHvqTHaF2kmgjUFyUuo7EIBgUmB
gxssJfcajfz+KbhNQIMUfOSN23N3LPWpTC5IdPMegvNUZlazQnpSLR4rBF5Dc09Pbx06WwgTa45y
sj+ZmS+rE+PmFlQH33gnYSgQdSIS194wOuaISR0tnA4gBpM46TkrJDQSkWrpoqf6iW8X+EPDxUdz
qE583pd3mDWIPbpi8cFSlY1ub2k8x023qOsZLB9tQUyuaLLQNVbsF/kMXoxAw0v6pRSkvo8ubyGF
oK9Ww3flN+7DrrjUdurGoCjTRjlACv1Q/hMwx8CE1tnCtBzuMTeXwTbLFjn22GSDJ/ZBLeEkPSMm
90v/Trv5J1CrhH+QZZvrs1BTOZcoM9XHUctVu0IpRB8767AjJBPjSmtwtUSMSmG4z4IWBZNWXSb5
tCdHgUC07hX1CnJNcuQQOXAOxI1PhlE/SQKy7/WhgmsRskkWmGIpKBZ9XF/omizFu4V7JXUsgisq
yxVvXnGg3tq87ft8rCLtbY9Vu8gHHXeyj6VtKr7I6sqQd8/ULqk6vL9pyTa5+Pe726guKhho+Uj0
1WlLOii173NUhLy7La+cNHgrXvfcnflkG3MuI5cNUQQT4UrIjOWp1DcV457i0/wNyPkGlxfjE5K0
pRbs6punztT7hg+fQ0DmTeHDepjQAETZYNZ5LobGsZBNP9jLDi20GDyoWY4GLG2C67xxVHNJ1/dn
RNQWn73iGMIujScW9dUk89YO6W3iNT7Hi2ZazzOKIUVgiA3ez3djQc/mh3RU0NA8YAH3UTdX0AZP
9d6R9anQuD0wUHhbE31uMKv5wzSiuBJ88K+cCj9nUQhn0onRslT9x2UhCK0MlYjO7sKBubgfZVrM
stnts6J1HcDOiccJmxPCWarThDMEbPNlfqDDFPphcA5eVY8yUzdyvh4+GMz8hsJC2f/1xK/8FPL+
7jn+wPQQ7NKEbchzfLylEwSM3BS5dSgOxTGJ2y7QAtbxmPkWzGULE964Qz5AvL4hJ6dkHqnsV758
YuiGzNGUJW1YiOukX+Uc/jRZaOjD+v2d/GHIj4S4ExNJKcde4RTzc+cEM0Z7Y9acoo0XTx/jYEyo
KtWOBcFwpRdNEtNOljd/OLT0k/UqfHYM8nDNqM1/saEqP4X9cNiJEs9w2EL+uICgAhPqPua5SfmC
I00mkRnppmEria3TUp6OhZd0LQ1pklflhBhEp5LUXKVvIujcJEJ08Ib/pwy3jG2oER71INrBI8I1
Kfb6d3X7K8fkfzs//rTEfveMf+CmukqiAMWUocmcED8nOod1WxVYrabJHk2ypcIXWdLK4qohytN7
+wYqAtI8TpsW5A098ghExoBf8JSnp14DOvBGAaichBZJuXlW+1XIbm+6CEfKw4Pk2MdCpzQ0Rei2
IGrpKJ+5dxqAKIhtu1VP9iys0RxP6WK10k7f2mNP2vJhuKnkPjr6Zh1LWeiiZ+7Z6VfVw2UdAfNF
bZTED+/2MIHNO4QHmK19VDm8xzwyToyH6SZQpHBI0qg+J4VbQFiypANWURgBS3VHvZdtwuS1it6N
mjwAkAxmx+fDbYrxJZ+rmZ0Bjz2ceQFW2jg5uiEOrvz4uNuPO7c1gwHtOSLlmxv0QUZaz3RyQXA6
CLbJiczohM7Oz69gTqb2LZ1I9F2mvoJYYuA0psqgaOB+eaJDO3CeeP/FRX4EVZpnTw/5d7ZGqfJ4
nS7Rbs+5ahELPrmAr5ovbeii9xM9MrxX4TbdomXJ1g+PmigqSFyS48+PBWQbRn5Uc8kwMT0plILA
Oppe55J5jpnCnOQ8lUGRFmDblRxdQa45ikGwEM1/9dKI1t06P7SSl4sbpTqk9VESp9qy9HQSgjJv
0Oic+hUZzOKKQ7Z/kb6qJQ62FRn6dnEIGHNn+RjPpFNsB1BAfNeopY6/0g9uJUAZUEdqwdyLWKQY
A0KvM/FQp0ucCywfEkEW1ppAjfRDXkqvwqTogOImYTyrPrh1mhc+WbZqtPuph8z5Tp8YKjtpkeJQ
wADwGbbk2nyTnGEDU+xQWGjZCi0VddQ4gSkLea4qZh15LBDw/tqhuaXw/qtAYUzSfG7LG8scs4rg
2lszkh0bBP8B3etOJ41M5NGEa1/o6z6jm0Vm6IfT4qBg6UXyaeCl4X1+U45YjV+iftSlSOGW6YaL
OpLNx8p8F5G7gJU87Zi43tBGFSi9kZoBjqvZ0dNB5opCpkduIh37B3V2o6omrOrFer4LtDXjYEmc
JyQe+D2UgbyOP7ltyGDQfkxNKsp6cP54jhoNy/gy8wBD63wayaj9KidHohKxQciJS8EO8pPEIPid
wtixQSrRY1I9F/plKjwnWThUdWK+5LfByoqKjYCWdsuCJA3TiXAtbBOqEyX6g6mHmqMPoj9UA1hk
wiLq5mYLmVs/BkEVB0vdjsiHlnYmosVZtEh38UIb7KLKlMQccfLsHUIlra1Cafy3VQ89G3DLUz4k
NHLPqLb2jUXvUXw9B9ubJhwK7bvx2W56Ss4xj57eqDchqXTSf4BSTlWCedbpTHWGDBh4QedQjN7C
mTrjnffTMdDJOzwMnd/E9V6QG7VuuiDWAAw/AzYKvpRVjSXhuda5tCS2uug+knBwSDxMQvg1vF76
npIBadSd1ZOJmuE+MvW9CH1du5X1qaxD2nvHgiT6d0aqvkC+VTuB/C5itQbBtss1kiW8qRSt5rz2
ah4AAcr4FqGHKVbu7CrfJo9yel+Vs5bdwmtu88Lw9U2on3i7KjLDmLVI8IcwNLO52gXY1vyMBigY
Jlw/otMHDYXHquw+r+C7dTOy0QLMgHHn1cNeqmS5RjuYJUN1EmIxzvf7S/3O0Rc4v0oe/2kUgvXd
jeYHkcBTf2h5XoGWNo8JOusA8ggLuk5AkoLiGg6aWjzr3WBPhI99N7g5b1jaYXa6k05zt0+fLFeW
EikH4WmF0xmOMg2EKXaf1/aTdJR8lH1C0+jVBMKV9InynfZBQ59XoE9g0bxbFAXlvyDbZfOnkCP2
U1UzEf6qxg9MqFlEl/ByaWFCBQg+Xw1tq5zWF1dZ3WlbMfzQeod7vhdLAZk6HTYgTlv5yyB2/uU2
KamS3ufK6PZRYWvISCO2ZnmRTi4tPmoBL4nqahVtxtL2AYlyn9bjx7lZpzeYpWN+n0eUOUW7poHS
oJhCM0cKvrBx1m/uyUcnvQvJAklvFOyIag3aRXaI5Ib69FnKkp4s7z3aEwB+LsD5jkUk6DeNvsLP
CPvdYbTR3wqUYt3IAmWeXUVYxJC0a3AQHUp9z9kufXGc5vJY93ADTMmoYGfv7MuyeZVW3fz2mOwy
0okP1xQ5II5N2xi36+St+6LHrMaLLc5q+FgigC4z1ldtI+DRQE3J9E/ARTm5322h9BBe0tHa2JHi
3JtxSarJstrcprcz6l0UySPl2A+6EPm9EI7hYx6gOeytTX5tFoTltQJIOnN9ARJ9wXiPYUTl8nxb
5C/qVPEMSK1R4VBLRgOA5ujvz4Pp8zMXoj9pzTkNm/Dq+Sq1tl1BoAxXd6DO9DlW0D9EfoushS7g
yM+ok2LhJUtuW88hf6jXxHd2SyaAdBW338Bp2zWyiS5ZUhrSWfPqDKeJ44TEYoMcg3ILQk6AMsrR
0fSGLcJ0NaaWdiZuymnpkw437SfcJC5gCzduZBVuv29yyli2w3AiMduSQFDuydvpg/cwc+XgiEP3
BXlmddWJOvm8gOrRmVR4QjmlbAkHoEHt3LkmHRJLA+iNMMszVmFbYKlrvY6qdQ4RMonEbdNNqH7U
iRmlofkzAFHBaw1E+YvsB+2n1M53p9EP7L1pqkZ5KzqOXtDaubFjKMSuLayezuX4za3F1AbQN0Y6
1G25SL0m77Bt3Co6OmTJ/YLzTLwKzg+Q+3QDCWamQK38jtpIox3jPSf7qt2l5w6odKetk0Xviyes
myHEIFlOY2Mfn6iSD/GDEfT6rBCq/vVyJSvD9vSnSfu7l/iDJEC5h89LmkNOxEhRj3vOsRijgOx2
4jChEMFXU+g36yI3tuxQtRXKdlEMQNIG4WLok9MkXD++waljOFVtMyfftxYu7KN4yFeUYwB1AeQA
SRirhA77+6ExuikUqUIWyuUaznsOgW9vLpPHst7UZxFeAC14SQCDAyzYB7Z6LTc9Tju81Q8PvZB1
WoEmMV83MkKh2D5p4qvSubcTQDiPFOOHvqAyAMUM45XW4MqZBFcQ/0s0Dofusil1M2U35RPQcOPF
mH2wtQV+2Uzyd0wJJar524dRDheD4DJtvgbtPMkN5SQJF2m+7DAkcl//wNG1VUuKQE1bfiLYn/Yf
yoZGavrBo0Wh7rVDmdKkM+r32TojXRZ8gdQIfYR/Fx/LrV6F6TsHNYf23bsDMVBLOHoVoAY6QnbI
8ic+LvTfoEaBLZDQODz159ArINK6ju74Vdg/wfqZZg7yLJnexTm4XAPK3L2alIsw7uPK0n0TDQzX
K4MxT3BvICn9TstIifbQV+emIwN7N9wlXKM96OxE0eeQ2w20Mnh7WbTTSUMhVeflxsHSfREDyHPd
1cizYs8yFxHe6cgReFGaeW3ML8v/nPHc/CCdgGQ8uVYJKVIX8oYjMqbErZlXrvG6sX5xFOs/EZfp
9Pdphk4+iy5aP5ynhtxksVVxECOkoIAJfuvYsXBYFvI+OdtoD6e9u0MXSDMZdFPVDInfuWRuBMDb
9NiU2zW1O8TM5ypvHd3Z3uOlmgoHTuACFIyZZWWdy5faGqVf5QdDonEm5E+UQAexhVN5N87mVJpD
+AcuU26UYQ9U8EhuGpeJdUsGOkveL4he9c8XJ4soSIU0T/w9MmzoH7f6WLQucWIwuhjl+LZn95Wd
Vjwr5QTD8+3CNDONdcUulCFxlFSm9BA2x0hBe99yaU3HmRmi6yZboH4NsfIGrhkd7/VES5fcQM3W
A2y6WZAK/cIQiFPC/m+3t73MPqGfRIyogUWUDSZD9WLHCveB242Uc69D0s6k++0q9R8f3X8GVw7+
pA+ytPznf/HnjyzviygIqx/++E+IA/7+r+Fn/ud7/vnHP/Ij//qVDkK3P/zBTauoIgvhWvRbTJlJ
9e3BePDhO/9vv/i367ffAlJ5/cdveVZWb4mdfV5/+9d/n3z+4zdNE4c2RU2iF4yOOa6rfCr/8f2D
/eubl293fskQRM0F979/7//689e3svrHb4Ip/l1G3alZsmEoKk3xv/2tvf7PV3RRMjVZlXQLjSVK
xDQrqvAfv8na3/F+0XYnKVQWa4yDv/2tzOrfv0TrI9GD/JCqUKz72+9P9A8fyb8/or+l9X2dRWlV
/uM3Cvz+dCf5/pVLP6JMVpjkoXwBs7noj3Fv7EzQLgHNDCStx6Bbs5ehLtypi/QjSWySrS/u3VpX
djjPKNYZyu1d/aAfymLLZaXfVA+HUjH2G6OYgseDNHUAo4TJDzKoF/mcB47lg7V1pGdKnON0XsTk
MmGO5H8Lj8cVzVM4x9WcYXNkpAQgZ4B84QsMRV6Li2t3I05lxhaVfwgzeYG5EluEvLigNR3FCN+5
ffsizgwZPwy3/pi5DF3aTJhh1Joeed4uGRErHvADEPpyFcdEpGkjnCasaKMH5z+L5bTWHZ45D02d
G9Uist0aNnLh58Pn7RBxe4NfD3+dux1JIt1OIKzhBcptbiG7npFw1NHP2jjoYM1rQT/t+vZSFW6C
jX7VnqE4J1lOu+YEJ3S3w7lG4QaUra1O8QvDpMsDU0udYUnF95gV+KUcPSvbYAxd82hB76vnezFv
L/OHAVXpmtfY2BmIvIYbrDF7DwY9ki05dCl5sR9D+sIFED4TC9Lo7j8JG3mOpf2jX1RQpR8AnkFo
D1ypaL+/S2jCm1kGe7O3mA8/actCFkW0+ij5tF7yfVDixYdPvfu9BNKGPo/9aR74fEPA9P9ZfCpz
aR/1Pu8BtohvsoB23DBav/DXAxYV3H4hoNFDPhmh5MM77mhYVhD/gLeN9t1oC+SaFnZElbO8Je5d
Qu256bfIi1JEUe+xwbEEX+kNZV6GONf0iYmQTgvnSjiv1Rn/LkWyXFKHxJ16Y76VaE1AHtu3hzgt
1Rl/q4eavQZy0ubf/Jkf4e/hI9vweHwUxuGG0sJykUlF4rGYyhXJoxyTfmIDANkmAtRqqRyUq+xH
DuEkZEAaa9IV+CqIg9PalOM6F1gt9guXDqqZ7A0OuMHSfSpGhztJuDD2xehVB3yDM7chlm2kE4vn
mBPIg/q3UceRraLyQixAzMvX0AaaeLH9gS5ov9Tswx09eOcSqjsSCcKgeJJMymbc7qrN63IEt2Ub
rsqchceXzwU1AfiiG+EPcyJ7eAzEfWM64DS3meZA28+tSiLgc4nIVnUMG/PKaPAT5r6K/HzoRCs9
Ypn4KXUyRCfz1whJpqc7l33gMlqO6T9sdubbcDborobGpHhFvxLamFWpXMOK4kbu/slxGEwTBDFU
R+GIWr2fQzu031GsDrZcPv+bwy/j6L3QN7ow7Q1XEodFzGbh5gi+ObdVNL05BJD5hBsSoDDE+xoz
/HUeaQnrd/ArSIbUMVh3gxlS1om24jha1e7D1flH8LkKYD0nvXdTOWekHC9Eg3mpDRAAmSqOW9lG
E81SBYTnG3MDQaivOVW65xwtXoUscsv7SrgaB3IJUiTwlL5Vm0qd8fe9mVHidSeCBhl1OWpzqscB
soamamsKoEl65Aej6yh3L8FBer4aOfIEmSTkcSEDlgauvG+5zE0FC2oaULVf5X20ey6FACXEXZoD
nVb9pK1d3QfxyajJJk+PSHB8hZayxe2nAUvoHWrKNuI6/tUwxkqw9xWg4xq0lHU4uq8uyYoS8gw8
bhLFXrWp6QgV8Mau+L/FMIpajy3fX2MLA/mQB8nlPhxtKDX3b70vMxS5KcFKYNL2jAv0XRxz0eUU
zThRkaWek3/hIv+fzhHclymAVyQJpZumc0v/qzlCVKFI/jhH/Onnf58jpL9LmqqCCskSUeK6iWDx
90FC+jvJ8ORxkXBO3OG3L/0+SKh/59moCnp1DVmhafFTvw8S6t91me+3VCq0ZZX5+/9lkFC1n0zz
mqaptPRaIjOLNXz9O71c22RtnQ6lJxknXk+2lzRpZ5dt+VYTyhCOk/kdFR/nJsIma1x81m5tGx+d
U0yMD80XXcUPxjcn3BkZWrrH8WYbu/ub9AG0p47VKTfoG25P08Vc8QrsMuAnV0D8M5bN90K3BXJT
0k1Eagi53LdD4elLMNlDOX2olKlzc3BSUpi43wfbpzSy/g9h59XcqrZt619EFTm8SiARlKPtF8qR
JIRASIRffz58z7nb29Nl71p71aoV5sSEMfrovbWvbfMFEhNW+Mlp1c/SrYJKxbu/iWNhhsb2MrpO
tDWeqHHiI9/hi2aJVrFmbrVJ9FROmzn64o4YzC5InrONFDk335zenAbN8PE6Qm0QDEl4fCVL+ljl
zl8Hg16TFW7BiQ12Z7NnSD7WPKbOpFRL9nmSzcE3QN1FASG6zQsbzkbzzLngdv6gMxBm7aPyAOKH
6DHc2760Kpa6M5/fsJeip0dhHEDZRsyzfWmP0Tzb8b2/FlMrGKI0brtyVtrK4uzGJO5AlFzcAhIj
hIUCt1b0yrn6mEE72GVBsed06RbjZkrb3xYm14NJdLu2pBFpjo0VqnN6oyvORUR8CjugFUyROKSO
LrZpYFC+zxCfvrQuloipaMHMivbFHPkJRQcaaXNFiCjS/szxpoZPBiziWsnFJl5AFuAHuB1Cj5FS
NBXRWY0YIR00h1SSx+ogv6Am5vfe3tnFkL9MLkvlaIwrtiPOdiJG6fV1yYDIZmvb5242ZUZhOO1o
6tzeDCa41qZ1EiA2jI1oK85RwTsXT1vJL6lL32SF1TjyTsv6GG4xmjN8Cno/fCVhEggHsw55ZbAj
QF5m1lDawlQBXjOPZnE/rl1lOCyOkx22LNNFNbYzl1ARbI2egLShHbfArgXkzkcttbamKG4Poltt
yklOSctEoVpU/vk5mmKKz+Yxmm+PC50jnhfZpRnhI7fHoikF+RqQAwDt6xMjyPtLOMmm3J81G0rM
L3byMWr6l+d6c9nQcQzKVe/EQbQ7beDS0oagqe+Zx+q9moov9fq0Dhe4/HyrGcsu6/lLtGTugSwE
9I4vH+Er+Ln9ZVX730PH10PGj8RAlgX4poYiGtL3AO+6liND4Hg3jVKvpO/mDzPcSzvCZ50jUInH
nHi1bIGmSW9f7+Ifbh7p3yM3cbmqBVNDB7Mqf04TvqxMSaUJapPAgq2UQ8m4nE4Q52bRu/XTpNjE
8vO5OVwfT7odt56IpLBZnLQ/evuDmvx7v+7rJXwznYkswabWJ7CbJyofj3RxGt7L+rW+U+P8cbcH
XcAvv5f2TWsdNd2p7kUWYpFBEyTgDQU+9IZGoQq0+jnNL5gsafdHY+PnyEjNMk1NI3dB+ezKfrnL
WkZSYp4QEKIXC9KgQlayrrHPS4OsCizx8YTCJZFnzKZqiQ61EPslEYlpBZNwr1//X+/hv1oP//XK
sY/+exO+XM23Bql+y/UKODhp31SOwgUeDoaY0L2m0172Bo48RXzZu726+v3uKz++bF9+4+FN+HIb
rr0mNPFgDhcHKFZ+GJxjxAXZLQk4mpvgN2TJg7VOiBe0AWX9Sjfv8dUYMwcYVsxxPW7f1Zf6PX6y
EKLQN/yDwP0ptf/n9fhygd9exa4y64t1JhGl8SV4eJqbb1T/vBoyaYU1MS26pzr32W1j+rrTSOPL
DAUFp8yAB0vgbrVAWzDzUespD1kA/3InuQyWHsIPPKDU4ut8ir2Y0x3QMcWVlxUA4JG6YvPkLxen
OXlI95G2Dmf04JhP2vlMtxlXqzOlcZqjOW5cQs6X+RJp1yoPkDzMiTafRExY+zm19TL/a3H440XR
v30tqXipbpbA7WCTYwcuPnXv8OautBGSNyBzDd6PAR2ELUqVXn5/W4w/3pbvfvg87KW7cIaEe76N
UxqUPSfVhMc+udxHzTACL2a1NDOMvS6Cl/Su1UGIXuCcZEgETUTfhMXb8eVVY8ipuGrywXQuv4l0
qvP5qX2zehWxbP5hNDPjSfsQ2BidUuog6XEi5FRYQ+hgjtwa0DWYai1ecSGJF2F0r8akTiS1B5wC
CepIFqcnYV7Tt8b0o2PcYeL9KrfT4uGEcKXHPRDIIyTefsXNMoEoUbdcBnPE1YaG1xtOz6fw+51T
fyo3TYNEHYpiGWzvcGe/fGe9dWtzo+I7u8ZjJBpNOX65SQzSnFsO5G8swXOuJ7vmXb0ta2EMqQX5
28XJ1/1Rfrw93v00BZpu7spXvIZS55joEkbNzno3UIRfjx2jlAaGHKLaEcY3WFvsTRw0CTGp/liv
laF3+O9aZYp0+2gEGtr3V1Doi17QMn4UKIuEr14d1bBNc5zIhPxtGmXXK4c832YDleRRKX0RUasB
c8jFy5FJ7oW0UsFvMq8TtgUfo8nz/NAx66PPAIL9YAIZtsZXsCdANS9edZ5EhIQkPjjCOnHu2SaU
p+B3aJaxTyhISKBiVbsCl3I9TjjloajqZydbFO4TS9sTjNmCOVW8sHIgNssILcFxUqnpi4wBL+fS
Gqtm04Ed8cRsVz0BJ0mQd1A+yQDgsXQiR8IOJmjDYFNEiJyv8nAdUpoXWJpAtT62C8M/bbQ9M0fO
uPThCZ2gwHTqwo3r4NZNEzDnjVs0nhKiqp4g9S0jD+1tZpfhh3WjogRVOYsX3axGOII9R8b1POq8
+Kldogu7S6MTiOeayAi0twiqaqh222zL3Hlaj8QVxZ4ljpUnuioEmH1EDxXRgeXMek6UBdAYtGgJ
mjOTQYvdvSV3D2eOytINZ5s+SehJQYg+Fxgu0PZ8rm2gvLwYyQRJOu4aaxCHMUB1iv09UDbg/ZSN
+UhVl7VjNO2gnap6VLxTyuMPOCWTO2T02L92LKp4DUbEpJM8tE0dDC1HAzML5VoxQfOEXMwW6Zlc
Vu2OCJl6dOpnCrY64kEyC35ukQO2kmzpGNco3CNEy0MrbYCGo1VDeEyHEh145EiF5Ijh3DJWFe4k
xrwzgQFonGCZJdQCdiseVFYHCzVFwrivlscdngCLaaD0IRrPV/psUYWS5SlDWvYG/JSsny0GlSfI
t0Bk9HQZF3SAucNgcPFQd9egElwTanxPS5U6e9dKk6oGLHh7DAsfFzwsjQZTT+OG/abBuYDGEfRG
UONUi0Av2Z01gZ6MMgUdhyqPWnjR5gBtv+0MFJIfLSeVZiyixRefZZD5tbrqITCrV97c+7shBRGO
kpTZociUcdxJPq3Q9E7m7tbEbgqdVHYv9TKdXxGyGGcQXSj8sW1wEPgAGY+NP8FlpTodBgLDBsUw
JGnQNO7tOP2jilZ+XPG+LBPfJkd1nJwUscGxSBdraTyUm/qNBtvtNBWO6nuHarnkuJXjAYMAbqP1
cWO3OnBh4qTitKFyFi9YCKl8BifoGEDghf7y76vyp1f/n+LCHOo/ZbDyfxYfX1ZlWdFPqZ5q16m5
TzEaoESlvcmfF7krAX1lUgXidW6uqhdz1k/PB+ziru4i6VPujrTqNr9fztBN+WdltRjnaPLQ/VC+
HzyqqOUSL3eGbVuILQxr8VvjpX0oF+ohfeAlxj3O2LqIxjiNF+KqJjn0tKU35kHSRk6i1s79oADB
53S3b4cVCdOF9F7vzU26Tp1BxhFusuPvV00P5sfLRpbMhRuyaHyrSaAh5Gaf36hJpIS1dJ4Wy9aa
auLxHgUJgloJvjko+W70xlQ5E0ddh8RKBU6KDo7mLcvDGyY3rPo48Mpx+1opi7AMCGYAGaXRZsSy
zVjb7+b87GFqM0+/KttMXZTWAQr3BdcwUqc8SK6Ozgx2YmTbuPio6hdKB/x6H3WHSxR3AzUshLBe
9arjqWJdHA8SUXq1D9TXh+n5IxvXyEgge19Hr+KygD1Af+AA38uKx8DAtMa2GrvYWSi9u3tqIxDU
Cero7fMt0CJcYIJlCw5qUBMYDQ1lWFrdmwF+vH8vs91ViSZ/3PefijGLI+r/3fZvH1icnZSrmfK2
6NymK16mBPSrg6pCpPkfogWMNhFEwTeI3qFTt9EfhQBduX+fuy6KoqEPtQC9wW81jSU1XXkpKARq
2vS+PC+ei8V915EN0nvcji3sVpw+M1xs+TM0CnVcv2VzxU3c7BkAN2jsdp6t1ECYCQEeDDyGRIo5
b4ZdOJnJICuyqzlN47VMVyexy1GxN1/JWpuGSxoHc84kyZTRS7gqQV3EK+3hujB963Wwsrl0KAiS
W1ZH+Z29GC+9uT5Nusfck8jSu70zh1neFtKxaZHVyEzrsaE6Bt0aLKttwG4WwxrGCfGa7RNQg0Da
puBZfSkAJlC4SlBMIQgcdP5RvJUC0y/5BXj77dxDvoK4sR7VnrqoiWCx5+1Wbsf5Hr7zot0Ctr8H
9I7mNWSC1i3XyRPlgPxWjLlJOIqZOWDhngz7LYQHv3sI3ewdKjQTjgJSOfxvYzpcDW79aeOAJjhN
EujPwpoVYA+ywKtPtGL64+mozRmTfXaZrDmqZ5+/g5viAdbtW/mc7GuXo1MGg6k/sqyo42zRPsrj
inuJkKgOJDc+lDsa+kGyIhtvGm7Tg7Ig8kzcpgvQ+vN6jpZqpTg0jjBmwD5yaLNdFsmsXFqP8X7o
w6VB/pIGVxgEoCCcYK7NlIcg3d+ZQs5QQdv3A8UVxNztfZHvej5sZ+roE+njhpYBYwz6R//Ev5Iz
FUncof2YzsxxjmUZ1vRld/baJYHJm2LmuBFNRskmUBSqwIhkC7ucxOvIHNAfxu7qB3fmr/mzsEV2
AVYVZmCCV2gC2S/HjXk5nA6CX/nmCFdNNwsDcmaZsy3ZExMCBYObz0nrPos2l11Hd/DqyPP7w92r
Z6UrTwv3PCal3j8vEiIGk7eEOGfu96Gfn9x8gOQfoyUis2gSHjHkr5mVrIZ2mzCFg2N5OF4XXCY0
GwYfq3StrQAf7lGHQ+V6U3aXuf4ieAWYASSiS/y5qVfNbs51uEIVRqU1BaQEni2dxTvNboLaGlfj
0zt0D4ynzBT5hU9/BSlJw6Lybcf8r2/+W6OiLpU+V03On0pN/R9U3RbGoyxPVDI8I7tkmoIuTzT+
OD5JPzSk0B5Iom6qg8BA/bbWWaebVoaRjkbuubusLmY6SmsMv4Pwex7yxQchVNRXdWvo9k1cVUbQ
IYo1MRHLfzGm5B+OP/91KTJ36EvNYKRl3hQWCoRoAVmN4TnUI3ksUy8f1RVKZm2kMPkNUPG2m9NH
93AkaSGgfmyLyfBgavuOXz6Z/CVPkn4oHrguxieiQtSJ/F2NK8lNGZcJ1yUypH8Tyml4ChI88+Je
g1pSjilL1WQZyowIzn9sRfKPb4UsKQbhOKqofxY2X+6JUhmtcU/gJSCyaAZlc9BpQKeIGwtE+R0S
NJQqYmQvuKkR6VEERMGCZSFhSIx2ILp4l7/KT3V4DP+8qDRPJdSIBtFaw+36ckmg+8RGrxAuVeG8
aG2zdXHCFJdNTIyEqAQykm99mbXeGVJrBASBbA+8DTSkTUwusOI0oCUbSVne8SK9CngojaojkEIc
ncp31K2wqCENSeVIbA8NSr8QsLTwLijkDVCvt1jZjNu45Hc0a1fT/5Ci/SQo18UvP9w3QXlYnpNc
lpCMVpXXtXbiG7zu7Zk5vJ6MG8SxMsJC38zsAmOl0bzXDHaKm4RSXBiJyBlA44ZMqsUdQGks8e2G
nEZfLHZ6SZKnkwEoxY5iXGi9xO3ofJuVAAxFmmsM12/30VWb3rIHvYZ7lXFIs7BAMDNBo3dJikV6
Axt2dm9/VBs/JUvxIxPBROKRRMX+rQ94Ix3NSlNWgAwrAIFGnVPXDglMTeHoPWu0W6GDsWbNHtk8
ks3OgOl/mSgRXSkUIhBqDPGlTyb9XUW0FnunBAGNY13wxbHTJzEFhnUIyQZ4wOyR3Pzi9nBqabsj
KpFg3eCaUFASw35IY1tukVQjTtNP8yaciifLj3IJb0M9upbhOi2UKXeovPQYoUEgcE7ErtyZFy+F
VYqZu/9jcTR+XJEUaVgbAXQbnw2bL686/6SVNIrBac/4iM26d0E6yAij+tcTfp5rO5eZFCjBlaOg
BsImn+H7Oot2kvhmtG01eqDKXmMcyOHzxNTRuySPsUa6gCBNL6qP0YU/evmplaflLptwrMDXMkHf
QkkvTzU8DeEk56zbvrOtSeSQM+DhuIb3t0d26+jYOeB9yMzb7VogfirhdjAqo6pph9MdEJ4rB2lj
pkW+rk3li9ecHrGJxPoCNiz/UdoAJHDPhvN7Aa39uKkomiSLMqQX6XOl/3LfuGlNGp5YIuIdHIN8
I/rWrLJN//4mDyhWGxs/AIBircyKjT6FoPRa0rcw1/edOGf9wLLQS2PBGGX76qVAB/UhPpzcCkh/
utfePvdffuBNUjvZWxzclrILGovTfceHRAacOTr7cYCj2Tpky792Ke3H5U9huMHQnBPCMH7/uvwp
pZSc1aZnN6CEog9g8Tzcs/Z8xTIoHKwbGRqPKZ3PIMIHX9gXV1yxc9Eg6+4jZU9Tu59JYB4mBBHl
mCcwUk+sj96Rnut1QUDUDdmcfXkPn7UlQGaBfuSYo5tuDDQAvPGhLWQHCQK47BDYUNLhePzj2f31
831bDtqoylMm+7zzy/CJ0TgnjeY5cU8D4uocTrq9OmiT3Tzy1AhD/ITmzRTmvDi+RfYUxVQneMKh
GhR6oAQ+yiWjC9MBrIknY9wKtBSdM3A8nhozWD7stoTAMQZ5TEUlaFRZ6AaWjbnLibj4E9j783v5
/5/d966EZjSna9fx7ODlRfjXPvQ1YAUJsRPHVlgOo36nHaXj+RjNrpOuOda9V9LTGeyyz+p9dO9H
t201L17+uuk/2Y918T8vlfWtCssTNUmEExdGs4SOfwpHBmfcaXR/4Bi9ltfih8XuEY2E4xLdu64s
8gdefk+lMxc7mFjAeRVXN3rs59lEdEWEZJjNXozd4feX4/M6/tn7VWkQqZqGaGrf9v6wumW5mPFy
ALsXP3Aa3W/4DKk3GG7HUzVzgRXFhDPChrdsGFo6lTOdeQR6WHUmHa4d8DJWAB4/xFJ25US/aEBU
12PlYt+aedc/NM1aZtxeykHeIASLXCV1BW1yX1cIJPRVaO3Ci389LQliomvJyjuhzQZfA8pZNeUv
YRhj1RfP+0rze8DY8oAWNw2AwCOmH6riKPWbZi6E3MFryYnp4grp6gaHKff60yY8+6QSGOG83xaK
11JWyeY6Oe3EdEnPzclKJ4PUf14TzsXMhHLkr2OA8uMr+uUOfytA4v7a3S8Jb0K4VyJHP3NoBvxk
l2enwoeGX2olSlMdmyt9nyFYOwvS5QBWkVhPOSm80b25Q6GiV5A+1c9IEd4opZrborjYigo0C/fm
BPenCElmq3m/vx5opVn8/nk/NBmTusTbYX1qg74s/Bf5HvZKSsOqo31aX72Mx86JfQipvKLWF6ES
XTiVAs96Om+FFwEzmDK5YZsKX1IL1S4O45TVIpsqMmAvTmZKdDCUl1591ipxfoIeYSS6b9EMIx++
eTSOFmCzy7wQsMbiY72G7u08k7oNcfU1NUSbjusOGgadMRrIHERFTNIjgiDGBAx1mXOvA7Fxe+xs
41CgQ4VYdxSzN2ljqx+NMt2lCgvfEnZveOiweDCEgIkxnChZNSmjsDFm70gJNOxuaaETW7iR0QrG
y75FPDfChgtEzaRh0Di1ysLICcoGRlIi14z4umfYOM4tnOhpimgFnBkrfD8uPpTV4BLDh4WqkDEb
x4pyz7af4tNNsbRDQvGUx/7Jogbo4ASNSg+oa/kp+S9e6Bidr3Z8H7WrG3FCtC/Is/VuKKJIMmA8
1E3o7gugSR7h150V9mK8Z7CRLC/HJ0M80t3uiwmAhXQsbQk/i+Ff4X3MaICeHSqLgmXwPIUfz6O0
knn+ljJQ2jO3IIuKW7hRczzlGO2cq4wS+up06mV8oqYBeoOvqrZFRLHoX5txmk45LjGjDAms7mz1
NqGEMcjbo8QNmQZdHSvO+NxM2CfIV4AH1ggHImkkdmR+aeStFlhb0gNSR7N7af/aK1D9//guo2HQ
8WeooCH451/eZSOUz4ISstYR39WwV0eIt8QFKt89oGadvCsG4dNkU6+KUf1YPLcz2Yl8UAR2N2OG
A1ESPCnHsA17C2wsRMrxdLhJvrUiRnoH12CjgLrM1+Fj6KfefXba3YZm2FZdSS7sv0GZVrsooP16
bhyUsXyEa9pArMG+w6pqshckQfeOesRPJmh35u1CX6pe/o4iW3Rawi0Hb5s+Nmc1mWXphLhg5JnY
+HfAhm2VBItpxX+L+w4smJ9uuvv45OMhP/mskfybYxlw1tnLD6RM+ezffrX+fbXQf6w0BpHI/97g
bx2PNrPK67Xt2PRuYxPkpdYFfTMBDyXH+5JyAdAqY8qQVvZMLKZQ4Olk6ZV/q8JJ2U2z6O1azMj0
UIDHA+iBfAgCDith/kGeXKVyZtjfzw85B5AIsDHguS6byOFcj150jYJt0Ykvl3zRZ2gUEsdggoIP
Ci+rkDHund3yuVjSISVXpKqIucAHheGXgxFj06Sw23QqkfmSz6RsmpXT32+M/PON4TCGLUhHLPWt
Gmi1sj0bJ27MDdX0Y4WuHr91qhCxVwYpK5NlrOsXxvYm8yuOWjF5eoBV+4ea4B6hZf/0irPqxPGH
0P5xaT+pWqD161iTRZHS/pPh/OWjUPpKz2TzPlSHKDE9EdkjwDKo33RZnWxhHrp5/nRJJvIWk+o4
n7EXkVS8KJlKTmTZvq+Z/9GsoVPINM8hg9MTXeWPbegnmdnXi1S+jU3kso2NS3vlxbo6d3mV32em
voBcmAwQuclZp8a6rPSL2yJ9u2yhXv3+/GCy/LR0GByn2QIl/DnfyqSqt86KWXEBSF2vc+Cz0wLQ
LPqINflGwDtBVblB+/C0Ybj+wmmQhOC7pyCaYcC+syZR0Dj3Cai6Z9DOunN6N5FUpstuMSgsq3kJ
A5QI2jXi+dNMmgysuxjyZbIiZs9LFuV++DuKJ3af+Xp+Qex6PlVeTq/FvpsjyfXvS9wzrvmc+cjm
fWgNKWU9x27t1XDJr2AKRnq0cz7KW3ovx24PQ25+myPNX7QrcU/Uz5nRGM6Rl+tGIVrI9DijL7IB
ObliR1iLcyVgvXGBuXlQ1xwTaHw8feD3iLd10HrtbAhJFBaExE0V1jcRsx42Bzeay0SbX7Yy2WqO
PqPr58lY2l1rrKxzcM87HUvGGpri4TppMFc2NsCVQ6c5txtImdGZhfoyhSg3dB1GZPwZz+kQw6fZ
sYcGLTBWCbxG10ZwvL4fq7f7S701Jg1uABlnM736l+7IuRlGlq8HFf/HuB2cXMw/tLCvKyDEs8uC
B6eNNV+104M2xnKhj+KFfCyW0UR3ZZog5CPhqxtwInN9rTrn7ZkfmF1vQdC4iziWCKrtCSKjPB1U
w5x3FqTRVVMJ+S8lElhXstGdbpK66Z6JaTzHOzMl49VdmxPF1wG4xh4YYrSCAhQ66/0012BJy8tk
2ngakoCj6rMa7oYXgMY1TTJHWxpeGPRD5GdGOnQ3y23QJjNs2x5LKQN0lcSMvz6An99/nQ6AJWsq
89ZvW2elpdesvwyrxP1EdgPcyAEEhNi45t0+udT8rLfgCm+XSfEur1pf8m92QZpeh7JgieYoJUvz
ugI3Ue8r6ldOAkAZX37/TiVzOMv+U67SWv2/6/xWbNeWeCsvF77TJ1ouvuzo8yuyM16IQeg73MRu
YzFV0qcyDIFiG/v6pJ2CEFsiQp5no2DJjAmb8kQgeEJfFUTOXlAY4ow5b8sNQg/gCQxyDEd/ZBrG
Jz0fNCq1i0bBbgPJrhB6jYeI2Ao9ILtXMlZBZw7zMb4G/k1tw9wJxwyMhneGKhhEUTZbfOAkMjIT
ighWlhZ3Hy1Nu5A3MQkX1eK81175Th9lN14TVf3QHDt6I8TM1E/a8noU3XSDTgfqdofgzuSorvnd
CjI4hlJet4vXH1uveDbnlndaiwtweGStjtSjsY3n0ivkRF6lobAhrWBCybKdgYvJYJTyvQf6WHoQ
Zuexys1SOG69C4iOMeysiOtaDHMUE8A8GXGLa9B5YEg2epCuG8Tv56n/8fuj/dS2/vNkTUWWFUQI
Envof7+BSWLdbwVOSMSN2QIF2vY6bV3IS6Wf3G1YQgcUOUH2bixOW8C0m7IZkfi0vhC8zkqTPhMQ
C+va5mf1bhNIDsz5e3gfC2vb+KQfv1HIccLmnN3MHLp2tG+L4M9tbCgwf/kZvk//y0YU4/jEXksJ
rTDmDe9eE1djgc9DF4OmX1UF/4hH2VZPpybnSP3agCvX0r82/aEQ+34h+Fgwu+oMIsg8+O+bGaW9
IjUpZ1LLLQ/yh3mAy1k8VY86h1LOkZvrIgrg9tMfzuWJdXHeewOyz1hVEAQRU+mUDNRUx4nUsV+v
6Vkh82Bak4kvUuSivKIr9BeC7Mc+viQDUOF/Fg3cb5dsWkYi1JSXbD3nWUN9fdnFbySiHvF9LZJN
96w+N/O8xUl2eRGoR1Cd7Q3MDy8IlwgnJ+gYmiPLFT6EcHR/HjB5qktX5s10OClt7/MuiOf9mzUr
g5hzZ1D+IUf92ROv0GE0tGE296my/lJotec7veeE5kkGVTOflhTuz8LDSbEtsF2L8sA3PhMVv42C
DGLotHs/2ZjDLuH4Xvj6igM0zfrV3TsRyZ5Pp6/NKy2B7uF+AKPdzKLakYdAWnkiEPKMwpMm/e4M
/f25eCwn0WuB6w2AAIyOaASSDYEZywHEpQniB5V0qNOc+esfq/HnpvDPW4YokkmXiTP+e9UrKlkT
9WYB5m4be+B/F5SV1S5DL0Qagk8cXjpqXY0AeY5F2sLYo8DwMubM6kQ61Ot+rx6xLvBVXl/yY3L8
fT3BbffTN/Dl6oaa/cvzSOSQzpdcMhhKntjQivSozs3CyatRIE/PbMrdoTncFrf5MnlCzrAFZ36S
N2mUTAX4ELnPEfJ083SRRKJwF4t2zHIrjTUDy4kFk2Q4L4902LpU1dfR4voqY0Hm60hApDoC0NWS
LK/3u1etNFJZ2EGZ1xvCsqksttddg0Ul392ljZSv2wsGWrR8SnCPZsRfohI91UGM0+Y6ILZP4aTg
7Hq0jm2zsM5zIyTcdZsA93biF4yu18t8pc1JTtflxS0ieR3ch3WQRUydxtpA8Ucvegm5NjmjDBqB
4qrQWUJ7lmlBwBwS1zINXhQEojrSqoE6hUwN0DnTs+K+A/PTb6rei8UlGbMMvKrqcC+m0WlZhLtG
2IfsVQnI1PNceBTB04cgpgYjDkwtFzTT5SnrQnpiGfOfDp8k2iXiLQty2heEv4Tm+gou9Y4GChLx
6XA/BQQE568QWtiu6bCcBnlCo7gxLQVhgwEki+CXoLe43J76Zg7998g0OQbPDK+jckSieRjCoPgS
oX8GdX9oGFQ1TnIKJMDvGB3Bgx+uOFlrYL+MhRzDYsGYhOtL7dfKmPadyd5muIrh3jrcTXZItrFA
Dvs4uXyQxOJBUZegDoPtqRbJKl2QlntbSbCMl/sr8PMtUo3rUjng6HWybRfcGLXhVp+fSWgjOmKR
PstLvJlB6Br9KHS1KQVUMosrGmrjcKDM2W3mSFkgrDo0fxifJven85OWpCMKGUAZZNgYPqRiTEhW
ajdHrVlb6ZTgVSpo/sx/XyMLPTmciFFAMHXKsGwHXcC2nj5hn95WeLPZ4jFUiMf8VfBuLu5oDVVt
tb7IpVcI8MTQJ7MjOYoIPCx5NG+LhszAPY3ahreXoQiRKNZIjhepYQMmvSyunhoOWZLIPXkDaioP
hCC5+/vn/OOASlJMGtkq9an0vU8ZWkpX1T19ynBPAI1muCKNaGqqVb9L3JKsOdoLIwWPFZ5qCtEM
bDTaWx2JnOTwR7I3gS0tz4vnMGjQ0wAYfjddcXafDsXA+uRmKyTD94/7AfHlk7m54KHeGweaLu0h
2+EYu9MLnXXbfOJfg4wh/h9j7B8FZIOIHDeobCraJ1L0y2pVppWixyW7h0C4vDBC6o2rC2N0/TYo
wTTs0qFv0bd6qzxkrjitTYhWrO0eBedIX/Yf8CfrZAxn5L6oxnv6kaf9+T5PGCzMij8exufU5Z+F
/8vFDi3xLxcr5boUJTeWVm2LDOcw0KiEJbna/n0CurNh/6O1sOmJ47i7zcpc4k4P6ORe38NH4Bf0
CFGmH89LZG6nbfOUWLbBUXRQbh6LdFYK8IhG5oN20PbhMQ1ub8kbbjuZs90tyJaXJ/Wl2gs7cW0t
k03roZNW7Jq+F8fuqUTTNjhNmUOd6JWRfQMObpI+MeuDI+YP8eVhUHi9b02LSbK8vfwVBvL5mH67
M9+q2LOcn+Qs4jFaoi2gOLczh7jaTYudk4hgnmk2H9os9QdIa+/qsatj3zkHzBv5qHJPwB+7B1u+
MrxmfQWoi/OrGd8ftT8UycZQTf1ynZ+SkS9PsNcVIWxznuDVP82y53p2oWcYow2MNuddFKifBAZu
rlc6uEIomIpAXpxfL6/nWf4c+gbNgvbt7qFmnkAHWMfbQeVOQg9ZuhylsvdoL77V2ohyG9CyNUqY
kG2u6pi4+/Y595Dyef0CTikP1yIiHYSqNY0ey8uog7o2ovmPR4aA5r/SwSTxx6LgP2+u+q1FfIvr
Mswbng8KIBwSPuGkyytkSEAWy7OXHQS3MEYknQBexrCLi3P1LjiodC4IsT8YFvcslSMaefpMepJx
tX5+oqvTSnoAiKo4NaqelfJYXOk76xwHldHVAXTFse+9hn4FWLzBphAvmadACHcMn4Xav+DAXRmL
+7EPaKmgZSsn7CRkovJbDYkvALC7TclQ4VEFXiH5FOpMyv2Tnywl7zzTnXSa2GxXyxZsy77842PX
fzrUfFmZ1OGs8eVVMW9XIz9V3LLSAU5FlFPkIwWoXxBgF3NSo7Fwj1oygXCBjEFyF6PsedgqYbDQ
+XiizbRJXFpLZJYCv9uUDyLUrn7aAIfeaIsb52LQnjuJg8nZkR+MNY6EM4NemMIbwx9wzcCgCLy4
UL/Lm34rp2N10a/62x8KiB/7pJJKhBv2f2al349MWi8YRZxz/oyLEeVilAwcC7SY3Th+pP5iU+HI
QbxKNTbBdGuDLtZ8E1fopPE9r8LEqT7PHzGiI/qnDsNnurwEx54j3Kp2fXcKWH+M/f4yIX2qff79
lP9z4d9e6UROhUqRODidHvqHElyarQ0iSqYxkZMx6Kk8yNNXeN3hWNslH9IywnYOz7fckeoGTS6x
Fjk33Dkrg26BamkjkwfDgOnKfUBwgnGeJFdPIUpg0DxN7vxqoAPvdhKBiKML4Z5b+86qfH0JNxGt
ySfrXUeCQIuZkuYh/kg4rmlYdCHMRyN6SisFGiGaPE+M/Fvkww0GjxES/0WXBTEO9NRz8iFaoK3+
WPUk7UfxpKSa3C3OxaQDfVufrS5Wu2Z4mcX1iZ4VgOkNCUY+q5kdr0L/AoCEBqZo9zPV15ao8/Cb
jAJjC3cI4AoYEL8fZC+p1/iWi8QWXa21ZaY/riaItd1iYMc8DcbR81trd2NACXa0DZl6kYcH/m2J
QqiBtvxwJVUnfUIkksqzk7lHpyhgg3qWlupc8loFbFM9YR8V2kmUT69oOkhyD1DSMEKYtw9AiRk0
wE0mTAFZOLG79KWQIoEDZLJwG984g5nTshpdTpO4figKZPdu2Y0sGZkOp077RvRZv1LPC35j3nDR
vyFuu6uvevt0Iwg0ZuWyU43TByv3BAU6Hff/4e68llzHrmz7RVTAm1d4gt5lkvmCYBqScDTwwNff
gWpV3KOjalV0P3aoQ1KoKzNBENh77bXmHFNHq+tloDI9c1/gvDo8BAoQp1slkiX1NjApxa/mOFLf
EA+MDgAyyabtY8a1lpqj11gdrCwlvCjaNRJQ4K+XCMA7MEsn1pZtuh6CF6kIzLmN+X0nB49Nv+im
MUFNGpQZyjhspeaEFwqdynUn1au2drSU/BFtocJ5zPZ5NpM1v+jWZb8XbrsUt8jwDPJo3hdnLftO
QQpX0aZhU9ZhFUcxZ+hhP46SwLVBCD3cbIAMlvZGDTlw4tpm6pTzV3lgmUtJ4KUj9vBeh6v7Yibv
dbPqncY4njF59twNIBJfnHGhIvmTbbUiI3rT+vtklSQbDvXsFkQknV6LPXniNYQ3cC/v9LHejWk1
YphnmMg00gd6KBpiPzeBed23d05IOk2NouLU4iXCNnkQ+waUgDZ5F3tP0cT+stVGUQ7UGUielPuO
xGwLjPMNwWM6K75vPMqrDPcOxhCIXCR8WLJJoyf9yXH7ZZpbuxwAX5a21fjyRjkNITHM/4/4wMXe
Aw/FLG/yJa4en3j7GIwvEXontrBVlvEqCet3MxBlCx3f5DuNnP4ZomjgHUAyqmM1SOz4k/X6HpiJ
m6C+QIT0IEUCUKS8B5ut4eWfZ+T7RCwVAIwXOoiJ1HTNLrbEJ1/2JkdowGADk5q5URk/cPh6ECg8
zRjCk6f79Axp1r1PWNZYT1CsurdzfmL8jjU7QjlvOjG3Hekzf3A24NfjAI/p5YkHFuVnT76g/0gd
AqsnCmyc8FZSjE2gdlFN33mXjSCpGRsgpkb2ueE0yv9d882LTzcZj0aabjHgAz0wsJ0ZaKl85ciQ
6oV0b1GZS8W0RCx0Dwe0srcrNi9uyttBcmRi8+opR/i2nJ45RNYuLoC77HOGekBYie0lNUYbodPa
6/kUtyak3qz9ucWngb+L75cZotN+lITF46WgOLw3syryJUhEAJSbcEKiWUmOh1dkNk7wyTbaxxgg
OS1E8q5HhJkfKraj2KNRFk8cQ5kGgriVOMZnedAMKzySA5V8vrpq8yFdlKKngSLsCc1lPosM1OJR
0qa4RhuyKoZZ+dEba61D+rf4eFwS4wLeHPK6miCvlIG8I9SCxhwveRmn5cLE0sHS0btm9M4NkqQ5
TrziPIQjFNJcSNfzI8Oisn0yoyIO6bW4/sD7l76zi7aL7itjF3nmUnvYHcfsTTy7nZSLpM8eZ4nD
2SV+g3XH9V0DhGnt0xa/++31rFyGHLipI6HcnNjIf3cPwF1RiBrnRTebAHO4+sXPZ1GESsOnB9yb
uszqb0S3+cpJAcDBhPnQf4FFf4jzkuV2am7vDnECmJsyIKdjJdNtu7G1PCExCdexsoo1ooFOAp2Q
Jtsr/IdguDXkDB13TEHAB8G3ilPBG01YObyS0e+y0NmJ/ba2r7HVru86pd/rdFKJOuXXvn7M0jbO
3R65CTHmAjGX8TZ+e7g3YJFWxqtgyyvAwAS74GBhPhitn6qfUU1DTX9mC/SZz9YTleBOT05kdW1Y
05tTpBCBkdAWT9eyrlsV+Tr93cGNVofiZPGEIiBjn+RZBIs/jVlK9Yn7yJZkIw/oclgocWfAyU2X
eReIz6ABRlX4V9pXk1mmhXAbEFTjFYPQzEQe+vhEXUolVEve3zFIFdGChjO2DCatI7Ycddj+8yaa
ZUD77/7zhazAAfacPwk+WeqXWxYO0uaeBdI8gZIcgPnFIfmY9ijrUG8IBF5u2+/mA3U/7VBZ9Fhq
YloicNHpudfWlVYRSgvo0Vfv9Y3NFZixEZgvG+cnCotvzct4qwKEqEBuv6vt3RUYEeRYCOCuV4f6
mtgXuuPRXL9bMt1VZpAIqlcRNhhpWxqLnhQzJiZXsOr4V0wMfKBSvHxiR8X7UH2IHd20xZCtodTW
SP0H5qHEekntTwOYm+eyy7xaPYjiVL67Zo7nnZWRMaRiswiJ2brSlqVJs3BMBaVrI5ClhFSf3tPL
fcF8DNsdK1QDe67zSHuetJwcNzHC9BqCYWoZcJI+GTrNU2ShHL3oOEm7GzhWrNO9c40+ybrI8WzX
DlqZ7Hg/JvKc4kAgWDOx6GMpTGYhQQEkfcPqcVtnBIyl3IeHTdIT5kLigHgrqXdx7HTPg1Ciusrp
Ca3LR1Ar0+qQWEvct3N1gzFoTTCDI1jPn5tipfTK8AvNxQH7Ick9TuypU3EXlevqhEqLuU32Qy+7
4xxQfdDz2XedlW1eDPxoLKOgZvn/Nky7Va3j6yJ+ZVNoRIwv7dw6cgLTC/f51TdoqaxRpP0ebQuf
tD31hbwO+Yg3MZxHjWufoyhKLVZl3n/v+aHNIlqH9brxAW9fVya2PG1TfEX8JCVUa3M5ODV68ctM
IiftOlIxkEEdx/aftopfYUsOErdD0BZ35NPvUbZRInbE1QuST4D3lKxujpH1/Pay82k9NWYCTb1y
GZ2fX4adoBzi53HWEkrLGOHJrx1IedzU4rYDs9WsJviKzKADFk7q320js/g3zBZ4W+5PW0GUBCaI
yjTv3+/SSb6PuOGefWG8tzUFXEKzPuH1O8ordDzQr90sKKecXHpiMd4ExuVLw/EHeOMJSiUpKGxh
X/nZz2jKcnLL6UO6PQRnszu61KaFo+6h74V3tGM9BufRH4b60VyNgXfAEFaSH/lYie9T80iazFz2
GieZ6jxE/IAt+L3d85kN+/ixvzlbzNpW+vaELPKSQvyuEYGo9BByJx9WMa8/C+QbCzxxjhV+WGER
KZ7cs93SdC8mzgP+guLhB49ZdsbnNFkTT8MEzNcRNbRcumpalD2F00t+A5n3qQDjXD5JXig2A5RU
lmpcZVfGdzy8Fqe4iAyexoAiH2YAwkRLo55rswXG8+rrPhJ9vYnk1DQIj9KyfL/mC3OkFvJmGguN
EB/ITNKIk0GWRwXNq9+/Ts2W1Qh7GNqDF31pjfkrjYPXmDVCiOiNUp9eClhotuLj9VKqYce3xp5E
WsejDxDmpbkbLXgy7sXVvjFdwhydW/qqk+bGgkP33TEOcQdmrH2EffDkFK3My9VjN4YEuJ3qXLkt
PYGNc6WaYVDAI4PFQMVMGY+0BSGZJ+wynG30WUdBQzUhcrdGDW6rfGX5FXfgW2U4ooF3Hs6z/xSZ
V9894vb0JqAsMiOPM4H4dS9DSdiL3VJ8BapxGTCFOvLVFjWPIJsrHe6jZvqKGTxG/CAi+iBSyYMb
g8Ae825bn6rag7iArZmaDENieXM0lBp4TcqwSN5zIutkJEIikSWp9CMcGce0++eHflLuX5CabeUF
8MuODvW5XzL0xLpIDB75BYKx4+xTSeDp5MUNVWo/3odWWwmoW600GcG5uUQZi/ap3VMVksZzQ5/q
4qQun2T+FSmbiy9x0hud3VNuVkbnFUvUMw0VsvBYYKmmiHq31A91A4M81pmHTavgoe6Y56hbSKHP
hcgWOAnur/enHDzVjxiIZM2ZuRbSbfWuOF1oeJmbr7Aa3Sg3k/gJKwSXJzs2/5Pe2oDIC7pJSbKm
6Gkwc08sMgrwdZqqUyxFyKBgLkl627SDd6OnNdV2RjMzP15MMBQzJDEmoVBlFwaUk/HEYnnhq3tw
a+nLUmY7GATuNwLsFuk1eHwJX835dYJ4rp71CxN3fZjWtU0UOlEw2jdhmHG3AOOhxG+yvNLyc42s
ffWeiKDTHmNPjwlP9XPfwLK0rmtqPAXl43WhSPbLBO79Lsl2SoRH82HABFwWB5HAuudhIs125lsM
9Ta3AmkcS2CfrVWfw2qgbFVSG58wC9V1ByjjP88bpD8Q5v/WVlFpxJsy7APzdyji/dYKafO8lz7x
gByaeXz6NNRZcljwvkwqovfuKz3fGH3c3ed3TRuhm+rHu7C+LpUPmgavT87N8klbXAF41HZJQupc
55m5ROwIPz0SGb9zHm8999GdcFj4qi+Fw0JnyWRAzm4/8l4GLSzyOgajeXd3P4oti2zSAP2glc1o
uR749q0eFgv006nGkE7djo1LCuuFun+8558c5NPevc/VFeUuK7CUO/gnwkgJuzUsE9JroBbj3/Y7
fCwvN3NkGpoYnmHVgvWfzusi0MuthZJFddF0EV5kR3hY2L2ZLb+1JwgBJj3BZp0etD1i1XQKFcJl
OIoU2if0D1IF262tDgFVoB7S36b7XQW3VSZ9AqUpNxUTjXEToJnhbr/0RYeVzcUP7Ld7GoL2De0V
J5Xkm+wOq8MSjaVWsXRHnJaAq2KW1ze6WygGOJd+NoSGEpuRBMtWQmfGoiVU/u1yv3mPo7G74jtq
V/jXtCONA/AreJaoSi2F9jpUHLTT26iyjV3B0E9ET8ITZV7a6dUezs1be2xUi3OZ7tbHZMk+wCUe
OrrCfzSGkzOIGb8upqLukI1cW7AQsOT3nDJPVFj3wS3Sd1HewzDhzxKKNBJik3yaawCdx3OqeVZE
mCqu3tsaoFiajxPsc47sz1sHwxTHBSqGMRV4TEPEMycku/6+xuHWCyHU6z6fQb3rBVs/QeEpfrpD
8dGu0i8popKhRksWr3f2tb+bIcjqX6pMdDzIJqoxg6nVv3aGhwEmex2nzOTo9ULfQf0KCpu1UCEa
qZo3NBlpPmWhI2ShyoP1OBU3OMbLJ+ALGbycuejVzIHQxSdgXlLwLOanDKp/d+X4hi/kNbhS6yhJ
MtdHcoV57mmDR4zO6X5ft7oWdGQRvw0gvj4K57qtJqEaLQRzeS/2kwzzt68fc1q3xLWMY+rUj1Wn
exeuuz77uuf0sCnHI8c0xgjhUfwVJcvmPs3AWBDS7Dyrpc5xW62/bzLsE6GFi8HXk8qgpSim8LKp
F7LaODzURIueEWIr5ADENM0w2AQcb4uLtCKFi06TnoPmoek/57gzQaIPE+BOJliNLdul3icRI5Wd
G483zRfuXm7Ll6F1gJcWYb57doCZHifOZuRt6fwVbhNW1cwuBF/5I6CtBHYDToiN+YbiGDC2reBa
GKUKNcOZyIq/izNpGAP9aK6Kfz+xNxlTWXT50KbLNJrcBBLSHY4UTkI0hyXjmCh2YuXEIlM1uhbU
kOdyfoMkbeULXLMPNr830BKmSrGJWXI81yMB9cZTtFfD5jx1sZ0BCb0QUPWUQuAiCAaPnHdqYyWD
qkC9uWvhtAgeBJcjo2NCN+pdEohusRzeKo2WnpUKazb3JSgsmH93+2IihNSntwMfkXpn8bA+lJf9
sTi+zS7h+RDuLmTsWIedcF2e5u8jtJt/ubl9dWPY1Z/w6hX7Ya286TRnE1ZASWACcbbT+bJZLkUM
IHefv3u6bVWYdxCSrY/ezRqfP5BabxBcE+d7h8yGsFLSw6qzLu8Ny1prTmX5+7vBn1itGB3YH7H1
ub0x+TSmRCJndBtgSlPVx/Z94iqGX1xQdo7FQWlNfMbKnYEy9pZb0udDtEdxFZscWdgwKxT/P29q
yl9O/bDF/5Nx/MdU8JdRjjJUwq2AcejXzUFjBfwag5DvkxBuSVR8FpNQAMFdBCggUt0hf8qPZ4rL
FNDT7GgK6SnMFwglwsnhdXzlDUf4sBHOoDEHP++XxFQPaRA9V6hvoSEMVkH19Imc9z9/iL90efwC
atZ/k4Bea1RkusKHMB/UPvm4eRqXZsqbSY7IIQ6x1QNgfT7dDtPEtzJl9JAWgVG6cr6ObuiH6VOC
TsXl+L+5MEMyNB3pHdzm32YLwl1+JpI8KfznkVnKJCCLa2VsOOUsibtZ4lhYZrMnxti58RVdXTns
eeNG5Pzf4Q/+Uswu/v8LUcYh6K9f8600pP413iHyGiYrCgYqsFO312eUa6tq5uO0cAaYFRZvydUG
EbKdhM0yg4rEu/bBiTBZ/Od785ceXEh/siALhiGBkv3XS9Ly4Zo34h+XRJaiwGREYcEgYBFKX02V
L0yWCUy8gHhZm6Nw8ZH+qO8VaUQtLrpNZmy0xq2rVdyFHL9qqlHmRZIRpA1VCS+Tw9FdxMnPYkPu
FqGKMi5tzvuooY70C4RZvOoDDSh34acrvX35HXjrgMHJf/6Yf5gpfi8aR5clTwDPgPT7WL03mzuo
L63wOQBR8YmVe2vgrINytJkl2LV/G2HF+wr/pWmpqhVPqa20I6jXaTJ7rZ4c5W16V4U0I/3l7zyr
0vhm/NvV6USkkFAnKIb226RQTdJKYSMnx9R0ofYxX+pzN4YKeq639UYdA4jCjuzh7c/tTLrobmAI
uFLmUo3sKMidvxNL/OWbrJOHAvicF0b6vX4QhvzxjHquB6gvN0z1cld9n3yqsGZCvkzxU6NHcybc
Zy1gc0Ca9n092mk6yhxzOLg246c/vr//m7x6EbcK82pVEExB599+eVTHkJ1/wun/mXujaOMB5l94
9f/+83/y6qV/wLKUFaTDKK1EfVSy/smrl/6hC+YfJiddQV4s8Aj9yas3/iEoJr+UB2skyRs8fX/y
6vV/mFCSBXhuAHNUbKb/E149xJLfn+N/vXTzt4VWvb0mUaajvSQZ5nmkSFm+rLvz8tNQlsbMG9ol
0aE5lhf5S1kwxlRXyZ4OTR/WIQ2QQfTSd4k+ib5qaLUP7pPTGe3NLKeJblXNLrdqHejH4XXm4PVi
RAY+w5VCgTdgP9nxfgS9C6R1Va1eH6+QNyhol9rbc90wZWDmMhCrZOGqNi46h0Mg6w/r9k3M+Eql
6YOippnqweq1KRe5O8xJnyVpliwWuvo9ZSFndZa0m8Pxt+2t25RNunD4JbGBz9Ov9h3kqAeZLuir
Jm62B/0OzBywI52jPT9z3SbTymNda07VqcRTqNgcCOEgwtq6uuwEXPmyYTwNrt5aLBwno8lI/gfB
GrqzCyKL1NeQrBwSR/DqoJ3CMj17BJXDmQR/5AagPJtsSC3u3dZc9XVroAWitceUluhnjz4fblPV
7d3kpCMjN9C80GfEw7eRwsdymBIuDEjFEt9N0UVFEq3zgziDb7FWkC14qpdulXCC9lFajL3m6/ZD
9j5fVHCpf/9MD5FDzoCtha+31pU98laJYGmsH74lS6AmpHS1iDGk+Qvkxi/PaJkoofdUfTgzx2Fy
P3FzlEdosZLI7W6q3VEFvKjB9N6jq13NxcY3r5/tZBlJYfZcJfG5Eda9tGkhnmphNYXvFlQzjeiQ
EgLCqLUlmtnSP6GtMjg1J4vecAghUA7R+rqQHy740/h5KBM69283nGArgY86Krwxk2BffIQpvR2T
mLnB9MDTlAvkr2SrEHdplTYyEuvrqxmP4mzb/S1gPgBr+otsHii/S3VefJP3pN+PwB0epAw8pgyf
kvsienopwBXDqg8Mq5FC3j9rr9sMdPCf0/JlMc5WoYCpO+4DMsfY2zMNBRDDuBtbNUm7oNk6plnK
+2vRlZzMCQZkXtQAxvjR34uVSkprT3gTYev6zHx/bIqVaPG1EuTCEH+R7PgxrhV2jJuGaEs9MroR
AVirMdjoxjbIP+s9PtSZCjHALVb1hp6iznOzByYjM35KnNz+4eBsaVTI922+vgU1O6Rs598Tqib8
pRYRNvN0wXOtLzX6Jwxtv4UpBAiPttyVSC2L+EIffaJHK5X3Y/ydVBmonhkCTxJb5gCa7gFDFQxP
fiRlzDboqDYWFcWuCha7WsMCeX/8MOjzNL5kJkUMV2h0dlEAcqCpORiapxfOhM4ePsvUvefHx4QG
PP25HGvaYyEi3ernpTF/tIHY/tTAobGlvySv7AgualbQjUuMLiKxi89weH8d0rDblqf++xH7isD3
pXyXXvoVM1S2hUtHm+vAkR7lMaHjsI5/ihCTGLNDPK4bxLmMotpVP86BrsjtUk/p1uqB/4xm/D+z
DA5cjSwfymRG1VmKbP4uqaSUwt+0ucMbBMjU4ydNVNeERkCj81Bhu3inXP5Xfq6V3SJEz+9HM/xP
wQs4bPfyHs1s+CgIbyDenH72Arpqq00LkUwcMsgY7ZDspYTFnWZmNIsnvhK77crwrioThYQfzb+y
ACs82umkd9K7zZjjZs6YAJozAfHCpmR8g3hkDFtFC2PzIYd82e/M27QiH6EVvOHDCIYP/hJDtxUA
djIVCNxGy7IZeTmLuyvyLi3UQ0m3bcmdKEgKQmW4a2BE2PxzcfRxE/YqsoPblM/BJ+cj8N8bBjae
Ggfmz3gzMhf8dnzknzcmDvfDCPhpxmKFq//weQJTRoxvcL9ZRt+KhqYLOqohD/IvilC05rfZ6wT0
UopdmMo0f1DMYGgFseHmX+KCT4+s7067WQKi6aZHo3S6ZdPRsraYKbbXA1d96wM+BTtIzwwXI6AA
EvpAqDSAU74Kvi4ukgdkWLw8g9n7bYoSaDiaO5DN7oTgNMPFvb4uZ0HAOh9cLhNm1ZEtq+v2nfCG
NkDdseAwRRk2mUFpOiSc+3FIkcnyf7jEkgziLRGdC1CRQHxTQf3HSCCVQuVfSqx///k/SyzhH7pu
Ur9BtiHdQpAxjP9ZYpEWxAGW5EBsWzp/8s/6SvmHgYebICBTUIicECm9/qyvlH+QHCRh8FZH45zK
b/sfBAtKo3r792MC3DrJVEGqirL8m3FGTJOJ0GQj2gi2dO8NR7Bx/eAChEkbp9oprcsiChE7Ry2z
VL512U9uzI7obJHc6b5OD0eiMdQGzDsLZMV0dqq/OWf9pYzv10v8rfNIQoSWPwQu8Y0R79fk+HGd
3XgFo31J1RJxkn1My/Xm+l/Hg/82muKvDyyKaXC4o8jF58Wd++VgrSZ6VU1aiZ62k33DV8KT7stO
fsBmcHs3PyYbSomxv0sUROyVYeVJ26evqnZyqH6S/00fRP/lYn5jDhhi9dCzmosxGockgKmwSLzm
M3aFsR7C90KGj0IfvCb4xgybbXR8ec2hZy7/+bdJDGPB/fsT8+ul/PbE9IKe3OMK7Uc2p4QLVsRK
zKd0GWKbLLsKgJwF2tYJxOkvL9j6v/7Ar1Ehf33c/uUWjP2uX74PGaV9HmXcgj68bil/xflnsXts
FPcPzxkTA+zSDjy/Gb1RcmjJ/sF5m36TP/mjr7vGZZjwz/Xtv39G/u1wMjaAVA0DI68OALrfvBET
OR3EQh8K/z7xCM2co4p+neESBiq0XGCd8YGQ28nC3CzlaBkdkZ78jZVE+6u2POJWUTRFnlFjXEN+
vSvKq2gHuUGCwNiZPp4BwWFan4d5GgiLpycw4bUrRkJjB2DTh+k2DYApTYXvDh+Ga+yhdcLoee6Q
JmRuMkqpKOXaA3KfybJDyho8jvkIXLXOzSLflSTuAVafMTCtrVAf8MtQhCzum2zwn5ucRPRP9WAE
0UyZAYj92xnE+JD/25P3y2f9ra+Ul0kvNCLjK3I/3WRd0IlnonmOcHJr9uunQJaYMPe3lZOqeyQZ
4CyRLxLEqcqlQV3ubhsJuYGA5s1WOehF9pA45cv/u9aLLPzR+vn9Sg289YKkiTRffm/KXdVYkK4x
zwUGRBMO1XOfto5ELRe7w840F8lUe3BM+4oNyChhxEHpUnEc/eJ0mt22cgEv0TdqL4a0AxUFk7Y6
JyUoergoMhmtq5VjgLxFzzWZJxM0uzZqAnOlIHloHTUKpcjl55DhgqdryTIDEB69i/2Sk+RtXSPr
sp5YuBCyfl4Lq1wya3zWi9wjmhB5QItRYYfdPF/B8DsVm9aq3/X58wjNCsVHeV3EhCiIWBUx0ElB
lcxGAXpnUVDR5p9VP+WnTOnInVXojZaQFB+UpLYEd2fiI9uSw3p6P8DDgtTf8bsF20H1oX30Wzzy
vVcQ1N3bLUqSgbGRBUrrFs8ZMUqDVWFpby/GRmF40wZXZoO6/YLDOZnXnH4hRSOOi5w8dc3JDAvn
U50SZ85ZBJ3Xy5rQfjyTNkJ6euyLnPpP7YnP4D02BGyUQKHV0qnWubwQ7k7lVN5kpiyBJtvd0sS+
aqZT+c1k9oscpF0mxTwlPx4n59PRXC7LuWJ6gP/JXRUbRK5+f4bypEh+Sj8gisDf+Lcv4YfT1Ptt
x7TAugfxvPZGqgKHOMGnYztY7vAh3Ymqp9R0VJZSY25M80U804ndOXPORJ1xZ7THWVzZtPyL8bH9
bHavfFZ5+kpUXYGWAlKMjAG6m1OATtwXSpXGx9xpXICJwzOg8QDzhLN8FruMk41Nr0FVntdwhK/x
olHsHJhhz6TKE9Igpn1ujP2I+s6HrMkJ/q/c20Ja0vSol+aKOSk5k6aFiyI7ghTLoeHpO7DTK+gm
yqV16zceyBZV07pAKG1cnvRhKsOXyfabk2/FV3pDMLqFOdCTHZu/E2tBz4GOcfpmdC5cRuuY2IBO
XQgqmFhznOjPrzZkktwcSQJG+Fl88Q8WE69FVjTNdadHj/qwxK+key9wp9AsMidkmgJEcEgusmdB
+gXIS3HH3FmJCZFqbQSBSRKdI+aSTs/aInqTxkIMHyRzcUUbgFM+XZtzgzIWEfVtr5g7pEpd7z3n
A18RQVlfHOpr+/GpLDgjXi008eyM/Kd1NW0dpuzLqcfAiu+CNGV8ikh2tumuW4D+cL+xxTFyEvzr
JZ89EpsKqgPUtWndURuFfVUlqxhd3znZz7BsVWdpYXLjkApzjHbAXFwgHxQOIFo+VscwMHNq3une
osNesADQ80fzCGjHE4myOmJXF3ySVJEiInU8xqqnXEj9y+37XhmFdJDJwNqQ8jTT56aDX7dDn1Cd
LqSgZ1PpQBeFGWt691/EvYv8+oV6dZSNtKnKUK1dLoGFiDldKp7SS/l4S+Y1ATIklCBiElcsZzBs
VVs7IByu+WOsz7viyK/gk7oZIkVAXBzAWWD0+KO8ROGdYSS42Vm3S92fIiBHXq3OHWfcdsYXri3S
s+CKe05HVkX+K2M1GhjtoVjdseKxs22vbrGOXraMvvs76rFNjPDcMlqSiHhdsjhOvjpn8K63hYlP
lkARPwI7s6ZDUW8nnNITNIla4r8QEQC9XyjOa42VfZE2R/HSYXwULZoSN48uv5Mv0lGMbtdrhhws
dtbtvfab9UO3WVgYVqXpUtszmuqPfUV1bfXzDJr+YN+C5swQnYVJ9Xpt2xAQEYXGw8I/l3M8+yik
QFjlEw8pLzyEwV8rO7w1ZWJto+/rBnBsk9uQBWhRUW50s8TpPq8/0j6fGoavfN1AKEI3QiwLCWeW
7x5Bj69p1Ub2CMzn+5MtPArZKl5MfPiM7ynC2TVB3SgzyJrCBMJDTItoAhIeyB4KMeIOR3OBkL7h
omnsa/GjsrA+ZuhiGsBnTNqJy17IEg1MlCrEPEUX4eqxIpIC7EioLA+x+2x9442228AY9XM6BBoF
9qe8qe6+8IXNiLIaDQQnc25kd65BnX+VCLEn0xf0OQ7JdO8Ql2BGyt7QpesZcjV8euxzIwqlitGu
rxmpMjOQPnV2ioeFFCNdFyESNpDEnTJCQrflONRvGEtHc+m7bdz8Yec4Nbb6op1KlQUFg1uRZi/n
Osx7gb9L7Ixfzpl4z/BGSBZdqdLTFyW/esKIVEIgPKWs0uc0OcdoA+4X6UHy001izzilsHxRRa17
8NgesgBCBR9kmK3xf1yypcECOnYOKlua1YGwEcKerbaZg0z2s4WRIZVnRpd7Bvyh4b4lguVJplIf
opr+iYC5VD/ae7IhKDJ2aNqgGHg2hyeQZ4z/z6CFu095qvmPZpX6voHkhPbDDNrjsMEmwYe+I08G
oIhDYiRUBLhCdvLT5ubEMC7xw9/IznFvW/Mi0VsloR0LybG7oA8H0wgG7u5lL1/ULSIqgJ1rU0jh
0d7Yp6yHyAQGaEyoETRrTo4DkED4BdJ37TTsQNvJRjia6uwhMYd+2q1s/yHrY3SOHHSSE4xlkwOB
ZQ1RXu7yANM/2mpXty1dkaKaR/TcKvPJJp9XWEHYzDw6LZX7XEogy3BtndiKo7di3bH8GC4i38an
sQZUbxLcFlQeenfsBbci2VY5m4lnKoTbsPVYGQlS5adWznnYbQ1nWupTqpRBkbjmHE3tCu+/038R
uVIQR79Pm6mEAWYPgzzMZeSZFlRPLz8KJ/0QE+753DZvt6Ugu08WXHCSgpthUs/HN7ZP3iJSS0tn
FBlIwUZFV41ZgKeYlYZqz8rXJQFPCH6ccct16eHoqJR71MuEjsJnP2bn6xrNIN80jqwZsMCp+CGi
5x1m8qzTyPqIt1ANXm/gy2aoEUGHCfQsIWOqJJaC8A2egBmceY7GnieajI2wRotFtC0pKp+38OFl
b7rNmzoesYx9Ff4YDu3yUxfkIaY5tz4U75psESL7ZOKCDXCHf6bWSJXdZO2pTVam6NHSmyR4nWPE
JpqvIjupd2DFbHnRznFnU+Z09xAegv5weWmqnUqvQSefxhPYlA16cBbGneadYIEQ9gIhRCSfqhQI
c0Ru+5iGn/OTocm6YignxNB9OY9pEtQrOoxz/UBJ5uke4yJEMlj+b2hTUuJ27GFTQaYYM0tQb8ZP
W6MWndKQvn/TTt8oE6sYHGkvNoBdbWDHPMczyMMY3ihXHmd1Xi9ikCdZYt9hjXBDcXc9DoDG+ekf
oLj6dpjlAbq4E8oft8H/wWDm57FS1/qKTI/FbT189Z9R5ea5px1Fu99xaKK0JEqCzdXiVfdQi5D4
PmyF0xMXMGRPBblNtWCmTXa814Smq37yDht2N9hnyUNAM/AAttPbNiLLXHFTyVk+9s222Ohv+bd8
IQgQL9PL42hho05eY49w4Ts4+oZUEtQzRE7ZeYAJfYZDWdxEqyy4L+m8Mwpx0rA4IdrbNDN4KN/a
l7iJf8h5s8BTUP5lKFoI/j3oC6ux1w9/77EH+/hqguwdXfWbatcOtTqTjZzvUh7hChK/QuOwRh38
gOfGVS9vS6KCsdHiLX8BBPDSKYbTkMVHPbRTdsyrY9BnYjvjJrHxIam8broAFbtp3dGhf8S9Nx+2
0xyUXzJhpNCEpYffYN4gd9cCIz0lasiX5Jcf+gxp9+BGm9uJQiVkKV/eAjx4mpUsSTw6c+Lws1Cw
jM87QLF07erYwa13MJ14mm9evxr8MrNZhC0Uz/NWdDQGB/0h83QCJywEbaJhYQdgYOXI8VxjntUk
HKO5koeTECD60bnRCqVxTOixuGFkcA2qEBGgfPNExtzvfIBd4SZBLtkiifY2mzE2DvVwCzBTLGSU
/T/5gfc3/ogP3YYnn50fXZXIYzKEJYHIPXCs9HuyIfKMyp97gWX/VIAO023Zz5aEJh2WGkgkKtkl
08B09/JEFx7I3Nhpc9MFvrdrF9dpw9LN2GKKQZtt9+Vku2yXHvJFyfWhdgKIiHPr8jznHlT8FYc9
JyKqeOzGPd3n+xjW3B8Llo8rRzQkZ3i/fP109ZQZ2bbeYCdb3CiLGz5Vt/wof4bgSsZqzMLW2fd3
3KGUHvW22UFvYSKzfXKBE4zLa9lXP7LZ5CxW6/9H2JntqG5ua/uKLLlvTt1jMH1/gqqoAgM27o3h
6v/Hc59kZ+dPpCVlKZmTKsD2N8bbJm43vkuQPZg0w+ygANJDKvCUvs1JYeEolF3TLjkYuMvDu5/s
29iatndwj9NtAi6TUsrmyMxwnJQSRJGP+GkNJ+k1YOqh4sv1BLV0C5bTjZNi239GPCWFS+YnVKKh
M9m142z83KdYr0h3MTZty0zw8ntHAWt4rWU6uvkVCZoVPPJb4mJWctco0Y1hxi+m9yW8iK8iYe2Q
0WZcrGBoPF6RQ3Q/QBoaZUQWLKsSZt56iX9vdN9+Ftzc1tE8uZ8Xdo1w/F64roOQy/YYDW1HH+d+
HyOqpyTRcTxbi20bwlbcyL+vINm/44/NJe/Rh7FIZ5kTmPZGHEe6TVRZuE7hn10/67kndFoSObXv
kfRAJiSs0k1iJ0joQ8dl5/FVRLg/J6868sD8wmTgWG/2DoezmtyC6WvJZlmtTvMz99+8XvOU8NUV
Z2U+bLaEjJIgj1vGhs2cY5hwP0R9t37FZ/WkKsKI02dcFaRi1b58Ji1g9Fgj1ONwuS+rbcdaqXrT
e6j8UmPhULA6L75E+HBMNsQrGHFyUbKxenPzc3sLbN8nUyy1VXwAX8X8FVAjaCPBPXAYuJ/o68MM
LNiP4DQRRyefJKVRPXklbovRQ0Cr+OH7+QSWd11k8XWDgKoY1weuF8rDSfRg7UM+73ym7Vk40jHZ
vEOTEFXiSWxd37Q0D25wXg0PZdGNphsELS5FIcxod+9toyj36VccWiK1uTNVHN13NrRmCTjNTl6y
qGmMBVXZnihLWCAFeJAJdPWNQ53jO5dGWIPJevOgcTZ8H+KUFI9QTUaUShnAfFIyuYJL36I+gCKn
o5HxkRFrCjJhkxXlYzx4qA5mEjvb3cMVoys2uGrKEZIsiQJaPb5077k2g88Ei3C3LgkZ6Hwch1PA
NfQ4MxA0aX7btZF5ZM72qlXmkYnhV+icmfFGyVzkRayfPNRm8oXS0hlbIIBdvfV7F2hEpyTsSXBp
G7wRRe6bee82e5qJo3pphMaYHGe8wu8hHfEs+NqdDiv6MY/J8Y0vzSAyEzALB5SNYGB6ct4hyaoz
YdJwUVL50SNN6Oaordz9vhplnjIUfdrfgAiIMxERYWBG5IGW9Hg0WK/Rb2IvdgcUIHU0glf6M5YD
zl+oZUZX2/OinrB7sFP+HooOq3T1uHCvs/vx9K142ejK1zqJNuUKPwid9b/yN6lOvb2Q49a+ZIJL
ESgDiGr3cWV55pj73H24421Dzqw1qzNPXmRLHivJkTPjRFEnOszUsq8mRqkn4gw2F3NvbWm04qpp
7a0xkUaXlw0U615376CTiGbiTuqWBEBB0hKOA97AIzZ8BojVz/jx3dozbEyv9+gVIVH0qfTIOJ0I
hCzG8oiuXTvfmjo5CC7bF+MAc6vfLXqyRYiRPJs+8y64D5oIp3L14J07r6EuwBjf5+bmFRJGzQkT
VgEyVtzao2Kec4M1YJiMltL4nXqPMXCtuKHIMarW/UjCAj7SY4yV4xuXCzmu9awQI26FSTLqieBt
mvidhe1S54LhiUHCAm5rB+eBKxIZAHhDH9H6U9hbMp0q7/T1JA0l85vFjY/phXPg4fKhL5S5MgJn
icXAQi3CB4zh+iSFSHQ+EzG4O/iLMBEwny3JHOEMz+NydV0NSFPjcoQbqxvNQK9Jhyi28cnIbG0R
TanbLMtZtko2VxeSa/hoOVRdqQ70LzrSomSib+ScGo2hcJKIrLK16SOGoaVn4TyYVT9APYurn32/
GYMJTwKUUmjtVvbx/rSw+O5Vj0Auirzd9zb5oQjTby/qURk9YyLAkvgdjJEV1KA0jNBRTSvjCryn
2HeuuFXQKZnF5H5uqEozF805BXKx6eVmlAdhpNSc7xejXO01ZwKG3Y/bBv379/VeEGgwyqdm0O9Z
MJDN+m0AjO+yD/nV5LatI3V6nSV4Ezc8f+bYdvl9B7Bn9v0cpBNvkoxfuzsl4gIecPvOpeO+OD5d
WmMyVFZ+eUki6l+qPiYDWDhAQUeAP+WJe7z6wYYi5CgIwKDb7XXanB/0TrGUjushrPqrWQvnOztZ
Annv50Q6PBGL4hGz1aWJh9B7R4iQcvq+wqaK0/tSZKqAmZx0G66rVUO4OuU85NMhg3k950kQ5jOA
AgtjojWWabSwgW+Demqys+lfGPC4w+luBvrt42aRyFh+n74izDvgsXSLh0oXhwPo+WKlf54oRvp9
Y82S+X5Nv94/fj5Pt0D9SY6+EitcsHdKE6OS9Mzcx/2dnRhuCocqWo2EX2ve3yOdMTIFonNECe8q
nRy2jYxfSd15te3lqJz3R4PLOhQxxrE94fsqVYBXgRGz63CKHt9QAAq8H6Z99q6KoI3QomQED9Zr
MigiKlw1pMNydjhPxNo2inx9ZWxkGMvJacaf4n+uhb2V5elE5nQlum8Ok2ZdRl2YjmE3k+LcXLI/
PcovZtFbSXmSh+pWBoHljJzkB93PXMa+gN1mAiKYvOeZGt+4wFAyzYrNc2Oai8+1ct6Gfa9C7BsY
PNsdWhNMKhdjcVU905iJMyO4zTGKp8tsQvzSG5XEN7kWIUI56pT2pyCdX0n35f8M3Gfqk2kgJjxB
Tm7FY+vwAbipJw/ZbjA8kOucucalgUDYkkKfuNUlm5QYwW1rqi1bDfuwM09YM6mCTg6gavXj506+
hWmn83SEwooPhAASDn/Vfexw+Byz7WOa/Igwex/f5AAg6WKB9u2G0mLREcTDqTb4M0dcfcCq4m2k
QAsc6giVRTwYU9fWiuPUjTtmAw4SLoZA7ddFvZJ4tP/qhtdpUW1uLRUhl3/yKUyekdYTZevrj/Gr
bNq1FUzzxMtl+zm4JcrBCOLdxxuObIMNgo+g/ybbtQakDF6x9o1Bod4U2O0caQy+11RkOy/YSejD
MBA+pR7zJeBwfpS+GbMf8S1mMI1ZqbE+1l5C9Yrh8AE9WigB3yTILBHBrIjap1YdT32U0tCCMRWh
PUb21Ym0CxLrUhogmcx7QLUhulT0hWPKiO0qnhxiVeKKj6dX6nrZLIjwCJSgmBZsYj/tmucqXuq7
31p+QX+7Gt6hr4Z0xJoQqRe9HazEHDB+tjIO2kHcCUM1hi9eJ4bsk0EkHUDBjh2lHD4DQsvIFGgj
cwpo07GPg3dSOYnNBUxD2nDcDL7cRHcu8MESJufXtgeyga18OonmWl2sdGF/+A/u+p+YS+QluqlL
EMWm/DfmstauYv/OWw5KjpIjmRli6XAaJYCcBOTJPr5XgywGdtnMBRnUPiRJDSWhtGYRL9bdp7f6
PxQF/5hBiOCFiEWRRFdL+RudbojIHCuloMx89diC2nOd3mnjwW9GPQGNRTY8EL9ly1kAxHdG8Aem
vgZkZowXkWBBuZHxBFdE+HwdGuhlw6+CnUadZOxBzJa4Z05u+62t//2zVAbh+t+5VUTQJknHUKx/
pM5/ZbyfTf9Mqk/DNkke4Y3B4vVVTgda+2MvuZidc+3XfuLf3S6sxhYYpBGILLjIuPapV8VMasGC
3EDCmqr/kTv9/+UAyj9qVf76yw2//F9ECqLyyYtM4pejAMX5nDXFqVgovHx7m0IdoUYjU4qhS/Ve
BL8sE+hJHLjEHfin0WmtusjzXSk4W3iI6LfhA2f6hJW5Eiy17FycEwP65IuOGWecl53PiOPUyCg5
4DyK2JyPDUuyHvS+H0JY9kwui3LZjVSnc8foc4dsMJzR5Fl1gt9ATAm+xVf5tt9Rwa/EeIDVEn+d
cR040I2mki/CROBllxf3y1Boy2VJ/gThqv7DLWI15FtOjkjLCHEgQp85mruI+0+ZA5UCuvHKDiB2
4r6QOHsEtjs/UL5IjIUaAl+n1uuszKp9zx/Xoaha3u+j4nUYBOHkns6PxpmDzAatL/6/4+mERs5D
Z3g7d4vEvtydl+6m+/ei5Ncm2SHi12XSwSqM6dU+o7xd0ZtAGI1THOCVkn2P4nQpkuBF5j9fEWw7
GjxeOR4Uhs0SQSRebdg4yJI0JEwywoIZ44mnJG9AB9kuRIKqFB/3IzsBiKvP9s9ekYcv3DTVYtgy
cu861c7ILkbpmmPCZ8xwLj8VixsVWX46L5eo8YLr8sWJ8PE7Pxu/8Ie5mgsyuZfjHNfbZbWZvHzT
RinJy9KqNyriOwPdcyKjSzaQThOU4dYx5OasJ7ow+yPaJnAwvPkWfQrwssADoKI9aB9vzROAsgv3
PnmOTF7gFD/X7OorMCd+PhoDJ41vvjB52wfZ/2ochKTT4esg7WA/fGeZ/SMHJKhRedBepD2AL0ai
gzLc8hS6BDnbj+UqI41pingQT5pcx3QHhK4xYV8jzP1JxQKteUEaUOGEbPwRDp9AspajPTnjrF6A
rFx76JW9bWZvxaVOZv+6hK7Er4srxL/uSNw6833ZpHyUXuEa5DFsHzuLjgTGCNan1V0PS8Ykwm4v
Pbz0G9uLozGtVvthWZ6JAUkYrNZDajJrRTLpy5D1qfJzT11gCRirMQEUQT+vI2SXAUKaePZ99wU6
g5B7uZanr5/fmWOOVFSSDilV4NfqCKXRNdBXDCxz88DCNPn9vk+yMVFx2bagLxTaXPmhqwyH4WOm
D/szspiTZy4H84EZQzawkh7EQJoxvKmX25gam/Du5sEQom1AKcEWkf6qeozmv7npobwO0x+Vf37G
34rfrA2fCTM4HdS5NM3/3H/KipDI2FqVW6IwyqnoYEzeGCHlVDIOW0fZP6ZvT/4yt7Inb98PaHzD
F2w96NAQXMMeLlWMep4n1QECkmj+LCTfg4LBF4Dpx6X/YUlk1zUkWXlaDB6uDIbJzpbFKN8+vkjs
mAihGOheAaN5pZb54d4YqsvwWQQ0EzoIkMmNzFyshGE5KievihgfFA9JT0ws0adqgAn+0/vFXqK+
6T2CCcYocWcHTRYDY3jzvhnTYNWlKjaj/uZ+WJL4kEral71WH2dS8Ci2dNImjduicCK/5T3FKfxG
LONx7l/35eExJ6uL2c1WOldloSflzRoCWRse2ags4D1vE/nqKTxNizlF8gZVbj/vleK9eLXeIXr5
uaEMscAjOk/ySUUEHOgk8RX6hGRqkKvmMkAW5rE7P7WzLi3wQZcC1ccOFTH1se8weDymT+Ab2CnZ
q3uH5Z+lGsbvnUXWd/fzWBKMO0arC9eRfSfllwVR9tOfhQfsfLMk88Q8QrmOyWplArPy7amI09Pu
ts7W79Hn1+KeomuFJ9Lu9JvQua6gs8Yk8xaDZo/0ovHRTxDT4oAqjIsl2vDInMnkBJ5f+3KvLMBL
+SxwPkD4tHSyY/yvWCP9HKjZ0FwJoxhGUlKGloXLjx7SVyxz9nqsWimSVf+FDgSkdts/jgkEDTnr
Q3mjusmPpwMO6EUybrb3L+RZCXdZE3Dhxo+Qsyhz6ImyFPjvnXw5icTNnja3pXC+XvcNf3+IaS2l
yFoZBGitUVXQdeCd5kqcyqE6MkefJS/JbAmW+3apCWChArj7Bbbrvl+x2ro4UMpfKR81lJlC0Xtw
JOTIKMbI4uiqyFHMvEZyUSvxg56VyyCfQ3oAvN5H7duWJLd17qAylyr+bCLU8r8AG+P3rt3dbn7y
W8B0dSHE3ZXHNh8bvPIaM3i7r+qJcby1jqb6ouJgXRQhsFHZ3OwvkRg435oXZwFlDuQE+2lD6jcx
YWvST2fvBd6e/Pv+m9HDOdePOqwXmCSQh0mUARdAv9EXKd4jZkYI85oTthTDVhw98EYANAke9t6T
fOhhei4Pck3KdQtpYm6E5yHpxwLh0rIrcfmTgoAUAp6AByiAFjKiCpy3U5z0gNPHvv8gkyAGgogu
jDR8lwazIYlrNd74N+GtscnDq/Kvjd2Ctkv96lmuFVwE5NKBCykjHSMqvyWQJNFd3Av5tPZahCcL
XoUxw2UnNCkzJ6eOGl7848PCz8/rq1A1nRc/NZ+TncJX4xbyz51fRKKp2eNaIFagFGNNnlzzsd4u
tWKWyXGmrPHzfJqo41Gsj4smOEmE64ft1ReEqKXKV6LEnuGWHRV5ZPty0yYaDwk5tO85CWrWq8ez
srl5cIsIb+gV5irq5KCB+6NlGMle417zKa5frhjiOScibqF+NOAmH3C1q33Cch5UA8tuIs3J58VF
qZd3a4piRFBFW8w+I3qurI01VZBtIupAjWGQFUtwgQ0vPwQZ+qRKFDB+qfupHMj1DlqEowKhWetU
l2TJ1aNRK5NCg9tIdB6iOyScqQ5dqFXm5ahZCJVgAn6O8j4or56W/wDQw+8/BqCa7heeuZYUkMM8
5yHXkp5xhyx4zI0tjxgLY08bEKnBI7BuA0ACtQmz2sVv+0AJsChQWOpubUavfcJGg+S5ekTwKQ/B
H5bUji5cQvgIeLMVRtdykTwvxnOeQ93iy2G6O9dEL1moAXiN8Am2jVW+v2zAKCL5zIIhxk+3mmPH
s2AsqMhTIOvf4gxT3215nd7NGXFIZNditEdCSZYHAQSf4UpEN/X4aqfPVfb7Jn+SDJed9Cvu1Gm/
l+gkRyX6gj6Mu53MKMpY/dtuMD/xzms6g34Hacn5xFjauxB+sB33zB1EMopDTzQxjx/eCqc9CqSI
dKjoCzvGhapIMsQyAD5cR0CM2qDfIbSo5jdpAxiUnKDI85VIO44XwXtR/lyNCnLN3LYNmJ9qfLB0
PfJZGEMqSUOr8vKhDeHhFVEB3JZ7rpmeoHQzkAG1wTa4ICf5mgw4r9Z/TPrujjSG8IMqOTa5mZF6
3ZxySH+gOsThc6aTEVkkcX8pzqtmTLbhXlyBRwMuCKEwFc48SmHdT/Nn5unGqJPWL3KlroFyOe0h
qsxxt0yBIyBa6Bbmy34HdBGgK78Jzg9yvBIM/UjN+3bAyGVH3dFXTYXcbVUc62aIvErh5ig+sgJA
Aqu7jsyVIEwEUnHQ7fQLwAeubAMVKlSnJ7UEY67YDCSePMhHtvA26O6Z4CudzIHgzubE3AtuYThP
JEm8iBK2OEIZg2sHm8KdnMJdsyOtEQCaYtDJaQUkRCEjRM878dQ6NJFd+Oqe3hsFuoI0wIyaT+ZZ
2R2c4sT4ZDtrAnBA/0KSBmiF+gCKnW8K5KxCInGkk47slYoLWLSNh0fXMGDR/nQlC9GXS1ddiz8l
0RgkXF19BVhGGlSX/TWoyRM9CqCL3+8DiZHrftt9PdbJFlJen3GnDC72dGTUW8iahuYm0WEBP/OW
phADTI/5wFSh0hGIcixPvpjOM2tiPsanJKLwwnwH/Icc55KAn5TmEls1vdc7aGQP/U/BU2it7UH2
yHomkxetA/E/Mg8L775vl7fxI3WxP+6RKCFnE5nqLMJhQfLsBCnKh5y5AaBE6nT7AVzJmb9phWpd
fLOnr+zjJgsiQAxphMYuVCKUtDwE6tlrx+XBDA58gTJpyKhBpfL4gWDXmwjdW8XTtaZxlkJ5+0TC
B3Kt3C2RQjT2vRs8a3wQxraZwsfBLmqL5zblL5HjORlAzM98UFFx662J3Oi20jZHbkvCmP2ELjBD
hkwsLKLLYxzV5lDs6gtYArTtB9cnQiJIBGYf2AvU2Ytiex8TtyfaF8cCxYObgAtCzdeMGWA0Bzcc
TZUsfKhZU68T3YzkpHbMV6yN6Z+gHnRePRYvEjxidc4HhmobHwI83QoHmGxCE3eM3Px7Ig0XPUHP
SAMg6kBHqFrkzWLmIrUz1r8NfdotdP9kfw3oH1IXJv9hF3jE1a4WQk6J51gJhp0OnY/LXwUiO6bh
1650xZEyJUF182Exi5jV5tTv+BppXIPWIqeKZfxcHjpPnZXrl6/O9MYR8Rty3KCpeCD/OCAbdp5b
czVvfWHLt+nd4n6H7GNGb8NCWF43iZ+hR10qS+YrsOKw3X8QGwlDp8mBARbqmmITkWw3OGWV/6ZE
17Xs68O7JRIqGrh5Hu/1CuqCFahi9FQ88tbDncR74RV6Z6jUIfiNkDE4bom5ny94rsHrwp9vkDz2
txFdaotPhjnT5X74/V2jNUSZoTgb5ijkC689AUPaMT/fnOQCjk7qta1NTz/mnM1hnAe3qC3pUkR9
u61+atYg5Ej+KyAgFfD7GjUQYhWZtVZMXsaA0/eRFsuk39Lrh8V00Gk9L8m0HEWoMZBbkFX2p3DC
5tQ+PmbgDjGL4/wdMm6BHWCZDFLUSlz2b7ft0PH6WjNJgBuIxEfRutTX5jyLf+dI17pjviIsbwhm
JBlpS16y3YEN8WVl6McZb0k5gWQAgQCv76OdiLABj65TUDKehI33WRiYpjEsDlZDUhzrWf/7jL4O
jEjQ6IwUbKuWl/MndPdXYfsGOLOXuH6Rn+P0XllcD/POI4XN/nrZIW3hLns4wxfXWOEcdgVfIkiE
XwSVswHE5Vq6jajw4YjleAxee+BcCq5icQYv62O/ZtOb8qBGtNuHtHT4xFF79VzlnCIrbZ3NET7w
67N82cF5KXiQGcQL0o7TsVjfgt9djQL+47STHbv7BhOu39i/2hLgnI3bRPZRxgWhr+HN/p0Ywe4a
9FHjRBdh/cMjjNfS+STQkuCFCt4TzB7IxjRSm4zI4FXn88zJIn1bdTig7UEHbowRtbL9BdBCG+wC
bVAuULfwIEW+gYrhhgCJh/GZn9Vt+Sol1nN4TzQxnG4oNppv7v11ysWPFGLRR+qMClyoVEBdD3/W
mRKQ0ZBQhBcX+DmJonm6KjdBgELbqbaiP/lCx8513KGW4aQC+X/zXeO54b2Qolp8ERjs8eUVM/Lq
/7iv7a/hZkoR65C4RigA5njrOwf4QeDQ+sqiu/QXRpjk43UEFpI5veymaL+Wlel+cTSOO77I8Omh
ZQR7QYSujUiQRb2T8XUXMSxVbO7MsVb4N7f6fcb1LvtG0Pp73faSncDmAxlylrEQTRCjsxb9EFaG
ZOm1ZhpJxskY5yvSMHLMuBxpe4qZc92rK0zYByTe0n+0VmjG4Dn7P5gw0LooWdoQd/I3e1xTpoao
19UAu7YLZdfMpAl1MTk6XueD9t0MyDIIzEBCjmVyb8kuCcX6mFh69K3b2xCDSf6799lrZqAbQ6Qj
n9RGWJnSwbiKDgtSQw0Xe2w1Ej9hfcmx7Wi8t3rfFYwH6seXs4DCabFq7OtWPdaGy/gK0eoP99DJ
2RrgoNxTS2WCRZ5sWM4fwqJjBvKG4syg4ByfaB7iMMZjQgoUu1+Q5+bV7gQHxxZh6ZnZz52jj3PE
j00KxWCqD347Lir4Rg3yBv0fhadoaJPpoCs6z9e42XmiCm43YwIBtCKHJrXczhl0npJ3t9zciiqn
nvPAts/2mgkq5efPeroYExd13tMXVz0XF0cYVCLQqPaaDV7PEl0VAY4jnpTew1PcgjTQnGafNhgS
HwTvBuMpuQRQe+A3+8LsnG6avUkZ5AUBDbKbi6QpELaF5Wpe6fJp28Sy/hEAJT5T8Jlodm6GBIEm
J9tryqnyeE1eBJ3hIbCvnuHtrojpPt6n1rya+uz5+irpYYb8Xp7c9E3xjl8zDXvCgu62GKcNUw6W
fjGWwG8MtN2LQZLJ87yLjOPwd+5y5tTCAqHqUFTTL0+TcoGIaV/q61pbCC8kWDxoqL7+wlB2Tbxi
S4ryqPTR19zNXd6GPLpfM5IbiZOdJCGDr+JM2Abpc6IZHfEbngu6gNGnOtzJt/UBQRugtEqOce59
RkPBb0kOYSgj4ljiwUOM/Bm9KBxLmwkKkLkRpfyGVx9ru46PwP+8ZiTNe9WlwiyAvjQ9nTV5WbHS
oPmeD30qn6kWEWW4NHcNDh8EgfSYrZGX2018mzE2EMlLHpUVvSEW71OVT1x3TyQ6JDnxUOT6oxpk
CbbvX+L5T18POJRjVdMrMgpzTAwAx99wGQ26SFLvbIMcp8I/bYmPYDZicU5wOiyHidS5BsKxZ/NH
zYoilXhQSsQ4ycQ1KQUFl1Ilen8EpDvVVabigbrKqII9rGEA5PTnj3gSTXoRauRVVocs1Ni1fml2
+wbxI3KCrBAHF8Ik2wtpMNiBSR3Ex7hQx+jMKCujzGwhbG8bTncCjpABF1xnSLbYKkZvXzRmejhg
sNmdYwnRTM82hfDHcAAFhaPEoswmSEI6bhFo9SQWj5pA1qM67g41Y0zuyxMRF8CT/UK90mjnPjm7
34THorgC07fQAQ6WF9aFZATJOMImVLhIHHwRrFkELEUZ5YDuGH2gqoHKJgcs8Z1scoa7lXDgfXw/
Y+TFhF0W3rb22LAcyQpxBZH/Ch1h2TijYh6q2aBdUShH3igshmR4TIgURI0GhcI26pnWIf19jfF6
YRboONCIerH+wy+tEPnzr8/gvxGKef7J04dSVoGGNmYMkss/MP9gVxaBUgBRHYhNnnH5ZPfLisil
KwVk6yX2Kwzf4dVfwCH8l3X8n7zK1l/OheF3/gsdp8jVte17RNODWocSG7SUqZ8F2DAYPYbTlX5m
zrjU+Wn/40f/oXT/7Uj6mzH38VGle9vwcViQM5RCL9IRWCYtvENJ2Gn0CATHmMojcA2EhoT6LDaF
c22cywvz9L8zpvo/uZT/+ikMn9JfPgXzYyqpVfEp9CjwkMPPKR20+ZZ8NcblFRKTfZadhqAa9nrv
M27CG5JIpiTq7V3UcXR8G4z4ok8Yrk1unPfi2t+gCfHuHqM3iYgE4AQ5an5UrSGOBUYXEu0RM952
//5O/pzj/+dDlSVdtEwiFYik+t/vRGlfHeQvH6oak5ZNpy0VXIIvcGlbKw5d5TO/QeOQLKaQxOnc
fyyCM2l4BGB8g/giAY2TlYC+DF9PRWXIYFkCpMQxtq0n/Ve1lJ9AdEhqbFm0F2iMam5E8T+uDP0f
hxVa/zRqFhQMwn/7Om5P6Zl+PhmVdTPQZnOBtukyKLkUB62LCP968pQGKmoYrAD5GbDq1CYBj0fe
z7ONqkn+VX2mHc0QA+7KSE2H0OSDkJZvDMgGpKFwDNEuS1uykHL1kcVDSYboCMzk64Hd7QTd8f2+
Bndx1D0ov/ST52/69lBkbIUFf/LKnSE6JMv+Bz+u/cc7l//29SVKrSqGzDsv9qDMJidVT40q+ynl
q96HWEKmXgg+phU6UJvpg8h07FqsCmQYHoxY3WdrI+DggaFlhILm5qDiEKzkAaRMALnCBnLlBXTm
sarE5dBTOSxnCM7++CBhCHWSmIATWXFgP3NfK/7j2/3nS5RaazqMVUMSpb/d91pyur00i/dI4N90
INJf45rwWmbIh+l0KjeGFQut5t7y6QuKYSvMPpNijozd78ZZjLJ7+j7LdyRjuPjTOn7zZl/qUmfy
GtxUXydEhRSSOtbotCT7+z++IUn7x6f4X379vwkYev3+yDMrrYKXgy9z4FwqGia88mLJPDG55rR9
LQrB5zmrrNkw/Lc7nHf3I4DGR/jzFBds96Lmrm7YIecYn3RNrCxKgmkb6QFCSV6mBcSyIR9vedBA
qjK7TjjTWMGwdmo7Y6xv9aAEkMy3hnB853MD8J/E5ILBADEAImMLDNCud29mVxTJZORukoWxhuhS
cYUylmC3sez+zF1FdcCV/uvX8vH4ASmW1vc5dxtwvowc9jkj6Q0r8HAq0Nfwa46qsGT1vGu+wcR/
xfXWeyiaTiNdIrJrLKWxhm5YGZ2EkSSH6OP6y4Fw2DfBRXTYwn0QmW1TD5GtXtiVT05eeCTJCj/G
4elpUfLFXNHzFsobHQ3d08ugharvesDTDBZ7ABnDXPWqElzfbO1e79WjoTsCIR8MvTH/94fp/0Qu
/p+n6V++67+rkhpJFO7NoxpErsSW0rkz6t6TMv5O0Iuoml2zlK7SPR53i4f5m/nhvcYR4yYEDIkw
xmxE5OTd4JyabygyYscB3UnmqD8zTMd4pDvGeGuD4/zd4kObigLCM0LzupXMbX1H94i+n4sY52ay
ym+h8lxg91B1+/Z0eZJhI/iwNTwc0Pxa4xx6yOPrw5NRC9yCigQ4A9MuaQ6VwxJ1ovZEk8j7g2u1
lWV9rs3ghZQa3AO7WxnnAXH7fjmpOJq6zY2tmbYpkLZqm3LZgZRB1mW4AthuQkL1rX6UUFhD/m8e
fDKXTiqv2VWE0c9ITb+52qSx1gWozI4mgSupLz7uhAhQNBeG3j/65jqS8KyQjAnasGByFxpGT+li
BT07BgY2hAAEGqhrWZymU3HfPSL4wVPJ1jW7G25Nn98xATLYyKMTb7yYqVS/LASYS9qSnXbz7sPH
GE+yJX9zeCHh1bEwzbrwOaZRUVrwxoVYcaLKjrAQtXc/zXT3DpytjxtnCt7XO14+ecsT4RN2LJxV
7Zt7PKWbZ/Q4K7+gsib5dcSh/6bBEFzBqf6eyYBrVvxgdcNvYnFLUF2uEVw4aut5W09rote52nP/
Wr8cfUmVXPIfubK6Ojw7/3bB/q+Mpr89nNI80T9dDen0QfIhTTrowqe50Xmg8zQ1tDYQypGcbwse
R9ya6su5V5r9IdZfIGBdAKOkPEvrdwUNrcnQuKGUbBRi5VXqOaML6VH23idnLiDVbqhTxo+zQTn/
AJxPNUaFAlNlfegKW16mp9DEmHrNjPiT3CIqilsIPy7DpxUoVlDclgq0BvoL9EpPHSiCSLBAfQaC
9X1FUoELpPfVwpcQWGg04fXOnZGYeKPctXjA0N2iOymGu8Q3uPWRKN+OeU9NamgKm0e2sYBnMXmS
aVKH7+IWmLDhSMuGrgSi1MHpJYLp88mNzpvKQDiE4Lfn5qSDlYB1xTbSxUejPYpDydZZL4ilQwJU
O0YW8EQyESWycpO13+2gDmtjlMCY2e2vdaKZYmjDfCwLdBvs9XOFxuE9DzS0PLg4TiionfbCCIOe
sAS9hgBDAUZe1Jcy6RIb8qHOOVaQjaTg9c4bog8EYdyPsuX9UE5JIllnET2so9smoz6YqoIQZNbr
witjqeVV40eUzCznE9GrDXQg4GSi/O9Xx/hFVPyk2AnTR1BASwWq58tfJcJWaQFWTJH4PP1WpuZa
PSB8n/BvlqdAmTw8caPtSMvY1l9VEhDW0W5JjUDae/9hfqQYUNi9j4R0pvx2SBMqyl/EESpnSkFQ
fvOszBYSpKY0SKP0RxJ0JDGw0KC2ucNweRJ7OgjmyX7wbVEq8cQxWhKe1WD4k9/rh5GOUTPcOGGF
oDVlR0AbUbnQ8P3oegsF46hunpl/Os3F0854jcXjsCJai3aXYATwUCL/CDA8QTMXzi2zW4b7vwkI
VqiuCEx9s8RlDZemd6rTNhdr0h9M0etnn1nJLqRGNyBwtBpejVmTPmnaBJ5hz1aN66fC1yFfIXjE
8VMZyU+/fQXy6pWvT9KkbEo7P4OtCyK5Jic46PIgCDNLdu97H4eIEtbBO8Y45kODqgDH3zysYvoj
7u41LkGcyevGpgfYj6odRRY7GNUwzVZdWccXkR1r4HunInEDxmYpuciXKf6qkYZ8Qnmf1o+hoQIB
aut+RaRdxpSC+JDfUBqFaxG/sfqBomMEqL38AlePq83F/EJDzDfPc2YoffQg7z5AxZpNWD47+FVo
NhvV4jvKIRADi9NaRBKId21yNx2D1pRKhZPnRYXOVY4SHUorxYheGwbymeE9Q0TRyGFv6ycrB2qt
s3YszwWbPHocGCWMLtplClAOj5VOZf2nrzFFD6wecBKnTnf6f9ydR5PbVreu/8uZQ4UcBmdCIpFg
Tt3NCaojCZBIRMavvw/kT9eS/JVPeeqyLHUzgiS491rveoOj7hnVajLi7fJ5YI3WA7i1OqCQ4d3F
lyI7EBP3+MLq8gDu3KpTQ1rWGgWzQ2WvfRH8Nsie9HXFcR55vPUKAenmy8zrXhikrlAET69LVeFb
2vvJxS7gvSF/wQZRfQu1mQ4vnAVfQyPXgD3fV8QXbXOyw/JduYneWetHuBiu3yR531xMFH6vCLEm
rBiImkdLbrw3YGeCxcxh1k07vwv4b4vZiK/sOjaIDSpLRjrV1/gv51Q3Wkvoz+msHQR+mV6QKpkE
H6STnLSEfp2Fr9K8+8pDKuaQTxvrFh0uXT03cr4Hr1AcEmXRifiOFI95AZbaCU6KluTu91aCEbh7
uy1YLBuWnpDGkCAEgw+ylqfUcsTex1Dn1SYIsy0Lhf6CJ6i5AaifclnDqInGj2GTCUQ6in/TiU+b
5gDvYBQ1YeHyGO+B5Yd6O+VwWJA7wiIQ4DFxuJAXMlAGM3ogEphv/qqfgX17cYblpUO9+r18+3fa
V8uSaKmaoivjv/gZ/lSp/tW+WhHHruRXb8W/3P/ztaz+938EU/wmS5YuqniZS9/dz344K3KFJRui
ZMijN5oqUiv8MFfUvo3XiJYGf5yBgcK04Ie5ovbNNDGcxgtRxhQbevc/8Fbk9f2lXvn5uP/iwV5e
L3oSXq5QZHu/ATYlNpA97/k2slGZpGTEuXSoOEl2EQxMDvRjSd63fVHdovcF0Y6lRdhNYFjuAET1
I7a0Tu0XfhLInROJXkfC03VhEhwVE0XEKGFavDD9Iz8YeFlxLjGagolAiyabTxElHIirjf5ALdzc
brx7NsU6DP8XZDF+hYO0DkjHyP61neuI9Z/pA+mz5owbMNiB4olHGeQ1XaSVneOvMih4EitEJXm0
tW35hfuONlGjbd2gcMC6iQJ7X/elIwSXr4qDkw7gltTsnuB2a/OICkYGdt3fTS/2ctr9prAray6f
0VODljJCR8jKi55aQVIdHy+FMW13NbB8vTU/252Vk6Y7SamXz9QjHF4+KikYjFziebdXeCtnXM5b
QUiyh/nOyIe0kSUBmCzzDrnFpMu2fAxJPxXPFZ4RpDRfF6qxEqgVCUeBx/6OjJCwQoicR9iT8tky
1rzCCKIcu7Ol+WU+5cPjMXhQXou013EZj04xIe0XrLEK+Pmm92zRYY6Rd+ki5GoZHBKzFV8Y730f
IwtVxJVn8ZwWMzR8I/xWzFUHv+BjeGJuE7pREjCWCQdPjvwKWkfk64o7/s1hrNmHwYV470hgJqh1
tB4JZ4+XvlzZGg02VeatXkDzo1qrY9iKsmgLJELfp8/laWRQDetOBBJveByc1O6dP+53j56CxIag
xkCWJFjhNuWNbbEXOQ4zK1CWhTr4Ke/cM1MnVIcdzMQeviQZsYantmuDLLS1hXpQjraPegKYrw1E
zLCLnDj+CwqiVWptYqSywjYTv1R4bnc79N8JaFKWGjCNcfdU27Cc5FnXdBdxWguujQ0LNhvyBxLC
z9KFlsppbDNkBe4is+tKuuUFd4+emZqtLTFFeL8zCuA8uk75ATKovIfBYhhTgmeTTe5wecwyzleI
9LdnFS0V03bpc7wXv6Q+0vPofCyiel7An38a6pOIy8D9hZvhO1p6Et9iP3dU5nfd7iYtZNxder8A
LwHwngJWyRDd+VInqwx5xXvC+U0JHnM61qMUm2ZkyU+hL50vC9LftsCO0nJ0WtZQLoZBu+73AoPd
Wp+p4kLgk5xLloMuIeZcB9ZLGZxEmLJDwmxxyyBm1LtSwuy3WAeLuiMtK0ya4R3pVXPKJGwx835q
1QC2CCkZhavyLmkezOOZRU/2zACxb0aar5IwCT/q7ohRaeM6JdodXiMMwQE83LEKsIynVJxHF9KY
Z+qTMBsNRBiBOWjYFvU646WBXQYAVWbQ7+WJaeIHY1EO05gf2P4ub5otwpUc/epFevYXExL9x12g
z/eaYaZ45AIWuKoWbiR9aJ+aucnF+UMNrM8QTgGcrl0lnrP8+UKyoMG5zjRNgkyEu5dMH7TtYYpD
+gm+bz3/3l3W1Nm6ZPJgTJFt7e8cjCUdvOcvu+yv9/95lzUVldm6LJqkPbA//7TPkoGjaLosSsRH
mFig/rTPSho7rEHgh0buB0D3T/usbsmqpajgT7Jo/JN9llCK/7bP/v8jt+TfMNe6f8hqYiolvhTm
Fsmcg8LDwyJvJXpCMG62pBqg9Mj8co74Ce0FocHIF8n6zVA99TuI8W68gDPp2sgXuFfhgMzZLPaV
2+PsmwUarK3ZOGTTkaQLvn2mVdx2+5ZGc8DUwPRur3RLnuSKiCveJPssnoh8ZLQ4kmYSN/mwYA1R
6yKIgJQ5gUPsjs8CrQtpCkA/Ahi2RFgCGaM9JrloWN03gbVd2aNiYY7GYy/GrooOGMZJ891TJ2TH
6EbFm7lpfACuZcxoXf1Uj/nGYIRccCWkemA1mNcMAoOYg4r8/OayR6fPFCAs0LeAsbgyOkb4/Yq/
tIV+nd2CAargZ7NBNGWQ83xdlGqQElXFwLaekJwNGE3rCKcf/gjj2mjPAJo/yve/xWGr2BoETcSY
W7Snic/uPW7gXoWIYsc2UHajwz4lAfjtkefPXfBZDeAfxNDJdEQnFmG9Ey6Kn7V0UrCcTbibcnf0
RfVxuR7000CWxF7a35uAQ+MYuS3h6Fdzx+05xlq7e8R1POcJ5Nv0xL5zv4xVQWSxcdymn/gpYaF8
qOV5uDWGz1jYwlM0yfg2cWrP1hEWGYeFhgSEJkQFpDFQL7HsxDPxBvQHl6KYTIZydXvOYYixGIUE
MAyLp3zy8grqBgMg8jW8WyK/hMyGs/zgYWd/TQIxxEBMO6LpXeMmOr86D1hBGzaj8oVMgXjcq4TT
Ded7YrZIg8Aj1EsWAxYtsBZxSWLcDKxzuK4yLlSQHsFHX3RbIj0ZabMV9g+HO5uwDfzHmDrEBnnt
1skzUCmubkzVO6fdWK8tBeJonedl3aqaCyfVZhPG24RMRHweUSQg0C3cy4IHRWQLHf39nVJkfA6W
eHYl/Pf3QjQH4KA/K+w/dqbunEDoGqFDDPWNz2rbbMf/c2N6e75XRxPoERf/DUNFFfhtahyTZ/ZI
KO4SapMb4apeoux4JbT7+2GF+xOzgQnN9T7HSjN7v5PS/HC6XcWMjHOKRlSLtrw+MIvyq1SmMEgg
TAeisgKXyEFYdf9KwQrPgMPr9wZfFGueYn94PUUK5kTCKxCygbnpS/2S+tAaq0mqwrfjNGVGfXOp
BaD8XezegMj91FEAAezstSMuG/f0xC/wFtiou41KkY1s8WLz3vDaUSf29KWoyO42n/Z1cX/uasfs
cBAxk42EX7Ky62k0Gb6iCX8X0CbndnpA1C/ALFPfMgYnBf/H+aIyYcRBkj2063bPiRQ9jx4y6TH1
bkhwGF4vi/do8Q5zXUFx/8KnSlJBZnicjJx5qp2xVfuZUyfBgLlm/n5/rgv4pNjrUqDrs4JVhXxz
ExZ2t67k277fDgqYe0ug45zGXD+qd0dAR4QVSSuhrDRGqZ1cHVkUWb/aL4aP/bbEb0cT3fCCfzwY
JG/oVG5ILuHNboJa/f5ny4jF53tds1w8G1QEHWbxMeEHVDFlesB/BDTVNhcD7TUFg4EVE1GKKMAe
DgYlkEiiqXAcpivMSNf84jX+O7G6GDlhrGoLS+bAS435dDtLHVxZIN/iCOkcqxXIEOMKnXHZaA6Y
uGOwJoo0G9L0ejTjeR0hIZiVeGTtrKnD2BcjLQgeSMZRl4K8OhqDbsbZq+OcupB6R/VvLqMQbrK/
ckFm94RTjNWO9Xl71j7DoBIdqFLDud5r6N8w4BFs6/AfJ+x/a1WiSTLdtkomFC05e/ffVSWERv2l
Kvn9/n9WJcjXTQPCn2KSw2b9UpVIRDmQUCUrkgryQC30oyrRvzFzF0eq4B91CcXCj6qEq3h+8n9V
fUxz0JV/UpYQovDXsoRILV3XxrhUVVd/c4e3xId+CTO58qqOUB+YsuwFhR9hC8bEMlvS9hNtgKOt
R7Kpuo3A9oY2QJAksUPGTwpItCGNpiT8IDCrQeNmMTwaGVb3Zi7t5WVnYBvM8nZ7NwP4S7RTQapD
IUdQmMJR21XjHB02Zvqe2xXjZYDQrWS8gtnmm6tOyzbaYlcllbOdNKh2LcBYsG/diXN8FTVjx2Te
qhzz7qujhWTiIhRyJExdwGXLVYaXzYWfY3mD+CysF3E1MxkzfEkYXs9lZZ7tsKUi1VWZg0CHt1nS
H+PISTfhl8FgDWflZH4JzveXelXu1sqiZswxHVcKmGQYZfLFcSlD6GM6+iCH/ZutvWdb6v2RZmYT
tuVzI7JUp/d3MAp+b4heZILYr8JTS/gSmGrkPF4EOGPTgcdI7TdlAWd5pSzaVYL2JHKubLmnbia/
8isRy48P9pruYEFUppPeWMKxQ24t3BdVBVyAb9yy3HUz9aQsDJYx2VHkDfDkjcv0E6FGA6yvGi+C
DPK/c/OhmvI+DZiYozqXX4fbrmFhYX2xpqzeCrjyhqcD7kctvVJB3HEr5mouqzb82hzSFwtgfvx5
YNoy45aXoPoQwF0fU8WWQg8JLiaLUOdkrL3ICqZVflF2qT/mlMJ0VCb3YCPvy5cILXHo0lX30gIS
aLez1DkdK347U4GMJWxfyBf+ECjcFLgiOBCK3jt7oFdYc09Zpj2cudAlPZ1hAlQlCH3CxMKJjxEP
RMNd+tUjRWMsKpBtRSiEeCp2UKuTaZxukFvcWlZw/NgThFbutVy1IslGQ5BaAUNV+m/rdWRdXhb0
+lClMUFY3Fq8YsbDD10Jtz/qEmoZ9gislhaoU/mdDpdSgYKJSuIaYfI2JUzIhWtahOcEeT+8vd11
l8rdtMIOPOGora9oYB5svQuYLkOW06PFQB+tJparg/c0VX548L2RmrOCcA3HOeRFMJnhjetukbrg
WcpEXmFsnEUs+0SN0YAK5oZdXssi14hGKfwUJ0Ajf2NynLyzFQOx84fuGcKlGcV2HRFSteyy96zw
KRmAk6RulfhIzyc6CU7tbkD9LU6j61tR+U0eaLcZPmivzBSuDItfEX11IiA3nY2czXOC2t8KIChR
P4clKNnk6nX/YbP8GzcakkFkTSaN06D/k02CJv92o4FEBkHxp/b3v93/x0YjfSMX3uAeuvXHxvBn
+yt/I4fHxIbkx57x50ZjfsOjRNUhApmAyuaIDv/YaMxvBg8l0UqbogJL6B9lJIJn/9YAc+wKsUUi
zTbXWar1G7GqEOrCUKILaz5KSNhRrKGCQdGkQkSnPj+ktY+UaZCeMrxnsnIjCaPibpEZrqJ13q2+
+/RPJsJfCMBmjqQeowr1SrQ1w50xs45I4FvoK42OnX02xRrshWcpJ92imLBgGflMTFZ0aQOC/BmL
821UcVFK3i/v4WNloL2pgmHHGmIgkmhUxuYTFmNjCMRo8PpVzLRdG0ZFVMfybLELUaDCgrmXuGcW
QcOeGVFhozfuNoDHxK2nQFnXmxrcIZy0Cqxa1OST7Z3RXejewzM8IFQ3niGRnFFtjbt0Mk9cXJPe
3eczizuItUM7BAc8xuvNIchyMtThRsfB5AlFF2MozWUgLogaMXqRu5GGi9uQXcY8HmM3CBOoRV44
jqs40VmCoTlBl8Kl5OKjMYWGQm7DJGYnUCeM85PjHZMXWmfkeyvG8cLK3ISsbRjg0i9Ns8xN3/In
00YApUdeiWBgkRLLPNFKetUGJoBRBI/LRNUdQ4UK7luv12SmVB9ZqboqfOQYDJLjjPcS0NrouoLS
/rpghVXoKLJkXd53amT3H5tq3m6GeFkPgA01zji4Lg84U9strd8BDVk50aoTT5aUpNcCQogzw5oK
pyFkiW43FTskFmIM7q9Bdt10W7aFaIql9YD1H/se7wP+I5xl8fKqm3SVWhHwc9zADGr24+NxQdRl
bEPsRrR1xJKjRvDN6mBGyLu2WRI8moAOKUNGUH5oyUphPp7Qrxoq4ImxIlOObpOF9dLA9vRCRuTd
RgJT2KqAxun7sB9EVwyfK4PgDaTU0xp4Vzyc4Nwh/r2ObIRNIu1vfbrUIvceWMOrubgwt1tnMto7
7dVsJnNK/gvmweHI+o4oWx42WkFZthGL6tQ1V0fXI7suX4YzPaBSBJ0nhQts1/nesNHTGLJNVDaT
8snjaXSgcjB9fzzNIszHUVk7RTcXsJTB3HkiOF4NGNGW7F0XDTP4wemWsInUq1ftRnpyCp0AYoMJ
Z341EMfFbFMqNnyHaMsr37lBDUhmBnQjS7db/OFiJ5YC8xFo6kZRJlCjYmTeQ2VrfGzaXL2614uP
kVw3l16iO+EliAeQOan2cK0m/NNdkB9hQ63uVGwf7Cq2rY+ye68lp2p8fHVNizN2TM7htuEUO/kA
lMb4YoHAB+2YOUGp25aIJcTJfEVw0X3kJbEimmMVsV0tIHUwfNc2Gptn41jTh0j+IK3egW9EEwhO
4vGOTFGfTzcWBis5b9D4H50ZCtvJIcbHdn2dvg32GU8aKmNiJbQRH4NEgLG1bc2KlTlPVhcIoPJo
x6bPockuTO+xwFeAu1xWOvxnE9J96YTLUPRumCuqZ8I3rq7lqyvBNRYI2I1JxQtEzfnFaIbRTlK7
t+Kt7vQ3s7i7TQJ4li0IcRTLgD9qgR0mxmPrG7zAy+2gGYvHWFKiz1TBA81D62MJMh2rBeb/nlKt
NaH76IiBnjMyIv4Teb1nBOVW/0SfArLGhOV7NGq26xbVTCftxcH9Pal89HMB0bSr28U1d6TnIJUd
4o2QIlWY2MaH9FHFBGJPrgjRv4Z19XKBC7fpXvgeqNStx+gEjfJyws2PeXmLh+K0RGyOZVRtkwB+
TbEWpIMw7GA7RaM59rdfrENOI7mRybnQ0u4iEGt5w8+qM5pSoQ8cfXu+TlE8PX3Uvt4t4HTg+4hR
KM/CA+3byTNBQzMWMv5TMOUZh1/fh3FTQmqYSU2k7wej7xqiVK5wQJ7vxzlNkvFwVM5o+Fe38KkS
UTkRV5PdACs3l41RY4A71Ieazz4rfUx9Yjj16vIuAK2My6CtDvkqC6yFMmtC1Tn2s5AvDIpgJCsL
E59n9gYlQ3JlVWTXBSKNQVNge5N0Xku/FCuwU7wGZ2eAHe1UfGinK2ZOzYK/eXgmOTgJuqJKIqPM
piP7F7x8b0ALeC36stsgLRjtFEHLXPhhhzT1ZBL1EO0AVCQoIrbXVwGZHn1X72i3vY7cBCRHmvd0
ZTiY3CW04q932NEMiOgXMcr8kkZcaqLuZdI5SkfFLVk7I9CmMAeAAQJJ3dEzAtXqKkqPnKFJvZWl
J7YpltiObqDbZcvLbdLU6LC87OaYDb9618K5FUcu5wchJwFj1zWucH1p1NlV4IUur5YbqvbV5SaX
M1HhIebSKA3VWaiuUNt3iI3PHQh0aHdojUM7xOQb32h135hbgQxkfX5VAeego7s8L7dp0J0gDv3+
N7fkh8R0kuL4MEu/0bE/o+5XCEdizazLqYR0sd0Uri7QJwPbMdGDvKK3s0cI1itF0yOADDC18cVe
QP3NB2lcYV6V4yysWzF1l3GWhQeIgtuYxtYEpAoLEb6dWDrXbpk9GdqC3YYJgbGyfKDZZwm2Sz4a
RxBSjvnDa4KKiW3wugrNnXFZJ9cNXOOHfiBHIrE+cOmI7I3ODszbnwiAVEDkit19lPLsjSSIHA8N
yNFbM5yxRfNZ6AvOise6wTMMy3UIco9zt7w8S0tA6p5uybTHzugZEW76Zq0qAuQcwgZv0+TYPCXL
Cp0Qc/RwCgEJ+nt4uL99t6XC4y71pd1ten/D4pM1tXlrcGh+GwLcLQp9igcBRQgFh2KAdCmMi1kT
Ppg/Iv5Wluikl+PO/mJN708SY7k5IthywvaQ+A1iwBBJKyPgY+2NykV8zKG6ZPUMs5ny5ZGPTeNJ
brGRQkn4MhYCJAqwtiMyCdFRsBZHYyzdDauODxTPgN/woDC7oJBpxCmoNP3cQj0oq/vTcD2ULObW
iDKPyK7LW11UucMnyyUPmYSr7UX3rfwtHNu1x7ShWwNSxjY5F5R9DVhcQ19NpwahEOU81AR2cA2S
EFNfT5KeFCy8zSUFAkFMQoine+GPHzdMSDDs7GnI+ILi4KCXr2mBr7T+UjT4vAC66z5BtT364iQZ
x0X9MiQnTaciAQAWeBu5eAgl+8690kayzeFoVpBg0RmEk+4D6aLlsxtKMUaFW87gelMTIvsgWyN1
7vS/NI246WWu7td76EsdtObp5b0564EZ1Pt6XW0xOZteCOxFc4vktqGgjx4CJRxiZqjzmVnbV/NV
vKBsR3XOW6qe+wGW6eAa0DYf3fwh73uU0zMN8W1LtJpLCrjA6cCXjQkvw9fYw3thtDXWMHsqPK6A
wzxejcqs8RXJbS4+fF7+5qYVP98zpljc2Rp9WmGxjf9K/CsOSBjvy7YMWLslXNb1uXTxW19F/6TP
TUyd+4XRHmrrELl9Pv9Xj2o1EEtD02RR0cxRRPL3oOhfCVG/3/9Hryp+Exn9KhYiKYmhLF3wn5Na
SRsJT7Ksi4YKberPVhXgk6BThXRa+fus9ldMlANULQa4qqoo2j9qVXWLA/+Nwi39fOTWb5qDVpfb
MC71avSBR0ZNarrXrTHvG9YBSXYUVC4bleFhtNgveyG2CyYytcz4FuFkNbVKhrm1zvQ2t2kaWdoB
QdeweKBpX7H2Dl+Nwq/nkAqM1sPhhSHDnYIAghLmMC4+d+h9HbA4B2EbLUXkAMJR9DmMd1kW5CVJ
ejgiHGH9wMPib8xtQjdVdvwmol8hVxBn+nHAjPc3isJ06p+YNSLxhGwFE/5WsjlntwmWgzyOH/h1
oPofwscNT68efj9KCENeQL1pCuYMqGkSZrN5hadfU/rRKyzh4j679IyDMuY/E+TBjEm1bGb4LGnT
YUZGzUeROV2czfoOJvXm2jhxg1J6MvSVU1fo2hP/IVmgudQJKFcN6ep0VTTylQizuUZUQvAkVhiG
+83mXcSk6cVcWOm7iAtV3ILw9cx9QvxTaSUT4l72yLSGEgUrjju+AIwM2hUu3ltUWPGccSywnE7c
ae4ZKvLxl/6suIPpsxlA4lKdDNkvgW+6La/lj4H9cQQhU9JOAPBUO8XQm6AJ82lcy+k8+rGE4Rp6
V4RhTbABAgSxzFME7lBIHJ5YNJcQTWlmYZe4DR4ObA/jfsFhwEmNbPGDYoc4wB05UIpF/yP7yKHr
Y+zqL9cYbyTMxGcPCkKXOzH0M6Z0oDxlNE26FbAnfwMp8mi8/FI85UmgpZirAEwCK1jQlFjSPti+
Ws4dnL7hhcZf5gsTKYZUXsNZWOO9ojlRTIGh8i4y9KpTqoI5QGeCYhwrFJHYVOhb7kXcY+LFBo6M
0lQXVxQpgJTKOFISH8AGIzkf+SF7EoT376YrF896LWjlgXY3mDeOkOcs6iHhw+WJ4Pa5b28qUbxs
Pmw3pOLaOpZLfIPAcY2jIs/5l6pnjEEysiCmUn/HNkyV7bZy7pjiZnPGhoR4jiLhL1bwPsVLj4yx
PUMzWzCwGrywV1Hz0k1/8p6NBLDckanaOCn6j5byAD4S40EoUmShLUA539uNuO/Xo+gXUjE2g4ri
AWQInxrbjN9t33WCN7g3ZmdcnHVQz8cBuIgoFoX/HM9uOIhpiq0czisW232LgKD1BL4jFjXeql4X
rrCHGtRsh7PGSJ2soNGigAQrKl2+lQWu4qPxqXkEmIWPlNmcSbyZmIGPJ+AYH4QhAEi+CTK+5Vv8
xXdeGmBBhse0eVOfuXnqQK8qMXGd439A+PrdgUJFPVq4zHgZ+UrLzkOXEfBEt3cuorCfMpJJ3rmu
8ep1u769d5525Ko5LpKM/tntx8kwwTT+7bmh0hn/n6JURHyPYofqgqeDhow50afxmbzDvrbmhDKc
WRufDeaMnUcYPWHwTWPDljpmdg29Gkroc56PDwPg/MAPpV6rODnAhGdK/8nKQMmB7PUO0R8fP4qP
FPfz8bWXsC5ZsHjDqJGho5yplss57BjeC2ik0p6lLH9/oIvDMorRfeh/2ONvqKCwTPPK+SWaCdfF
OA85w53kjkJAhTbsUyQuS3lJuU3ZTX00A5Hhse4s9nuWBRQqDiu92AAXTiFlXr4gciW9z98MxJ9p
vxsfjQ4Pu2MGdkdUVL5yy4tLdiTsyWI2rjEsDMQ4XByOnieWl/AxLR/eDr8LQf7ee4DsPBPj99FZ
N6cBZc9APLzv1um7fNY5SeDQ8rLaXKG5WiGb4BBFR3BjKHwY7iAcmRYfxaY8SI4wD4EaKXEufPGj
Sb+LQFWGiclZTYxi/28meONqPlYJuoi3uan9X0NexNu/YO8aBcvv9/9Rz0jfxmktIPrIHJfhfP5Z
0HCVDOtMZ1JrYKpu/jTkNb5ZgPIGcL0+Dl5HwtoP7J2rDMVSLBOrGKoe8x8NeZlk/17Q/Hro+ljw
/Cyu73rp/tBrwlGwFdOMdQ9Ot4bvjVvO6PcIywmZNpbaC3Rf1B0P5xIYroq50Q6+9SsqiDmgLl5F
ge7FJRiq4IrLgYwDbaGe0EaPuPxr9AlzyTNtHcoDjBgyA4cdVjHCqQfGJnIEbA3TFWHcl+qX741m
rq817I5IL9RmpRLE7On6voK52roWNoz0anOw3hvk7a8OdLgh/ZJvtH8hJebYeZT3zkCEFjqUJcwT
EEaCVZ9ZWu74d5FNBnGE/hUEld2bpy1ddlJuYnxanyy/rF4CjhnWhNVtV5O8OVQni/wpWKg5BN/w
9skfffdvrv6Z1OgmJ66hSYpqMIj62+rf4Jz/aVKlfZ/0/Hr/H98WVA8q0ya+MiZnOOTKP78toyCC
EZlmyaI66tJ50D8pEfAzFdniaDRmSeKv5T/ESsmEZCEpukHT8A8UEep/YWr+/NI16bdBldKaWW5J
dY3VFhP6Q7sD0wVo2IxZH1gDknSN7agtYZEfBfWqXkmLYdEcNHdYAPA44TycVweUhxh+ut2iQxQG
G3KSH84WXk/Ed3SLkizdr2yXEkKVYvL2+Ij8dXdQX916168gEFz4PqHx/WyXJXtHYDwZbw1OXlMy
3x6cunB20gkX4K/6pATGG7+1RyKVP4vx1sn8sZ/V1ASu+MmIBN2cgTEtN06BARz+qqERotc4gwGh
eDhgwASWUm1QAKoOzj7tTqJ2pUibWa4V4OV0BDppvf5oPckYhXUmFl/1Ml0n23QP4kk6ANGqQQ47
nHna+uLE+2z5PbUy+8wKwnOxuYy2M0JEiiVlkvR0X9/O9DR+fcS7j839qaGa4kiLLU+yvL5ztNAm
FFtcusUcC5DFAMUAvFp9pTGqPhhYYXb1wGQG9gKYJ9M8KIiAQTlvLv1I5A8LQ1hHZIsj6R4c47GU
6wWyT1gfqvryKG2oCUaxLhSPSSA5ThVzbrz54iUXRgE502ia1wj5B8zJOic3SYddJEkQGdFC2VwI
6VLLr8uybrZ3RVzluvokldKs14SZQXijMCN63otibzJeIsh+Tyh1SvJaVyU7qXbZO2aPelx+GCTk
t/mNxKDYdLM+PfUaEe9vHfgXFutv1mfNXLQmkQyINSrfQGNqbCTFy1HaAmKMVAdN6ndKBksTEn2v
Ta6Ntkk6eVOUPXJEKuguzp8eAL6ATFkoe3mHaeleCAaXcoNCCAEO1Lnk+yzL7FD2WaMDd8UIrJKx
AXbAy1jwUWkG4PPhZ65jtZGjGXi4pV/kcJapr8p5t0mfY2IPAzPyr3CBNe7DwyTkcqMaYWYUzfLr
xmJ2xlnRE7EwPUmKHTKWZHzabrk9YDsuBegrmcRBrIW6s4gYYZbe2ODmHvFz+oGrlWTR01dT+HBH
hjhM0xihgWBxdBlJQmemOtxsbLXvzzzGBUz4iQj6zqEHr1IXNJVdr1M2RT+7Pw/7pMUEn8O5PxuR
Y3NMHAoOpcHlicOnoUbHSrGLScmCR/03bwP/KR1YjBURisDfbwPqf+Hr/1E1/Xn/P7cBSUXdZsqq
IRqiIrHD/IkCwRMwIUlIkiprxs9Fk/5NBzcyYdTpqgGLAD7bj6JJ/6ZpGiUYvAqTXQCW/z/YBpDn
/V40yT+/dB7116LpqhiiGbXkrccbEAr1C5dvTPkIEecHke7/NVlVi/aUHtIDomz9qz2d+1N/0qJJ
+9q+3j+uL8IfTCOnXMknuEYFmA5OtfCoHhvIWQzr7RiJCD8/Nvqp3rWruPXqXbVpV+NQnOZdd5SF
frqjHP7IQbIn3azalMRUMQQnd3fGFcQLaKWdKEslOaoXN229RrGXXGSeDBfmVb1THdGa8pN5uvnD
gUiXa8tayhqf+DwUkzLLpUOHTX8QNL8XMPhZDYeBJzJf4aq9aYscR8kNmljI7SDuJBcGEP9tJmxz
w8cDTnSQ37FvZCSomVjMhWfKKMD49vvUMHflT9gIWy3I1xiU+thD4k5xc2I4hW/Ey6iTGbva7DYv
SNJtiSduj/VSRk3kYzaQvuMlWW7bc+7itr7HSfg0ckeAjPzLOISMsEHIPStEg3dxCQzUpyXmgy3e
BS8dbx00vtTVrzoaZkfFPoShS71L/FHeO+P1myc4J8p3U01y3Hh3zft48S0A0srH17Cu6bFCz3Lj
yLsFbzwbpXIfbWH+g1Gl7kBaPQ5qDao/IgXJLByPIoQE7/MwPHKIpSnv8q23uRk41viW8ubzIUJF
PsUp7zTHglxrwQep2PorHzm0QuweFrLTr3ipZbQ1qm3M5JJDC2fXiMQEzpCaPEa2wH4Fcw+uY2Tz
qSZ+FOQvPN6jdgyXi80TpDynm4WniPjy0ckvrx2OYnzwdmQxkjMzPqlEX7i59zZZWuplQy6g5RSX
dyGMPcCqK1vWTJ71G6YlMtyO4VhS1+OFnMVvNKNN/mAj6ro3hdpGqk53PA6voteaSzalFpIEZHfg
iWtkEXtwz2aXFjLF6t6tSWponu7xMzJ365x/PRzJG+IpDLLpw68ZCDB7F3nOcTho7KKYM1zPfPVS
fsQQD9+b0ppB7Ljo4pKplpydK5n59cEEJ2neDIIfexufw8JVQGxMlylNPZM4abBDj2VsCUfPWwH/
at+S/OFsuuRaqwREgLwMjIyuq3oT3XfcAXl04vfXVbeyPsX2mQxj+HPdSrf8zutWSmpzn2tgneJy
w5gEts26wCeXp+D5e4oGTDL5LC7u7b5LOffEUerot2vrk4NLwvdH+Bw2c+KCxjRMUJGLNiUk8zHV
TRoSHn0oyOqeDIxqkNwp1vTKRofpppfCsIRYiyHKJ955Tr/P+Kp9FC62uikMcB7QtMZxUJM5srbg
XsarqvNlcgoIJJ0zvcochApDY1Ce++s50ZlRKsmmjgDdOh4fM0aKDqZAmC+21zN41LAF0xm2IFV8
rPAEmWiKEtjCvhLnd/osxJP3xy62sDghMMXlRvUaD0i4J2BQt2dLcc0AkKfiHRnCxQg0Ib5gAmZE
exFDvZcHIykL3hbIjMK4S4+pJR6arWh4QIqQ35/RZ82w4yDiEB1nyMzLdMbhFgWABRyD4oVQkxE7
KZ9AfG7x/lZ+KRhrhbmBBnEdqWTS58gEaHwHBSUTr/AxZ7MnGtApUAQD/dVT6+LQBGsh2JatIDtC
3gsDcxx6Iv5bMZGSJPf6eSunGEblR9ZQqKL+x/VoIsyf1X+4xf4bOY10epgXygAcChAGPdj/USJI
Mv3er53iX+7/U4lgKVAQDUNVJeTxv5YIEgWAqKiq/Buuon2DXwmRn1bRMGVZBsf5USKMVyl0jxjb
/TF4+gcVgvSdsfir1c/PR26Jv3HnG2Ooq4talHBmppcveZm/k/eKahq4kAzQxIKONurzUhgbcjMi
kYipQQCpqZGtFO6JEjyOFkKgmMvLVz2PMfRECVjyjWrs/HnU3qlJYKfMmCETjKNqRz3z2/D/uDuz
JbWxbV2/yolzzwr1zYnYN6hF9G2S3BCZJIlACJAE6p7+fBMv70rbFVXhW6/ySjtphOjmmOMff8PG
/II9hseBtnB3Gd6CFU4wSgTrnD1w9L2TNIynkrOSRk8Ucf0ESDk4mhqYB6AeqGk4GYMGIIdGVAGR
SIs8C1ndj+a8oy/v1yGCtxHMZd1DBV1PjwwgmJIIqRWLMov6Nmw+uOCaCYC/A7vyOkSJVLwiLzaX
h8HW7+yDY/lyoG1CKD2YaRN91AZEKhwGVhuo8CO4Fi1YPYUtXfgSoDT6RQ+AH8cuEOul4hY9O6Bo
jDvTDIHLOu1hnt9BXkz+Drbgt/eyb03sK3E4WOrhTOQdFSLqVHxgwfeXNwYG+tlrxkcG0KDzDEgy
UhTmgPfM9K2Oe5/KQ+gzdrvgMVGKCbEYkPCZDORqjJLpT970o3ZVxM5b0g0wz39mKQu/jJ+/0b/c
/8s3WlUNAyryL1YYMpRgOgEVT0IDHPUv5IcvLTZbrAJ4UaLN+VGiy3haJEOi0jV0Bb/X3/hCK3/j
3fX1xA3RknzFSe9HyZSLrCOsWDHZPkyZotFRZg0/dD5B8iC59K8jAMvemDBHBBpJuI3iyXWEymJw
n5DrMqlWpwl02q6OmS7Msvfxtdu3e+FmfIiwlPYYq2Fis6pW+UA47BZe42GR8AgeAebEUWFAV771
Lj1hyCB8E0jfG5wmD+wEBoTxrZKZvqb7KLAebBy2rjzCJutup2cmjzvMNq/3QXIfg8HqGPnMzLTq
52Hh9naPgcXRZicGiY4/RrrRb70AcPSIWQE5CKQG3MOi7Bm9mNjfU6QwwTZHHcYM0oAvtwqC04Um
44i0t/rC3ha04aJ6Z+xwGKnZm/sqn6lLrfl8zLMxScwY520fsxOplnRA0uRao+qXuqj5GnaOLXF/
7FucCnwhdxunxb716B09mR1JzWCcCVUzB8BFf/DAIYM5FliF1Du0fgXFL+kgpIUCPOZIJuw/ijD2
Xr2qa3klyTmMmbp9s/sB/RYdTnfJmLorI7LQYBpeB32hsugiOFnO306jOpwMHgNIXJwvLpucbl+L
DrM1gctezOYPHUdwHmFBoHq4HJJhhAtZRs3/k9cFmeqt80WTkKcZKl+Pf8KEZUHs+LnS/3T/v9YF
SB18y5FECNqHUOh/AQMMwe2wNDx0bNXkoN8xYVYGW5f4n8mURMW958dKj54BVx3Z0ljIfmuC8rcu
OV+eOkqGH1eGS2rWJ7kpiwCYSZ4XES7bChQLYZSiRE+jHALTFWeVHHsnOhsjvJVzZn+I37JT1M7h
ZigbBnyUXtxbTILfGWCiS72JeSZWut1HZEMDIEa+9s9r4C2+LNVUwSIQDirTQDEWbKbsj8XuYqNs
GBee19rQWKpETT7ZJiJx0lhay4asXG6kDHn0CziXMDRFta9wibg1x+I0tC35CM/NwAaUTQqMJcPQ
Tp9H40QFNojlPf/xeOf1ec3gmZkmGxd2N8xSkRTj0GGOmGjCPeaA4kHqcRFdEj+mI40wCPJuu9OA
Oc381KsQqO80nDihCnhaoI7xhTOG9x2PCpXlqBFljmMB9M1PLX5hNMrJQ1RRID0rGyau7HE4m1O2
Zi9lh7BfYCADQUjwOmAznyL+oMLftgshvBs9poQJtD2QDEw+VyAXB+Y5pNgD7IbyguZbzLcShls4
qr4q3hk1g+UmZMRLB2asBFg5dLWmT+CKWwVYNA/M/n1+jWKgyCmkyLirh3qIEx0ACNeHiPtYUplm
S67fbKShTeaphbfBt0WTPVQVvzA5yD3YJvxM4f9h8M67e4HyLnDlpsdOCkbB1mcTxA5FiM1vzMyK
DJadpxi92ymCBiJ1pvIGV5nXguRtOvdZ4eOgFpmsyCng614wX7Z+K4gLhwHsBlgO5z60P3gL0BwY
qsNiwF/wA0u/ZsLxeDCYDOqQ6+vZU5oPLxQPBxydVveIBVeo8D46e83972nVHkY0MGHSNeRHwZng
coIPVI9z5gwgpGAsw5lD4hh29tjiDMylBp1ieUcj08U07rMEyo0Xh0H17azmgkQvzS9hdZ2i8Pex
asOghuch6+JMGkNzLumHho69cQrokyWBBzkaA28bVrAaogZN2hEIiP8GMqJ+okHub2XTa6TPM7lk
RziOcbe+TDrLDpkkWOZ0szX2S66FeFoj+4j9pFvO6Kcba3hMfCK0hvZxzqMISiPGxgF+WP450vp3
lfpkfAruI8lKgRYSS7K5TFNI74mbuNfxeXqaJnPp/Ybj+PKyv74X79LLDULYkdhEGBIYUrATbwIp
4ovXjh8RwvoSY7jShYzFBrya0rDSQPD1sycPeA9D/LT45j3GqCx3Mro7MqQevWR3gdte0UlX49tw
2zf3/A5TgoFnO5TuDhYGVljNBZECcocC1DUWYQqMTNnRclk5fdJOBPUCuoYmuWx6t/3jWhB+2AXz
mmYh90oFPYTqC1MEE4FkDbWYS5u5XnfFzayQE82EYzWX0tyzTa43XP5n10QViNpURKT2v9rGMUr9
tSb+dP8vNVHXJIzmVIXaA4Hgh5oIFi9TMHUe9Vlov9REsO+vhe9r96tqkslWGbWNMJz7nd0y2Pqv
ADmz2O9PnVfgx5qY1welzNRHEUBLxKEMWhE7xiJo+e6ykVPItyCEAtyO4gN3h4rGRAUCpMZ6/4A+
YzDtg6mIzxscsEt3BRWH0J70Y5uOUKBTa/hy0EkboEaUJIRUUmCSjoIxG6Vtm04oRKIGQ8mrMWOe
YFxBieJYyrDT5zrs6aTN4ZMSBayDW+ZGX5DX5z0irqvHRNlglWHAuuIhno8VtGOOe9sJlo7epW5s
V9KQlhiFtu1TdR7Tlh1qOW57gnSuutY+6Vt7rGPqucFQWBXeblii4Wz/rEjnHYPipQbJTQFQha1U
exjR5LiKb6gOOkgX3e4CdziWMxxsrlLEaLnGgYzbPh+PSABAdqzNDEfGASd/haohLhEnl3fHPNpp
TRF5P62tPefCmrmhEFJcwOJZsTB2EYfGw4TJdYNJK6h130LmO9cHNqKo05rTsX1tWVA28bjht+2K
vxGvo3lmhEomT/2BoB12J2JIKFoi9LIkItPlOdp9HrxHGavxdT7vqkC8WGlYz3ludp9bVzNOsArO
u9O62aDRQFg34GK82D4gYFJgQq7n4ZJ+FqHSAt/IeG5qXxpWAaClwzS9Z+1FBU5DThX8fPiY8lZQ
GJWF/UbwEHC7S3XpUtWQE8CURGItzRGDn/t0NjX586gSIITuYfh39ogKR2wjeBrhNoRmqczhogoG
KTzBRTNGQnJyjAEVDIyghcTIakrsHz3PddeOCrTpiB/BMhFoQL/n80xSGR9XdlTw3bKe8PBBp8Aj
b+pZM4YwqCNq2aJI76y2RKuQxyfU4VvKfOnUU1iOClpGPhTCrQ1sQhz31dr6xAYCWXT2FGJgjbBD
FT/37xF7hCuiqAhqXEA541dui4dOKU7yghu8xn/yBl26hQ7e4VlszTFnxpHZBMAmRRTBM6elPHVf
SKjvc9U4j6x+Hi1xAEI3AGNvBzkGVETwFWH99QXJ8+7UG3NfB+a+3RzXRvgsI+beEv/Y9ln2Lx4/
qAR48vRRGlA6EkEpBEbmSHBzKSH68ggfEE6OvkzwgsQzaIjFUEEEDHzA6bIdPgsbVEOYgU7oLMXF
dKTV+Lhuh/pSQDNEXYaUrzsX3qf2HhYhZwzhFliZise5kNAK6wjS4dMAB5sJ/zYNjRs1M4UkpIXp
K3yhDrbTQ0GWgy10XHMOag3Nj3hCyJNDTv4WVGN12VJON5Jr1sz5+wDYFSxE4sYiKm2+HYCLc5fl
80EN8sIJZmFIEGByV6YjjOlKnh3P2RIGcwosCp+nt+YE2yEJisN6U2+uglFYTf/weimsViRDBtU1
KCr/2EOqv/CKBOb6w/3/qpcy7SGhFugKBL4EKvWlhxS6Ah0ISZWQu9NefqmXkOyQpFNM+SGwrK9o
sQld0MKERVwn/069xLzl7+rl/566borrv7DwFAPxe3IHLq68igRQZOpdg0lplL6R7nZaxGP8LnpW
pHjvTPaYC7Kc6yhKMaOiRaO2yXOcFBrrJWcmYrbEy3SwF0cVqk6m26Fme1U+4Nq+QIG5El6G3ZU2
VDtUCttbjw8pG04w5u2eZvNJ/hd2o1yAHzrWoA+S93wqoI0vJuu/2GZja5LCxsEnE19zPvp2BEc/
gW/etdoFKRXrcoJbGq6rLMyCHlVOWmQAor5kUpRgug/oDUQ0oc0QMoE3Jrf1RwVDNu3DGqRsmKPm
7NE8PWpaKhLQ/GYk5tHnjzvjTlI9IBEK3JmI3u4Lm/oegltannsEv3DMsi6o2EaPLgRt2UaaQ74/
97E+H5lOZwgj/k0danlUz5RFLXyUaahoJgCs0jUNDI3LlhERFUBZsMb2d1wm9XDtZKzUZdUUdSFd
8wisqZK0p7GBlJT5rL3VhI6KNZY2KdZ8gYkdjwOOj2UYy/GRVD9nouH80dv2WadYIAltg6wotF+5
x5yPn0ia4pfiOmSZ4G1Rl+aeTL3nCuEY4AuYI8C0Z8ooPK2JCmMJ08JH3M3Gt+nh0RWxikZ/2xf9
iFh+VI+JGyPMmLmvAWWakScKP56Yq7+yz/DyiFSzgIGmiPukRXKvPoshHlz6EimfHlrC64cO3FrC
gaGfZ1bRcLbNFCLoXWfgtsKaxm2RL8eKHyceyvvrNbSurjl59K/vf/BaJhuyMI+UdeHryFTpn9cy
W1BMfsDDfr3/97VM/g+jLQNTDpukyG+Y9/e1jKtM4Tb1Xev0BSmHHCOaEAnqpK2warHCfF/LIMeo
LLj/9Yw20TT9BlIOtv7zWvbjqdvi+i9rWWYkef7oJEpwlt2tCldeHtxzhWRJa1TdnIJd0+HtcmIB
s4UTvnEn7UFDHbhdG+TT2vifI2sg+NfCeOpY7HL0KHCujM4WpcsZDQzB4HmvdtWMxeSG/eOhckvX
3JXapddmizguB4kpAaV5QihtXeIgLitGsurrTdGxYGCTFzEmZlLEvLgC872IIl6Az1zqJDBImRIb
dlka5BbG9kuCR86JLDIs9OQQJri9GlM0OyiZsb3ChvfexT+IqBmcpnu19SLXAAoWA/D2sB3ALmYh
sFhK6vtyW08EcqGhlb1JCwt04elGf+jO0KwcPREIqaUi90pfnvl66+JLjx1RC9pMrq4P6EK+1avY
5UM8wGPz5NmeBLbNFBrxYoUFUkWMIxKJS/go583RhQEXe8b6umgG1aKcHV7TRflJHIXWvS7rPu7Z
/tk/j1N8UJbyOxppDDgDYXRiPEM14nGNAlcgMQLbL9ZKHRjWcMtKoQeGMmD7w6yMoOUE0fkUs0rI
FsmDV4YBOOsggY/d+yViRbNqf8aenl1sDgsCmpKxEH1N2KpDS3CYEEkLDxAdIilbUULUI/k0xHVI
LFtksz3HdRAf4BOIFyTzU8QoNo4YJHquYMaw413SBJZT5gJIVVDYYdwIdtHBrsJDegvnghcwhxhE
NruPvzA7RAQkFXUBmwAOX3t23ENoAi/lAFyG4wXrJkJTwVJhr4rPF05RbCZhR1TzGAuVJGeqYs2q
MbnczyBK5yB9kpLyyMIr6ibmIbiFK93rBYkKRIdjPUrqEZAJfAh2ksLGMfG5+ekUSZcFP+/3JTeo
zRHH03HmbIbwILhETcUdxTbzv4/ECfH8keqEuSNib6FRzqppO2cpByDCtO/xAdthawUlhBvh2ERL
uuTdd9N4I7WfEDPay44lnXn0mQqCag2Kuzxs5vLwpgZ8fgbnmULqKXZRJfrgGm7IkqBMAtEVoTLM
cXNpBeskWV/97UsJUiwGzVEqzzISQK8JLN42df/gFR+uA+IRAn4sNq9MJf55xYe9+NOK/+v9v6/4
UN9/3qJ+X/G5yhBjTlMyWPV/2r1aKiaBcDAQkDxnI98XfDEbUSFDcpLf+JW/s+DrNtvunzWxX545
uNSPC/7NqvJWujVF8MBrOGMIWCF1VGjrFIdxQCt/ZCC37DhPlQG2Ay0B7iwhAf2DNCViaknkPfuL
Ox1sg7RJiRePW4DFiNxTmUn47znTgctaGSobdq/t+LIGEGUUAWD0aHpiZsHxhBlyNT18YnugbBg+
MFvBV4cruZx1AIhozwSCfYywM2UCw8lgkCxc79s5D0zel+ZzUwChqz3Be2gvhF+HTxwOi4jrBera
5+bgP9oQcKgTNsi0bmIcwjmIcUg8QIQaMO0QaG4giVO97Yp8xhHtPMK4EC9+0CToSqw5dvTtzJoA
BoiQriEhxPLNWzR88/soWKFMsKdmKFH7wB8m+2qgkpF6dKENFl123PUH4A+MS26lLUGF8td6LriB
YEfst7OIy09CcS/gKpKauBjwR6nGcTp+mCNMikGH8CYEZ4Ggyf0L3iY6egAbXJG999PE4CD1HLvE
ITgLjsSvNBwAXc1GbNpBxdiD1vwG+MJGHtDnAtoOhgPpDhneGsrkK94LbOhnPApk0dB4XpqyM3aa
DWf7UY5JX0K1DPyOEzMyYn1w4c0DjB6fd+D24FnVrBxzYs3ovKM7KDgxaWi93XyAJ5GjkD4NEiX3
acIszpHnvOOseGXSkB+gRkmfh7D2p/VjShwyAxHExV0eg1vzwNY+i2yS2qmANEv7DtXi2Ps2VgCF
MQZcAQcFc8FtyPCEbuIO1HI8eLQJvGJ+82EmXXkDX2VIOqB7jybEAAhQxgB82QGnpDcY7LDiNaHW
Zfsv9hwYQAO3SACY9CPyJsOnt6/CPZ8eZIofb6SYk/DAt/RDAdTAPhPIPkrKF67Aicj2WqwPfP6m
XbnZk+KVvkOYUDF6IUN4pXtiQII1Z+4xptmh3AW7Ag2iy2rGnAXDImWhLPCMYsMCh5OBDhDpxODD
2YPPY78dBvWss6eY091waB5V62B0FmTlXGlwAqdobngBbw8y5zyeE2ECnCfSaBExcxUoD+xERgAH
KILn13JaqusE6w5LmRUx/mXkWzDKcmKMjfx2Q+EsAW3QM2ShddhcYdZFctII5+H43nbp19Gl5gxH
+voS6AggKGGWw84CH7CSSGUDr28grHRNMg/omhRp0BQyF93tHUKU8DlDHMuORIzA2tHTlhGIjPeS
F4WWEI4UYmCBd1l9GaKj8LFIfa2fzcvlfahHdqBHyUT9bD2k7AMIqDWqMAwjnMcim7A/+7BXsDUT
VKJ8+/l6MSghkB73i4Mrmy8icxo+VxfQl1mLzkZGzFwouRl8pk67IBwAYS5Wy2TwjKTFHWInSgav
6on/E2XgxyG65WjUvpHBZJFUcHQePR4+F1oFFhmw2FXKQHKlktoUnkKyPkZxL+5lnrGpHBntKy/n
Wm4mFh9jsCyYTg0EWdPo2TioQlhgDNu/8p6xiAZsASKkuH928YZNCE1RJZcXOtG/FW+amh/aNYr3
T/f/WrwFHZGjSiJh4EfoCb2abssSLAZ6MB71C/QkJjHAVTIWwepXSRvVm1tTwWXh3Khrv9euaX9X
vf869SeF6mu71sFlPJaPBdQDogMvGaALuSXtnDrCH+pi7lzn0ssp65o9ZaQNoQdep2BJ0i1hamEx
v2ThxdaF8g3iEW/sw5IbyGNlZMHj2+6lTQZ5Adwig8pgKRJT6aPDZ5JCwQxengvEKsdmPPNHPJJw
ujt1w8+zs3o4VY6zFvzIIWZcUH+Eww0b6t223w6xud9u6jyUtl4HjRPVe1WjDMUs4O7eU32RrPAJ
Wh9X9U4SvD3nuLqvK9q0NCim7UuGo4K+dc7zuLuMRrIz4BQ8w+wdey+TyWwW4xPEUCcouhsbopUg
VOXAzmwxPGAzj5kB1akgXugEcZ++pg/kfg0yJwONI/eQDjL1ckR1CoozJB/bKXQEoDFGF5ilelsa
TF5ZqP9oywQtIRdmlNRhzbuh2sb63EVKdsfzbkU1458ahH9q/XbFmCURAxTwtAO7b4xuibDhQmtP
ohAuyEgZxDTGuCxqSaz/7YgVWrSqB0+Bb/Cq6E6FWO7Dtp3KWN40rBypeq0j/n/fvNJaUEXFygAg
hlsBZhG9IxnFrGg4QX3gXksyjB01lCRKMJBZDo3yrkioDl0BxXX2J97aA35NLMXc0MqjRJ0xbmiD
esYEgR6MGBisOFjIt2BU9A9iLcZoAqaBFG+MASUIr3oW9TxkdNEMO6hdqtFD6xc7YgAaY5mhwTU6
KAesfk0vBIawpI/jb3lIM7jMBCAv5tYWh6/mGAlwu0Bd1ptqbIRKlyUOyrrqpy5oPdAbE4R6I4YS
+BQc10v6waOA5CPxIWTsxJiDfyXrPJLoRLeCJ08usIhEYIpgMrVg8g1dTYr4m0MTH4CTeoxhnQty
h93BfzPZ/1TmN8sXzCsEV1Az9X9bUAVz86cF9ef7/7WgCkTeNFD7CimXIH196YZYKmFbY0v00+Qb
dAuCKHwwC3DsqzSMNDVuCkcdainIGUzt30C/ANt+bYb+OnExh/+xGcr1+7W0Wr4sV4/dPWEJWjOs
2QmSeXawizAeyPNvu/+k++G67P5xAiJMGQIT3naiM1I2/YfTzgGTRVvPThWuMm4YXiEtLmsWTmWz
wr6NffOQNRc8th4TsA6Ela3Ny+KORWQ6EmFglbDAMEk/gEa1zWbakk3vkRg3gtXgZNtnMULIKtaH
Kfvu846ug0VJIPTN5rRWH3N6kcf0gHRjfcaBl2GdIuJRzjuylScFCFksegsxeRXLlu2j91JESIpy
DlRpcN4xoGVgSnYGVufxgEZGPLzdradgQJeyW90HnbFUP5W9j005f2+KiBxbYk4+NcaS8ooYqpyl
FxBE9HDaEOG97m9AJTJzRJ4LOTCcXdpvNs3mBqGAoeO5j7M6cF3GtLxgAsgoDZ8NZEy0HiTdIHar
0GuddwwUiFxhaeUXSOk4gmAww9iel0EaciAueZD6EYjh+U30X1wGletE8MOAvoe6xbDjmtNrDQop
ktnAHedMyHk5ywm97W1H3ziFekAzzCqpD3Vc9sidxS+qwsTx0l2oCbTSAXN4BwLR4zgFJV0hwTrI
g8tRCOM68JNgAdIx0uUecRbslRMzOYDKO3YHZKa7jcO7EfDq2djiYxe/sc5MzgVZgKMIJgC9ksLx
sChy2hHzZYG+CfoX/kg+AiGXqFZ27cy0KRaDwlc3Re3fvOpJLEvXcPpZlFWtD22ftf4wIGuFjqN4
ZUOdXcRC/xa/YKs70qDMs6GuDi6dUDuF/287QIGV/EHYCWN271oRpu3bd7SHA+nh8dZ3bBhsj9cS
Hp3cldKBAqaIbROGRiIRjUlND5d22hrcfxPccneQwLBnBWi8UCO0dIBPP1w2MX5Ge/kcL09ZgT0R
L1aNc8ay9IMHQXgCAOtUCKXSCeoisC+gSJZ0oDyo/HU6ofYwjAUPvEVMVR7kn0VbRYiyupjSGHrI
BERQmFQPlwi2Gn2dwT/pHTSsmeB64VAT9+R9+XKxR9c11lTVQ3g53mFxMpDS3RtwA8RK33ixXrKx
vidRDC8bPjn5gCpBAaEWpphQGS7nzLyZ2kJdpIxQ3DgvADqmMPWGeJ6IroSaU41TRAnMiEmuUYHk
TnRQFjwunlPc9DhgyTD7MedQN3QcfEsYlavsIqYPZXe9Dkl3UZcdOk5IqRk1j0m1qKFJxvCH5odp
oaBrMfOheqHYIsaMVyK2ca8UPY1xHqvIwkqSZHIv48tLxwgJIfeVTWsGTYJUjhbKCtUlZ8FD8Gxq
WhughDTIQOehqhzcdVY3uEIznD92pka7344VonumWjY8uB8n509uPShWqCkYeFs2MB+DmX+cev8a
LvrL/b9USsJF0UxYcLK/ZZv9VSkBIDWCz4SBB640P7QeDMhV/MVUHQkVGaL/OygiXVQcxUZ6TZv0
u9YzT1zwR43UD2f+JJF9GRTJ2SU9PRKI0ySX8T130tjJpCAeXPvqQp9nnuTdXqHgu+zOuzLrjk2S
duzqYU3CZe1RUx5ESBn+o30zFHiO/umVOJDaDit0BuhZcbmF2QvipxDZiP4XpYBqiE10uh2giiW5
yMBNWDrBUZFEpBT01Drxd+e9ujwj1cJ8LjxIA8MYV6y6RpDgJZV0lyw11TyNR4o0P8E/krwz8teu
fe6fSronP8d34r6qSWbAzV6KMSPDiOlBlGHvKtG5R68Y5jrkDEGR3OIS55hY6p2xQnCT2zhfJbQg
iUN2YrD1DvBPsNEsXFIkV3pGethOI803cZn4QsHBVZNxB19xn+0DrpZ4CnZCFScFZvbnAMqy2+nZ
PYvfvnzeJt/env9zeaST6/FyL/7n/0Jv+GWHw9vGpg6NjG6pqsmQ8WvDeC/ufJwlzHgAd3GpfaCS
xHNhah83Mi1iMl8XNGpzkQND50IcB1awp+UVx6CCxsEKjTtLI9SFiW73ynuYhOUim/Gf3JPMfgrA
qSCviYi96vQ7uCP3OgweHh4ikfQQZmrX9raYx/KHqddMHz4K7wzFcHwovZk9MxaJoxKleAj0MB1i
xfGa9OQoGbQza4IHyTXizc726fQOcEulxwKii2//bdz283qnvML6YjLyxrbELfxDcPMSR4YUDrIa
Ykw+SYJ9MjxO27B+OS6JgYdcho0x1sancpU4VtMHtDmQS0qMjIrEDhv4w2Vprpi5o8ym1MNMmlbz
xxzKELD1+3majg38VsZXCy6Re1C8I07MMpJ0DImdirSAMd5j//zuPZ0JfvnOfXnzxJv75Tunkl59
PdQQM62NsB8vPHuerqyphvV46+JxGkGvgFe3XbGd05anzpQNnOGgymtIxYmlPfNl2m04T9h+q+/3
d3IBNDA9Ur4ObpxgIukf8JqXhpI6sE1M02zHTucnHK9XauuAYamr4sNclUiQp8fdcddAExx+IzAA
7mPMDbNO6mp01cumfxzfsm7zfra8A7YoUvdx725HNqHso/SlIpL66l409wQj++RtCVX7lw86s5u/
+6Cz2DFZgWYLgvPja1UaRmPdyhwNJ877IZtFEHBmCCYGecAFbODQZFpDoVxgoVGWmK87WtxjRybD
1WleZT0EddfO/SPEDskjxu90fjXvL/j3yBhAF118CnBR4AN4YQ+0JziMEB/IME2L2hrLR/ghbkZS
sfgQknEfFRsCdIDwHjPsLu2XcaoBRtI/vHKj8fimevoNRT/AAe8be3HnxqAC3x1qvORLxpwPfENT
QcNg9DCBwBpAJWQyGQzNnb3DYz4FIAwQVoXb0X14jk4OvuqO2pfDY5QMiYgA5DhXm8tBw15cBZ4F
EBfeiJnLa0EIfbIdS2e/Mfgk4IhxCC5KEGO0gy00URYLc2W+3SEqeZreuw3FunT17n5JOqUWdMa4
JPUemAkzHh7kPXtsBDIs3Bs7DHMQB9bMJua8e/KYXK6Z+AreOwvryIyywemt8g899rHS2By208un
OZQjNTKj+0gessmgMUlwdgH5ziLr5VKHR8UxknG+yUGgmGdY3RTGZoLgjdBbrgGkTTEbP7+q3KeF
kfh2AWfZVk7rNVj6ZK2z7T6uQB49B9lcNrnP0AsAofKBXtYj+S153eJ0/ljjMK17Z5RkMbP8CoFd
8qJClPwoyqBZHNfF+ML45E46SEDwjf5aUTV4igRAzMVc6WKEeMjzUUNK015j7525DAIaa8zmFP9F
98Qg+TrsY0EPTzd8KogFS0Bxb90Py/kWIbur/99hf/2bBd8SH/NflowvX4OfuNz1uVBLpWK9P1+7
90FBVpbJDCy1GQG5bCYXONEyBkb0w0f6gLw5ivm0eo820mBnVt4Do8eEREIcqUxeuGWRBFew7Yqu
ODQLF7OMOI9ul6Gk+Onm0nEyCAr7snWbQyRfXZt0g4vLSguTlQbN7l4V9gIP4qQglO8fY5AZdJMa
W/5Rgcf76a4IQlX7eotfjmvG8BiTQJFK3PkDcyqwyyZQin59CNOq6JbaS6EHj9atTy566z95C8ro
WqKUw54UKbn/ugWlavwE1vx8/7+2oKj6bAQFsJVAuH/0c1aFaSK5d09fRHHVF/RbmBv+FWP/ZQtK
jhFGPmA/zyyj3+JdQvL85bP99Zkbwg/gazk0T9pVLxuaM/w0z85JdlcmgxTEBgxwEdFi+oAWC5oc
+eaHTzZZSj7oEHaJCyhIcPLJV1TZ8CWUAD42CNyqKW5YtS/lg8PnYesxgrntjGEzbZijoWjLBd7D
zdsx2oYd9Et+rcdMl0GKOCCfwSbggVsWvyISRs3i8IBCYilQNtszPb+X16Ms/TiUTXBe4xDAHqwS
ojjuhiaCYErQEjZlzVQIFtYaPgGgTcqGW9x2CCDiAeNsqtdTDCikFTwyf1A7MC8XG8mba7PsCitZ
KcDNY/icUd/TMQ9Vln1lU0TWklE6SkWeJ8HWtIHEbYC6uhJBGa7UamI4CJ9wg37gvCvh3NuM5oGq
dNyLa2kV262I2AClH+NzIEwNOByz2nL8zj5jr7PuZy61ViAszExVEjTBYJBIWHvy5KsZ6BVT50yI
+/QBowcwJoE2gYhjfCNIqMyoB9xf/IUgAcQGSAQxHiNw5oC4RA6o4mImDs01JPvktCamLxTQkElq
7zeNwXaFtZGQY3wT7j1hofxVGm4DhelmTOFmdyRuarJzS0dAQkIVePOBgZ7ihXr+DhAFll9sB6Bq
WcQVNWxxuEgQQcERILzy0NoSJJ/gH3Andsq4rbjgW8eUYX89vzZDRZgANcwM3pU3trPoCs8789br
ZVN4uCLOmCnDq7UXT5Jt91NugbQDn23QQqzN2ChMywm4XjXDEwkvT4uJAqHBMHPZ6Tm8Cu9+LwPX
4mWVN2jvyCQVUkHqEQcjz05ZAAixXag9EHlhnc3s+0QnNmIKixRBxNoS7DdSQXAU+YPrmT13Dqgv
PgpwH+4DnM9NGXZnUKKwxebOQDkMq4nO5d8PPhOCMqsOlfNrUjPruAc2XsWvdrnRGCrjz/3k70IY
DBjnCv0EgBZyb9yhGC2xI4E1YI4yPHjeUEXc0779lksojtzbp6Q7Uqf7cPcmsFbIGKKzv7MXiXUG
qMknA450zWybub+57Ow5KanHv0kOpg28X1aC9rsNJ3zcJtyK16DkvgSTIA+JhRBCCO0a2jb9OAdI
oq7zcVqqWOGgycsjBgxX/9kmgtuIG9ynVkHWLsTddlNq/XaDtjDzC3Y7zMiYLzCMgIscCE8kBuBn
b9sHe4LuxdeDoS+fVnIvhSYj5IbHqrsUIo3sNd3pSxx8ALq47EDU2PXBJFnTMdEx33ScgRACIrYg
PttNd7gtV3MwncznfPj76gIf8U88p3nd12g5iPbeHdf0lDyLai4gnA1+0LLAi/jDtkuKB3U75Q+A
U4b6Hh1wdA7Caci4ximIB7TajmDY5d1bdzDgU4S4UtgF3B3pTy6tsrAlBYRBDYfwQOQF/BO6g6Tg
p9L66/2/l1blP4Zwq8EN+Jup3ZfBsvIfU4X3JZjHuN08k+u/l1bsgzHZwBbDNKCH4Wb6F7xjEvgn
xtGiwtqGGKz8xiSE0Iafa+sPpw4m8GNtla1GvdpGTvL7WJ+riO9IqdeGSMf7untyphCeCqbBIZPP
cqLRfvZYWSsWA1z3J7CXwNxZ6GH+aM/G4EPwhM47vNNoYaDYoEMVa2MKtYjVTlCKBMXHLyWfzoYD
EzSb2Kz5/rmmarAworM+9ln1OGj9wQ9ueYIm2mOZlhdCc3Bx3skZfOde5URJJxCSmCmy0Q3hN/VY
VMWD0dDVH/y+XT31xdyyHOPgZu0pDOKYE3lRck+U5tWMY8oLSJug1pKDYxujXIs0QYnl+gaz7UPU
HKAFpGN9ttQhzwzXe0ontWRQiAEwK3tJ3jhFi3NnYMFsZgQ5GYFb5sb1iFELF4L5CxH51IAZJaJV
0ERDIe0Rl0hNuJX9m89U4eZzMgSFilWfqTPzaO5DQWh76KdlMQQiK3TNde/QVlHqd/N52ixieXbu
EAXvn/zWr11K3uoRWUGO6PgiO7J/75BDNzOi9LCmVomx+JU3GZ4cTpxoBSnOvHUqog2JHlBbItIj
rh3ylOTy5G54iomZyWXRmKO7CEaY27Q6nVAJgHgWYgIsZhPY83twa3paj1gIa0FebU8ixv0lN6YA
1bd38uViCM765JpvLJlARZdTu4CqBIfNBSUCQgnSDSFqkb8RkhRevaKOcYkiDjsjZZJMr9NspC0T
5heYoXnGorNi4L08DA+MjfxkqPTOL1vSkYZyCP4zOEzkiJT2cUHmFm1I4VK/LQY7wxMnSk+C1373
/KaMqTejZGMQlTs5ovnoeG240N8veXDJPOvkHgtecg0tZusektWFHV94rbzTONvfXmBzNxPDxa/I
WjAH6anvKfQrFmGh0MMtKbgni5QRBzy8TbuAWUdWQUfIxkWMY7K0y89c6/EybN2zDGDTVUc7emJ5
ehyQs47wvekEKuHBnsL2i8Ste58zDTTSvEgR6sqBOVQ3sLDJPVPXzNzy2Is/dP+97gYvTezagYVp
feNLvrVrP2WWeiWSHVxTEbyflw98Cqx+STKjrwcvxAYSWYGbAigT7RvUCdXXU6fuEY3VPbmxi8uc
w8fIy0eCafVwK/8o3vpe7Kqpy/ZBi114bMhx2P51lkT3EtdJdlg9ZZalGV7hYx81VQMSpp7W4gho
vDNTCDsfMYqhgqa7x31IyeSf2z5llGoIPSCiFIrEA/wxA/w6P8pZOU13DIYo6XPk/4pzgu4hHMO5
yxaGlGDkUykZXajLvJ3i/j+M9W41l7r5tEHLhz7W71Re7mzfNat73Kl75ise6eliyELj63J89wFD
BJZrX2K7QGSWvi8gJGAsIxQ+VkiZFWUZJ+Y1ExveI1GYy+C4oyqLfp8rgZ5Rrm5KhmoHFyK5OKVk
t21XzIqQXcLOnNYB57UkI5QhJQKejAbFaWtH46WP6cU9jAugV6LuGZ/huj3GFxKsvDcSfBH9XKIr
eF//MrXeUyvK5nocnkFaLC8FMOUZWsA/0PY9ixyv2rn9f+7OZLtVc2vX9/L3lUEhqsbpSBQCVBe2
7A7Dlm0KAUIIhODqz/M5f8521s7Ze6SbkbWWHZUIEN+c73wL0l82zaFa1IvmOikxOwC2w2bLlsIC
9iXSXZMAmkk/JaEOTz3Mf2V/5HLl3qgT8vb49ivX0AQqgPdGlgvahh3jJw4M8gXKFUooNJ5Uz0it
CL6EgAhYssOZi29ABiQs2ZVXHZRmUoB+efXhfpnWnyQtOGxMDtsuesmoPTo8v5z72SmBIIpFHw4m
8W7uo2UeNdn1s3ox4lv4UNzrxc9eq8+oXUphEtxqL2XJAGFYX8eznNOaHXZeYWpsm6MwdVObl5Rm
j/Eua+1ykXKwnutPXjLNoD6zOcpzuqoP9afwYNNgCfl302FTk032mlAOTdl0/rZGUC0e56dqIT3D
oKkO2evNCHSO8hc4ELewYWZF32AnG0V+b/iEV3TYdn0O2dHcw80UwJqX2lUyI6ntmX0RZSv+rWP/
66qwZs4bZpGPKcex1yDPLMSLvRYjPhq+iWebe5NNuWjDNjT8BOSv9/7RCAiWZuRDMQ3TFH79z2Xa
t/v8LwjIr8//o0yDoQ/NHsGVjGP+r0aFICBYG40Ngzru28PwjzJNo7gbQ2UhXdka44MM6PYv9j44
hYiUECb8Js/9O2WaLIRmv8B7UBcZ6vGpv42YKSN/QiB5H7fX+zW/ecRv6peeKCY3wU1zHi1URsJU
XXh6ay5WPcjYQdPuk7zGeTZobscSzyyBIdwXnd+InBlGZp7UegrBp9tHPJUkjOXtgnHGmkCbkaPI
nnLWJ1Y7TdWgZRygTKSbq3xlKxGy2zWLDnrXuZiO4Jho7r2ZE+swjewLYcTvCLkmtT920sWwVZve
pReVX3kt7+rLTj6Lj9GzmW8uK4iww1SJvfaj2UBwGy/j5/Y5WtYuAZ5jstzTjs/xYa1H/uFlOM80
4+ETjKkok+GpcC+r8nN4+XFq/AV8KmCsX/cv9CKGsMx2caT7tQzOYlm5FAaYqHW6r7vH9J4bdvVi
qNPX5DI5X55SQgKSXUVnSoj9fVvstG4GdFksrLPdKY7ShsXIxlv0P28WY7y/IH7+PGd1RsA/D/wF
g8xc1WM8Ou6dq1zAiepG84FG4XxPzDFutc45KKA0ZEt9i6Ga1W56w4WfHQ2LDgsGMI3jqosKUl3L
wlWoIKJ4sO+0idWqucMqhEFvcpCnVLehTu7XBdr5aVRSzXUuKxpsZ5mQzjW8CKaCLrQcO/ViJ8di
CXAk14mdprJ6zAisQopbO3ciUB/OfXutHVppNfcUW54aVHO6f/HwdGJdV50xQmnqVXgq2AbFvuZ1
vvWEnBbVlez0NlE/ThwMs4ypIhkDCNyAlkmfTv0OHJ+XzYXzuxNPe8YasEhmcTDC9f0jP+WutkX5
Co4Q6CtzgoDMOR+b5Bmk378znDbtgSlNCUpF/Uti+I3VnXDRINmi9krzNw1+0z1sX1tBAYe/Kkpo
kdTk6qskjCjFb28alhJUc8XCNG0TjCA+xB3exd3RPIr8J/0pC69+vE79eE7qNevhPTg9V5MlgMDy
bUnLffrcM/Zx+WjOns4AVuYkqXbVuzobjhw3YV2PNqxxEx8yDn6DGFIzjKpW91kZtiZ120fkF8Hd
z339tWr9Mhsm2q7yKdPPgCULZW1dKYtg4yy10AzSZXnUtcqW/aLwbx2e+ek7k2jm0ThSu5S2YRo+
PlBcVC4e1Lg3E08GlnJWU2/Abjz3r03tDh/jzWVrvtEnYG44z7xycSPZctF4pgPaicpn7OlB9UKX
CCdLpDFUgqgGRS2MAySFAEwYPCVQngb38oRAB+YVLmKq382i6gi9XldQDIr4YpCfiY5V03im8B+z
AEoFRjBXcpiJtTZfLGVpQNOKryuSAAZ1e/saGb5kUkPb5roDqQIKks+GTyI5bB9xUmbH9FA4jS+S
NrG/te89wFqLBWG5D6PP/IhCCchRd+6FW4Yd7H3GbYN9NjB4b9j7rQ4SI3t546ezy7Z/K7vLPL0M
wWXbJsfuJZXN6epd7nfn0j7D2JqRnJodRhLa6kmMq0Uy0Thy4/koJ08aBYTB2UZ1GU3yaKK02/gC
mIa/rJ2jGpe2g7YanlOnXVzydZJMcuYmlLlhNWN8XV2n5nHsVk+qVzFqssi+fCc6hBn59rKMOjtV
95cnQqfKqQadcGX5xlwaOTlTuLm2J785VfNZQxl9frlGk+7UWVRrVYZonBnik7qD1xgqC+ujp/ti
DVlZO3NzI+AaWPZkBjX7nHPx1fT5In4yS443V9oGbZbClab3DhLkXotMyUV07NmnK9yba+Sq5TNw
4DOcLY2TYJGtbofYWJbjRSrnQVEepPoy8aR6xYUg0h3C7/TGXoCnMrgkpXtqBMpKWqcL+fm2MOjr
y/XtaThx4hAkgZxdtMaGYATe/cFu7DvIfeSQ+xtQo2PlLRW2pM0e1zDZjISqjEk/XW81YDppdnC6
iSQh+kUgxecljE7OtWZROohFyuDuGd2UOpVDMGv9Ho3wdCBZNcQh/7ZiWlVvh7fhKZOmB/O9RSji
gtmFuAACN+zu5Ki+pWhtPhK+IoKSeNmKUSm7F8kpx6FySmDUtjk8VmOveKv2iD46/Gk+csDEzyZs
ni/QsEr6H7h+QLjkJypfkbyv2SCL3PiVEl6VbS2G89U2n0lYe9KkX7i0FR/nafbEWovomNX9k8Dy
F1IafOyRmFUY7rGV/Rgyt+WnuQ8z8a5A3pxexDTQJMJ30pPRymepFncin8fbmDKii4K4tmv55aJO
4Q82QrMz1YFp8ULgGiVDILfWUPo5naNg2LOAGgpRCvX6guGwvAWp7Rm4CHzf9MYrVQcoiGuRtXsT
rzZhK8P6eZiscDT+GtK5q94cKbcHwIPpiK32Nbja0+wkP8fAxIDFGdwdETMMF5bTADEUNO67Y46D
vl8U5bLvXrVhNI2vjIpI6Jy3X+c3lAGO4ui0W1OhzkYEUIYy0PnjaNBn3cW5pm1Id4jwI5Y+RxQy
KAY6xa/ZNBCgl14BiFaLaSq9jCRXbf0CTB3ZADkscHRnYePfbxtr1emkCemw7AqXYQjc9oj8yMbp
Eq+5fhUnhREoR/oUtSsDFUHr6Ct9Z3CSF/PkTd+ZjD455dsPrPYmsn3eXvWJTI+d2FGg2sN7RMxo
mCsMUd+pqFI7b12qrxsJn/qpabaj8eIS77PITu8LJrCQdGft1Tdwd1/2kAaknZnYgwV4DENiuong
w4QZ8vT9TZ2U4fUoQ1q9uv0JMiJDttpODftW0C/apPNo7+0BRMAk4zoJ8/mVi8ORuAzzizj3mmsC
NpAwIKw13/36PklGgVnY5V5jOoagycrwX0I4zwJQhReGFSb6U8PLGXQ8FUdu9Uxf2qnq8bGJMFbC
yjbetOxqfn9Cy9XNI4bYjc4XMb1BuLW5+fE0TNMxZKKGOU7cYDHgQtxOuldGDJgtqguAB8R0WCvS
g+GWyAwDZZ4ZM85AYIaSHBATKy8sAx+O8SlQ9m5mRFPOKaNG5xmYKgM/LBHWjXTIMZc05d2F6q/y
mm7+QC3ffLbWVpOcqz5vSOuc6+PEre/MeaC1qRAu9tUs9ZrZyGmei89YhEdRL5Qj56KfNGlRvnEt
4YSF0kOt7mfVUgGoASZFAYcu0ThIPt8ZaUdRcGJywiQDwT1fF9Cl2B49MbzBUNcg2zuEITwsLyd0
dVx8hDk2aw2PHetI7fhVAHKwrvMXpJ/VW/1W905juprqF9KXtONRImpUUPSWeIDfl3LuCfDiOosm
L5DZAKFsOcPpiv1jYHmVca36zs/kzRA18m6j++vvv+DVJdbc5LkzvDX0Ex7HIQGROaqUgbVXbZHz
21aQfrw9nsplR6Oi2M3TBWvwh9POR0g8j9ERngZ1TD/v5+oTUbNACOQyTNGIjIS64zvs8gpHBgjr
iPojh1wsJCqPdceM4wQP+EYhmMJznj5krimbXgxCgGKKNd4BZojGRJu+4ehiEnaNrha2AcbIeCNu
QTR2Z8OrAjIijdUBQOl82VAze8xI8CrQfbi7Vb+QmCPxSrwL4JQ8xY2KxE1YtaA71+S1quf6jD0F
WRjiMEssSxKCW0HkxcMADEgnqEAQinl5/q8OoIbwU7hhMX8hwA61IXbrFHkBQyCuSRthS/VN1fWE
AWX//V+5jCiOgI4w0gJy4hMgnYQKo01NzhNADBay/FCOX875vGGt7+B8o1tg2DyxuAuN84w2kIkz
NX7O+BgvIhTWlg2nkxF4fuTG6K0GcVtJSxmOi3mIPtPUZxo8rPC0/Ow2onDTkJExE4fzopBYwaQq
eWY0jHwhSefc+Vjh95qpJ/oUaFeH7wE9tpk9I3d+ZzhNZBWPr6GFlk+ptLkFKt5jB1Yo1GrlFc9c
VmrG5XEHX17EduICiB8vmZq0Xvgg1a42eeoQqDP4hv3POB4yuJC2gWYDoc1Gyim9vvOaKfxTtG4i
tZPLeSF5H/gblkcufVCfD8fm9DhFr5kvBTHhM5DPnxMH81Q7dnMPorPmm1OkdR69aW+zaHM1wHvw
C4ZAfbJGzPz5JFyZEn0WgVeyS/sZerpbtruCkUPExrwv/zCakQeBjon6+WRqlAlhu5aZSY+uTwas
O3KEVjUCWBe9MdFt79kBgM58vT1VBGWJNSeMFiYL8RNZRRgDBQKyvUyiU78vN/o79e0uWmFr8kXm
sf/gii6myzllTuWTUTau7IKEoDXn2IWmCyLjw7uusQMdi9hEDEvqg/oSOUj+/7FwEikS+CpAGsRx
TBrD7P4vhBpTBW/6ASf91fP/gJPk3zRlTNT5794/f1I/yQhDybvA9JOgRJyyQXL+gJPM3xQNKjfj
QoP53ncK6R9wkvkbZG/cf1BGyRgEYQz0N6Z+sGf+DHf826b/wg4uJOkua62me2YEenHtYiAEC2fo
LoEHpiS+0hgX79L1d4QVCIfEtbbOcSADl4Ecd+6HY2UBgg94jsQGbfJIaZ/0pJxhwgYIf8Xh/TGO
YIBdz9u+w0UzouaR6wY/HWlMdmKU3ygnGo3p0rkiQdwc0tt6nNa612YA1fdbN/LzC1Z+aVGU7uXG
hfRRcDXTz8nz0J+nVhbhf1Oks3MZh2VF7JxcSHat4FdwxUahpkuOoaLeZOscjCujCeXbQ93FmvIg
jyYu/Ki9PI2082Vq5uXqfFEDSyZApmkJAzoH6vCVFvD0usX4cbzduazeRm/01HbcJs4DD2NtSI71
ONmabbLIDRb3K5rw+O2Mo35VgQ5I6rJUR0AHkJqV2YOxWT00YYLDIdy7zCRFQB4ooseqq5RmWFRX
P6lrOAGLAaXXAyC/1J+rSLPlB3rW9tOoUeh2+SGj1VT6qxMBhijWMC8qcuYjeaNY9+k1Lh0F6lEu
uqHGcP6xX2rCbGDHIdQAFxsL4tp/+VJDG/7Tl/qvnv/Hl1r6DWU4AsW/1IjLmsHVREFzgdhb6CT/
+FKjXMTti1G9oXBJQIH+EyO22FDeEtyRIL2/Z3HP9eDPX+rfN13nw0PKg80n/wIVKqWR1IkFTU6Q
wnpMCJ3HsaV78jVXW2mQtcqwZ7YT7ghbp6r4OBI+gY/Ioqhx715maWjinrBm/b0ToMiQGjxm1cwf
ezxCfNFAYQ0/0T9LFx4mU1+i14/m1QYuJKU+e8/fTTIrlmVoLeL9aJNRrLBy4noEhgbxmFkNUfV3
/Ol5MkgKpllzKVBJvbm+s+A71qkiTFW7A0Kqz49ZHT6Ci39xVW/sR3OTMjtbRfPYJ7ANZ4TpnfkR
fN5iPI1Io0eFkRNBHAJPl4NDt1AvdCdbDOvzisGY0KhgFnPAYRs/Js3/zwitYF3+Ahxz3H7s9F+u
pOd0rEmRwk6HU87w9AyEnZleMgCYuogudFxOcIW1LUI3vu1x8iOlNEx+afogVFZ4BKv2SiTySYvR
ZAWBCmXgmUn0BVQdYpB9kfHoENM0MPE8cZNs1o5cLcc5F1xuRMalq4JdAMyfio+E4TuOHRQB//lD
fhMs/41c/ONDCvT8hx5BLs7jLK35kBrkAYAj6H4qW88wcbKPJ5/e5/PLy4uMhwaHe0qvxgAu/72w
+P8SnHHA+2XR+vWraf6yqwupjppa7zAJ45QlSn5SfPVfuuYW6kZI2mMMO1zDbZcFoXkK7XMENRTf
ea/Z5XC31sTGxhY2wZNmPC2WjJKd69PYG1wIKrprKp7igCI41yIAFgdUn9VwO7ZnYCcaGrf1HmFD
KO3EOlaSmyqr9yIYTxsf4od9nb7Dp5++Dn5p7wUwTojhy7vimJ6ghwSCEwhjgyjfBQ9zSJI/dk/g
ZiKpQJmCI2KZefcN0mNwTZ6dN9kqdYrFbcESl+CyD17jFp/IWULTT4nsJXwVRACe3+KCRwE5txh8
YsUCDUL3H7PKlUNYcMEjTNzRVA4FyRszHttwHzMYHLPYgcw+k118edjQjChHyWnAKomwQeCLImSh
zTD5tOGXoOm6eBlgxmWCIBJQUp29c414M1yLb+nDfgDnjqbPOFS29nu/yO3LlGfhMBfmXCLODmT9
CeYNtnv1UmTBSFawxXvX3LHDZYYdUSD1vXPjdaLONVf8ZG4RZna3UG1AEHbkNnWu7N80QAwLiDPM
hY0lcwqX6GLc396lQ7cYXN07woENBhf+DoeNSOetvLdEFkYjwwOmqZxmgLh+N2/9UcAUqsMPAFiU
puprtBbwHfEaPt3B2cAWzrvx/XzN788YJq0a6as8QvtnHN5aNi2UCr+H3hfj4VV7KDagN4t0ehWk
jVQu7OSt88+aV+fvzf2Z3migU3XhOvZCZkajvc1CZa67dBv2m+ww1KYHFtyKUaBAhqXllRfM1tHI
IhljzddgUsCLJL9LYh9JTjb4cntQypfIYMAA8+f1CnYL1irt8y68g2DgN2MYq0cFIfheYs8zL5Bz
QGG4+voeU4kHHCjUvK0jSw6aHGsNDoMVoAOqNaUlfkfnRAqyzxirMpxLs5ZGkE1eRnONTiE1aZxq
JXfJnYfqIb1VIL7x/nYNa0b/8vIWr/ShtpsIspZmzSRoT+RcpE7+YgbZ+hxaI2OCKInmC7JAArVx
VBkT1IFq5NepY5y3SJjojQBMzdgduKVwU2hjDAMvTpxuiEkFXzEhhc7N+xyeFqpCKGRNs79hx9zn
EMY4p3CywlJxPK01ck3S97S3x/Uy7uY8Msq+asMb9t2yW0qkuJLzHbvNOg7va/0zub00eFwXc+v9
m66ckmIMNsK1jNqM/o2KmA2To40ceR34Em87rteFipi446IHwYshzajBWxLEmKxKbRbP2qBGZrWt
fBkrSHQiOqi4cXsDIek/sJga2xzc9cSbrB8bUJ1haRzkV+utZPxB/qNbLpf3J2gQlWcqIzu7fY7q
dRJeSOzk0ndQnf68aHkzCkYYK5XkYNPvMIE8qGd4DH5sfFW0lrfzm9Hmk0peFfdAuq4szuBx8e1a
FC985lqPKrw/MLacnD+u+/tTwcLdppP7V7LMn8arB8Mw407ZMDV14Kp9OWZCxCgpUQNmt0Z6ZKqo
2DWTXLe1LaZonStQnQ7OkPZkMfYtBQw92pAH7ePAbmECHDyv1eUY2c1OtjZF/JZpu4ZCN5/uMmY4
k9ICGZuogIUH8/m+SWYQuED9kFda+L7pXRjVIh8DU0sq+ok4pXTCHCXzNgOSuOIhhcuSsYOsrMLh
CnLchjEpIfgEBFJeqAeSTYkuRbxIomgQrU1QggUoYi+5JdNwuMUss2KEFMM0llFxC2IbPvQgHM9j
4MEtjQ5Dta22TWB17MXkjiHpCwtzOpWEE5jpGleCWZHMu5m8qpcpMHc3yUbrqzVJZ9ftDXuDNITh
DmHcYHDSbpTDYyd81+4racGNQl+viPgUMECRwoLF/KHqZ8BtlxP/QJ4WVpkmyne42qPUx9pFHYPI
hfEIEv4x6pZI64GgFOHOxUVE/MMVBcserPOFlp5rEobm+rtQ4VQI8WEE8YdJHA4CR0aGqGpBrEC6
+PPtloX/inrgFUHQYADx6s2dOB/3ttOe6P8oVg7nI28Dv4lIVezRBWgFXfmQI30FCDsVdtDvmI6d
oCHjtg5P62IzN/9fTjNUqGFx3ygLYz7s4q8nsKM26MwTSYX1nLxT9gKrAmkFgGUbtB2a4pVSRAPm
JGbYLOGK4KONcTOlFFcAPHv6MBkHOqj7hsNIkpESJr7kaYSRET7BNyc/RodhdcVj4OGOMAooSLJl
J17GLs4f0e0NpTyYEhaF6vZO+MHxvDsn0weh9O+Xd51FgIkFUTaMO+F1wVjdAUiycxo48Dg8+MNr
A5R+6M2phMyhd9ovQ/lqHUhWHQcK+yWC6ymX7cKcVrh/wql4xZvnMk2CZvwM0XB6ByLzLSKm9soS
z6DRXqK0ZjW9T+tmf0/CawQL6TbTEi8O++QMEAeyBuwJzj5RGW0us+xh58uEa6OjfSrvRnpqonxi
GT6ZE7vZ7ePK8flqMBKTF/oDa2yD8ymdJhaz/Ty4vVuMh0vmKoH+Si48hHXsQmHQfZab2248wn4I
21ZsvdftPtue5wZlF2lwuKYtZCKM8D3aSe/RFuBRJ5b+n9yCyjIWNjo2ZXB14Hf/qLbtt+btf0Gk
5Vvx+X/+R1UxD/u1Bf235/9oQXVswNBcYVr9q1cAzvTwl6Ac0dR+c59+tKD8/9j6jmBVfnDJhVUA
hjsmr4ipmqHrfwdVwt7s33qhnxuuCFOCn22Cem3i/tFKN/RMtY2gfjpcZwDFQkRkLJFEQZVGkmTB
ssx2qvSJ9sqAqUBUhnOXnogLW2jmwtB9oV+qTm1AcmpKk8icwjGnmo3ICxgXu3umuGfIqyh8ZvKO
7+Irki9mTTWUjcLL56OHG8teY/iw2VtaTPE8kZEK8s0fNE7lEXo72wEniukGUSaRSzhhL3yYGZYh
iP4GscF7v3kKRrWKpBnwMmi1ZUZ+qXpd5eUFQzEI10YjssTTUCVOhikZ0ZEx7O/CUV6q+AXfRevA
8qku07FtkGsyFv5Z2O3Q21VfxXbEUI4F8lhcvHpfbOs41Nzsw8JjYB8F3LzN8NGPUR4xlsY/cuAD
Tsz6qR8tb+QZ28kLqdxMjnPojuMpimuqY/GXu66EX29Nxmk0kXAN8Gsgp2A/mM/CaaeCYo6Mq91g
8w+mJjg53StjIg6PvIdDc7oGDMWz4zc1nNtRduWnby3VNUg14ctJZUSqDKql9/taWuQnGYozITVL
AUGjn8d3Ep5/v7wGPJYuB8UXxTxuEN+L3DcxH6kYMqrHrt18R86cSdOkqMkd3IvM61aoDnB9cVkq
+YnuDClYjitmuiupUIp15J+XsotDEQSt9vr0MHY8jGfz1A7aLAsgxWlCtn3q4UmDfyfOOPIrkypB
4DJNEs4GY4fRP3NC/MqybNd/4KaJlGnofZbzEc6dYCjMRR4O3jfgG5jHjKlMKyorB58eXZ3UPFKs
4jdWczznPD4VQrpVSzx2tU4u1rSUZtDMJz2zCAuz/7XJuFTzzBsr5fG+ut7LaaOs2gGOSSqFUINJ
eGBFZfGFIOEw4skmOk6UVBy8xpyiApFyhtlk54spkAr1qVryDq8QZUL9Xbmv6wWU1u0FMjmMVNCb
Y2XEws3GUDtKJkjLDJ8uhLQwshCDqYx9y1rOmCu9hzeqqdFjxmILyXh4YY51PhFstmN9vro8uDiJ
V7CC0tEoQdlYsYjfN/AMYrEK4iDq0Rbh6QM1WgyZd7wMyv+FEBrxx1h+fMD8nQSlF0+LfbcbiiXj
sm5FRCg1S0G9wqEJMGdD++gIzvZk+SYUWWiHGWV/lyKlqEew+qEw4YYE/7q0onfBxXOHWlv5544x
vmERxRyb2FMyxgBQ/C/LjfkXiOcvz/+x3CjgmdJYxmTmd+rrD2saXRJLxu/hnAJs/LHcGGP0xArq
JUMyrT9501jwaBk/YNWgqaryt9abb+uZX2Gpf2051N0/rzdNdGuQXamsNwnX9U0Ny+w2ITJwtDo3
LqyaEhXkDBxg+IDezszuRfYxlLaNfdxMxtvxVl8a1UTfqmiIn+Nn+vyLIwmJ6OkWiNWFIlW3GUEK
f7aICTLma4sbw29oqTWOS1Ok/sigxgeue7kws8aWgXEGBWHQGB4VqLEbQajDjjG2z7hg6nzJkitN
L+6R8wQjiYjWNW37sLrj+WZDmwAVbXxcIrG+RHeCXcfFclIY9/b+kUxbjQvxTmnfJGtTazsVn0/s
M1ekcOOs8toH0SLbn6ECNgCik/yFHgKu3hjnhnxuYkwXYUkMrCUQsY7627NGQUECSEFPZyZ7g9iR
kuxGSFT5fLx5HK0V3pj0jtm+fTKO/ZP5ReyxAZezD/tiMhvNv/lwjftQMQ+TV5Ea5PG6jAEY+rc8
wmKAJiqSCYxz3mG3DUYFLuug1oX8Ft2oGs8Lw33PaNNjKHrzTF2r6CMUgU71rW0cyZcgj2LCJSqn
nbpsLPW4jghlqOttycqDm6dRrKUdQmPJY11b5uTU2cLUMmdJB4yAk/pSIZNVkApBrQiMA2X5CspR
aUwgBVaFp1C2w82c4glN6jJ2aCI7DOkCNAtuOOJ0OWxRy6KTFZE0yIJn14fbr0YsNjCmdjAtyuv7
aNhIPiDKnQ2FF4Cpl3pkE/uPMttJH/2HSScpTS3vvIba8tzhthZYh/wr9RunwATJMUcBeh1a7vO+
pnl4QpA2w+kgW5jLyzOUbNqiVXNsQXe/mDuRUw2JaFI8ZYAS34WLT0gXOleytbmA4q9J0A6OcCxW
sV89mcdqe131kXtflkEsfT6KZY8Mm/VnqSU+F+7eloMKfU8QEapJoIcPsNO2+JHM6QxJ15oKwiuZ
Fzec32JxvkZCZKPadY/NGzZzVDYMxih4gdyvOPmtuOLT5PXbQtqMO0BtvDLsG6Vgke3qANezQqZV
ZgQ/zWiJWHzYDFYd1jw6SEgWIszLS48qrmznk4j1YtFp8OJRwDl2wgOaX0DxaSj5BZoEy5UZfrur
/e77yXpNTBdfI/t84r67yOpCpfIN2YkGl0CmsAHN0VA21X4HjIAQXWj5HvcQvkL8xT/YzpdH+kbh
Dc/uoBmEjMCMn7cbFsLLSaiF5UOzKR19xo2Y2PV+Scb0da3/s52ZFbjzkkEboY015b+1PMghfo7S
WcPkX5//rzWIZURlWG6S/yUWof/5YSRKh2UQivO/1ml/mroxBGP8LqnMwliCmBX8MUrXfiMA22SI
Z+q6Ioug+r8xStfEvPCXAdCfNl39ZTaSnO9Zow71zcsINwwqWyNJQJuY91fOHWXxqEX0cr8ZKMZ7
rzWfG/2g319rHBe4iODva0t5bV9RxccHda8fbmCOFvI5+DD9AvOGfhx2ZGuFokeRNtzAkpRRNMJr
GedeBtfTXHR42zKkDnLSohnaseBxqlc4VuUsKvhQhFp8KIVgSWxNnH9yYwYD9abbMHEUIrF4a76f
1oQ5Oqbk4FhAqdN4K+un4uaavaNnfpU42R4II4U1QoU8Dh4x/IC3BDSAKVz7ni/yg3U6L6CmY5zU
eu2pCaRuA19U7rNJsoodvTrEr4ltouvMvM/H++UwPOfApTvCbcrdeVNsLq/X1/6ghZfANWbMTbD7
pHnATJnk4uuslj4R7H43D4KyyyACaW31gj8o+CRcF3wpVPdaz3M6kPtlQZtzD5OObMr7Kjv1i9sG
I4gQwYQxmkKnx9WJ6caDKFCefg4TRgfFDGYADUuHLbMiocgLhRE2r2L9/kPUnCjikD2744Fs6X7J
O+mfLEdX2gTWdqwHGKOwP2l6mHK8Q8enNSA905zArx9VNvSlXeuV9u2V3AYke07YTRe6CONMxCN5
uWuQkYI0HfYptHzZRgr9MezbGns6XFy535jJ+8pcjA+w64U3Ka2WLqJDz80B04oMehUOHLD0sdYQ
KREA06iN6Y3YY4xd3HqfrwDnXaH3hWaAkmXVqcdvlfYMYygYgiKGjqw6acMw8/GgCEGr1nwkl2Ni
BlW3hCasNrvS5cBh7QbkDoFDJL+5yqpAc3E5oX2eA0YKAiYe5Qf6KrolcDZ1O3i0wygLrGINzImT
BTENuOESmzF2aO+wcX0R770A1io+i97LKvuy0RZnjis2lsgnKfKD5YiARqgOlGa4fM1Y9BAno9wc
FiByWGODkL3yjuiORt80z9FTHoLowlRUAS2Bc1vjTY/IyHtL49uUpRr+Y3Z9t86Z3zM/qUQcNi4W
0YxnwA+lIxRg7Bpc+ObqkYu7BDc9Npoj+fiu8r+/59tdYO0J5QHmqrSf1GM7ANzHpv+ggSTeAUwX
vumAWQgnDIiH4cmv3AznW1h1wIItWHVA9Z6hZY7zF8oOHDbkgHfNs2HK9ks746A5zYRXZakUUQgX
PnKE7qJMnkFJaaZAIgUoKX3SJrG2s0IOr7RL9ErpkWHSWNkSkI2xXnwWXqEaMG1XB1ASRXCoghoo
dz5mu12wnD8DABM6LdpRAxt4m6Aj4cbqkZ9AN8k9zVjwKYdXZEFcbE5ir3NHEIi0TxpPfofu2O+S
foZGh9UX61ZegPQInLu5kzbUJNQO2QVNPvRwISrlYKInEUlPONPwFiCzabGi/OCNHjSqyIg0ulkc
+hRY/dYnmlM2DlMN6KGkI7Cm6xEiN9WNosE5oMD+JNEpUrZsIO+Ynb9gjRLoxN69eRX6oIvYyn8w
QAnkaEiyDiUFZaMqsWT9J7sLTLl/Wa3//fl/rNYQ33QaO4k+FFGkWFz/32ot/6azjqOupKGE/SZw
yD86RmLvCODDCAPhnSlx779Wa+4ioxpvDt3Em0OW/lbLqCmiJfxTy/jnTdcEx+AHk+GW6PnoUZ9l
rzqxQuqFx8WTvOP8U0me46+ihwruxhBGxXrJSNhgfs7l0ABIxPQJT4fYZoRpKac7dtakgY1pSbhu
wDdrUAvEtjJMbr2Iya6i12+b6Yuj+UiqBZ6JAoarsU/M0Aj12hzu6BiTJS7gYEUZnQ30X5sx1s3Y
qXQ6jCxxzIhE7Y9ZMJo5vCvOVTe1OobP8i4ZE18/45ICob5n0o611bmf3JLnKA3E000kLjf8dQwY
ekNTTltW6oKqmzUyFkxavLVz54pPkBxPbgwHni0uIxn2+9JlMkDLE5+MafL9skGYP30wZ4zaXU9k
XsKl8g7Lje/jlMMFe/nBy/K9H1j27psb367Ku8ofmYq/qH7x6+S59xE3Tb/tBxlbUZQLjTzMYUYO
wpQqCb7iXTfTRhPLxyxvinZ8inoeJokwpUEhtmzfrXW5qBZZQPLLTPj7c124tVcR1wbRmvUAU76S
19bLE5WQwtZi08G/4/JEHf/g88jsE/FT3Dfwu/jZWxeKf/Fp6SlhLlMKybpPBVUZb3k3eSBOEg+j
MELpeCP8mCxEQnq2AI04n7Di4wIVKzOr3RkD4o8iHJC+lrgSIpowGuHfcVP8VMF1nOddyLiugw71
Pz2qzCWaauGyK+UP7JeK8CyEDCUY82PbZedpmsPig3SPj6YtHkXNyOUvU0znpjf7i7IatbszbkfD
FVAAVFhldMcBE4F+Dw6gJE6Ax5pwCRac2HjqxCe586H5K/FxB45YVW8bZnt8vohtvXH2CT4AeXfc
f+P1xGPuHMwx12KGO4c8hFoo73VMtKgXlPsrBpV4qZhvnHoSBgMzCiXl/MmHxvNLIhCewD+MoBh7
p13Qizdlw66UMBHD9MdGfk2+DMazANjNZVFxLKnZjBn0ghlZjiEILM16HOPjidMAtoQVfwsSu43m
YzQAlty8MVO/EqcXC3BfvLaBm2/XcUbXjBX4vQYJSEfQqJvMzYAKVYsPBhmNjzTLnPKA0nLKqn3B
lEW+2cOWtfH2UiHzCAzegAmyhSe7DvRzN3YM7W/SF6tvVFHVgHSKZck122fSAUeXnVqeHtHRGDZK
fMDNArUst1siMCm3QpnjCTKKSSJfyXHfblj6mBaWnBdXwpf4Kl2ZY7NeX9gJhBMmNXMBn/NsFJyt
sX/GlpGAakhtyf/l7syW28SiNfxEdDEPtwIEmmdZ8g3lkUESSCBA8PTn287pipOc6lN925XYcWSh
mb3X+tc/hN1T92rD1YGfRCes3YcXOwrFV5LRFDvJ3R8/cDFvGe4a53m+OtuYn8DHDUrwgvIKAH3y
gZuMJ/m8Yr+M5lq01gy25MebZtWz69pAmqJIgxZP38FpoeO367PVckY0j6Aog773s3kOSDWHP3gK
T6M35B5DQT/toDi48Wkmz0EZsMeaRY23VxakftpY3xnMYrvxSRmrK8RdgHWtK6841cf4yGCFTFeu
DV6dIca0cJMEIY5OHZ8aCfigHBXzzheWlvnFNQ7XhEAoTLLqBUo4WMYKrh5TCYBLa1mkRv1pnrVj
FmYr3tHMFOUaw7wUeB8NzGVBk3Mr1+oMRD5DR4cseftY/IerAJpfW3geOEwSdWjl/1wFQGH9rQr4
8/i/qwCYsjTKsgEI/BVp+BM0VknvILuWqSPxHt+574Imq5PUzT5vq5r6q5UCk0uVm4LNayDP1/5V
w67/Hw379+ftiN9/KwFMvcLSXGEFqcYOwYbqrF8IqQo+hxgpWu4Nh0U8utmsnRArLLz4hcZDg/Co
YL5Rj+NPcxftSpxeYWbSHCCzCtj5iZ1YCLfcOwQusgFJREPQM8FF1e0HlmiZysUix+QxGZ3wy0LK
7HX72Jih1cPb9GtXtF+RNZKouEmSneZQJOjPGvGIw9u+enEIedi2JOLss221t966YqRHXlaGqj6U
IWXC8YBKRR1MuxfRrsb0DQ98Ghq+NCTU8acOJVhlu2YlPB9AGSIBNbA5ShMmquYE3I5amhHnDa6/
BkGBoRtMehHsox1Y54WH1YOuGwi3faZXJf7PE8HiMoYlLjl+pggaacD8+B1EFvpN7LrIreMHMnu9
x4YfxLSPCaFwUcQlHZQvO+DWRRZIN4P89ZV5Epqo3pk4svlwo9khF4gh2+OEBrJhMdPcF3tCzIFa
rPo12SXXYsbkC959NEjeCU7FCNi9snltbmIJJ7KDLMaWF7ULKtpfciXw03u4xsSYxLMGqJMlHX4c
VEkYV9M7IutpJyzreRR3BNiiWesucwy1i3G57ImmXcA3e1EO7Zg3X/h6QuIF3x3y2aWKzL3Yt0fS
x/lTC6LN4/N4niP205F8DpK9NrOneeFdn5z5aYZxLqYFvnHQkpdqD8zeAeMWE2UYoaDCbpnl+nq4
E/4XXAZn3T0JFhn3A6SOzB0kSXyVvJvn2yvivARdwEJZmYdU8YxHt8gsWta6DYycbBFey9EN3cX7
fQwLG9ZlCw6P/AxDZbDvJb968NDk4Ud1pNEUNDSQbG1Gf87YM9eH+DqyuSLvI6Jdn9zH4lWZpja9
KHt5P6dfJvqZoEWKjajy6PthLObhm7SvjudJ0C1wqzT8y4Gdgr3CC7D5wo6agHVqjiF+jkNrRwt8
rSBagcfK0oo9PvcaeQvADm3pS/wH31tUjNb5/fFcgU5dPQyTKjNwktDQcR5ycX0yiV5pF7U50hCF
8Hs/IuZsRFBHIyKFdbjjhoiCci/aMulgRRHUUU/Vk7vpyO4hSZd8El4PhLWdMQPhj0IdQs+ieFOe
4eoR7gtawumSbmSS44kwlKd5OT05Y9pIulYzQUzIni7GqpyMWB6nBzSJ9xW5IVzWz2hpabpDem8u
QR0IRgRewMv58BEQDhs8rhqAbjE9hSKFdNBhCUL/RiopbAmWFH3GSUtvAMS9uL6xHvH5M3fSBCmf
j2fTSBsZo9vE4Hs2y3ALAo4L2olDePWAcdVS1NeYsi8vLwjKqn2yvI6aafXYOeWKTt6DNQD3fqj6
2C1nB0AsAC2oGMQW1dai1jovv/fv9psxqiaXV3VtvFvwhOS1E/6XN09B+7eEjMsU3en/B3jbf3B8
/jj+2+bJZFTFiwJ7SKBtWtif+6cwfUQ9JjbIH6Faf7fQ7J/suUxjEZvpbKHfWmjB8hFqM5O0dAMV
yr+yIqKb/72FRsMik2kPnwg5F+Fhv+6fWW40TVw9mLoigz9qw/QcQpurQhSS9rithtJjgj1JeKbN
ZE8oKcHxliCoDSmtDwMuawLIHCNzJVhwWSDBcMhd1Ffa2TXSnbVQoHoTNYhHhS/C+liZJWOWC65F
9/Z4ugTSnBSGcTHLNhBjGHEikvStUTfJdylmwVlAEIHNAQHxImTUJ+aypNq0vHTekBUInz1ZXNTh
tf1AUQ+gW8Cun96FeaITIa+8DKbHB3Z8rxJmRsEMk+jAabdahuhzoMQfzpHx+4DNfqv2ocFgqw3t
DJcApO/A3nE3lkCWoM4ISYA0wHbdm+kBveMkwTjvST3hBwNbo91fjMBZltOZ2flg6skROdswkTAH
mWj64taOUDB4LVs/CztTwM/ijLAYrqwv0R9NskXxQWOkwa8+F7xAsFzDtPZGxXNDJuJpbqvtWMr8
euIcMVLePDua4l7wwqhfi96HSmTh8Dyq8G7wijkgrxexyRz2k8n+neXLfef7+2pyGXi0axCbzOsk
r30mBtFgeL6HtbK4CcMEUIN6esM+4x5PUAmpnlYMGpyi/NNlw5DCv0l+Cw3yFH6SkwC1HcP3nsYX
tGRh55+tCFMBsQjviZ9LM4VZwmnUAQf4ENN9Y5KCOgiRchcQ4awK72t99kxLd6wGw7c32ovdC/ks
kJ6J44V4PBjdp53km2Nn8Mxkn/6RjQ4tfjO4uVDD07W00Bb9m/6ZImCyQabdR+xrZDeyoc7pqcf1
2DsNJnmQE+5mz3o4w3ib9MsS05FsZBF1FvlXjTWSfJoBxlR8uIbkGPPy85775Rts5sWpxfBvKBrt
kqE5zUoE5ROXDLyB0fgWYkAAx/eEgwosMfQRfIiDBpOiB/Gz5ZBIY0T88ob4LI+WVryjvmy68gf0
8h6rnnzGd20iPcUT3j5kUureuftIXsqliYiFU8k4JCpbCk5OvvN0R5OR07+rvvRK46yhUpjdxupG
AnX17hRW3rZym03BS1frT4Czoko9PSsXSHIw61Fr5ZbXY3LnxryGEAE86fKpvt0qFPAjU3ONepfs
7ZeUB+PWYORkKgKLbzBxFfMT9FyQZJneZ+71NXvFKxOM4ryR9m0b3IHc38DUczmoo2cV50gIRMIO
5bLoKQCuyNIhFc94qPuIaK/hNXRwQBkqAUKVEYnN7ZKunNACUWlosywLiwN4Px8ELu4WTBoaeFm4
juHw8CZv2Du78EpQ5vyxonDRGYw4HSliJ1RoNPK3NbA3Pa6Tb2tnlxPywxDGr6bO6H5ZXqSVkm5O
0grfaGBwrsast0C5LlwAOFRVxdFieA2Wh7f4Royq0YdwBWNHw/81Mc6xwloJbhMIN/D8lY9ueri8
CfLTV7mgzETmpeBH49a12P1Q9lNpcF24V1cwdaYepzeqCsblEKJpxg/0/jyDN0GzAuvn8uaZu4Nl
Rut/X93dHUXEUBQS+e2APRcfduYNaL6p0jDrXUJKj+mxEWuJL+x9OJMct6WAxgl3z69wRlCwvN69
ZMyIHFyHEgQYXhI2L5dlv8dwan2V5g0ClkYbX5b5+pIE/T6ncnDcy5JaG98n9PnqDAm/NGmmie4R
7URZfoC9WcRH5fitD13+wG6/Rx1Z/7cC73+3Yjiw9LHf+7mLpOj5NWtBajk3D5fBM7LGNLzin45J
B4I6FEPbhfioX9yP86RjiR6dm3etnOTa4oRDK5S+5dtTMD+69/kd2eLLeL5JBpvPz88YOwBI0F7k
1oP3yLXdLEjY6Mz1bZJ3cLLr2UnZmZdRQ20pBca7bQ3f//nJmeLB/4JXCznr33UGT07g2d+aVXrs
x71peXLqKg7RTiH55SOGQwqLCvOsluZpgNQABj9LcB08Z+la7Xx6mSk7IyZhF+yD4KKPT7jEnRfw
vL3ioAX2xpoxdmIQlbpaEG+FV3DrycN6pA7aUTs6z/mZEALX+JRWBnuMPEJZWSxRitjRgGyAGvlR
QZyP41nvlvfPz1n7s0HnOVOyiPG9TZnDDOH7c1ZPzKnKguecjxB24WzV+zruFZXPHiR/lkdt0oQP
jIPibbkegfXAXZyZpcffXuhLWxZIWC2F2z5JpMr80EL+V+NdYYmbMqaGlgYp4/9DeGxKuW8GB4KV
8fvxP4tUjREOmBDjHl39qn9/Fqk6luVEz8kqND9Z43z9WaRailBHa6bMTOcrz+4nK4Pa1bGoXw1o
JLr6r+Y8zLD+OG++P3RN8E2+f4bO0U27apVZiaQOEzQB8p5NUzU591AFnXGFHIqScwAU2AXkccBS
hzbBNSZUqqikYASJAyndSKREJzGLLniiKMWs33AhbidobyciWhGSoDSBOhV9QB4qbzj/AYgKe1cB
yIBA4xNCB2cC7ydTidjLkKYKCxSZTG19pmyQJyLpQsHDprbAZqWbcfOMMHgI1zewp5tP2hAUkgE3
W3A9aOs0gB7dH45LoK4CPLV3X1eFdKLPIH60q8fCCTm2C/oNjm7w27k9Nj/o0TteBlFTdSvuAAoJ
8y4nBP8BZ8LkC48RwCfh4oJZC3ET4qly4x7llyoeFwN5H1CCnx4LHkt24M7WTAXsFwYfGKXtSpwZ
pdfzbYwrktcdUQ9GJJWJtZimPIwnj9EpFOboIkmVcA3AGDCl5P02hqHQjx4b3b+NHUAEOI0dQdSi
fQBd4mfmY83ysYn2/NcEb3GGzM0wKUc4tWRKxtDBHONDKfSjzTtf6A25BwgaG7Yw4CgKFP4KYOch
WA9k0WYHfUejy/+57/MbOSR4v+DKPgBUIqMVbAMg6zaGzs2Vr3E+UCGgZUHRYCLeE7nFFOREnWSg
4sVWJuxH8kjgKY67vg8+8if7XT/aIx2Meg3B3w0+0kByP64Tbe64b6BliAAskfoK81nMLIBA+rng
KdbC6emH/ovpjMBa2OzPHsHgRGuDRFDrQJ6Q0COD85Fe/Bg6aTvE+UoUR628h/VA9VPVSIlEFEaO
NQ1YCJwFbgeQhLG6I9LBoxCM6LGSPhCPQhS47+6nT0ZFsDMECgOb8TzhbiDIc5cko8W+vNGYiQJ2
3ES4RtVMoFWcg2gIZIT2bcQ/UYg7VTYW5Xc8dSbFWwAfgoTajjKKPCy4JYLPYOZbiJ1a8gR7QoEP
geUnsWLwYgA25kAuUD0otb6Y6dYHVQ0FDv8D1oHnITyYqH2gBgbAMbAIIQ4kCqzHfhUzJCG9FWl1
h/0ic8Ab4yxeNkJnH89ALfh0r0oUaoLO8Azp3CKcFeK5lm6orLhNrmJwEQanJNMIQsJ13BQnRACM
rfqVKNEeAbANlM2z/1/GPGTynjRsc0AYCK1gt/gn2oAuMPxft5M/jv+5nUAMUMk//YqL+vJY/rmd
wFUg4VRH1gTc8H1mYP6FeQ/yJcFhcCgVvrMGVJtoVMeEFP7l5/xvRgaaAZrzWxX2/ZETzPjrbnLJ
zFK2r6c6gAx6A7pPUhliLyzRCfpBBnmFDHUPnh9LowPDhJZmBYfO3pk71mGWWktDjJfVI5nUDAy9
KwfVHdNYD3JVxTLjH7KpPpMxw+IGWG1Z7NkDmEWA/FVjdUYwAoB2SNAeH1Umfxbxq8IIS2TvdSt7
164IsvpUZ6RzC0/C6xsKqa9VnOML39zd2a7UZ37D8cjChfhHeBf0Ce125W6LAP+fPh89qgmDCNea
EK7B2lwUYwMjTeo+W9iTyp8nwwPbEQiirwaMS3ppnB/492qfRBlaYbaLi25/G0Ykn+52xTCBq0SH
t+CstEOFDk319qQ0QkJf52/S8OrVGFMxEF6Ud+/aurYa9iUMZg9+I0Hcjsn8PyV0yfBsH/Y5Bofk
bEdZiOmk2ASqy4hXpBwXF4p7PE9a2cAew78o7DdIouoLg9xNY+xlmAcxmu+y8h7mRxp2L/I5NDH4
yTe6my8hql+XpHuP8YcQfg/MZqDEL7F66Gwvjwk11TCRfQHpiAYPC0Z90mi4SgzahFBbFDp3whPO
1Sy+DXP4IvmqdaYWNgwnH1oW+JXwQvjaMrBHKILIu/Al+RFxCKeANax8ao/JZSQ64vBjTQeGqQaZ
VWRGYp6A+5hPuPpjqVgvEiP0enwaoJI7hZES1uum0Ji4kwjJjPUpg2Uf3aaP9xvSJDsOuLbxTOvM
blI8lb09vF4mENhqyCoEULjdUnrJDXwZsfnVUxjd0BWg0+EgcLbXLNaRrW4eUryUR/TZUhUN2I3w
IUhfLdhYTBTs9OG22lJIGnIcxR/1mRm0i9/xkl3GM/DHqwsbisstqID0hw6La0OAMLvAihU3bhW4
5dpatLuMgUD3GT9Jlzc4XfTYKr7kWD+hcx7C5EpGlr006NQJ6WKeFXD4Vzh46jkI8CrtMa8R/nUT
qrktDO5iBq0VmkOCXfB/eaWm+tVZN1kaUekI8PmfVuqvFuvXlfqP43+u1IxhZQp/XccWHyz6Ozot
HJcIUZIdeFxkVv9S+IvFW5C4SS9SjV/QaWFrJhZ+1cYJSftXdGwESH8s1d8fOkPoX5fqRovNvsrS
e3ChkkGeozyW/ZFU3K5ZV+UYSETtj2dYpOA2LW4Y8/T8UV3embmIND9lZDJQoeBnoWT8kinTDmvH
aPoFQFKNOi0+FwMo2EJAkYWXSRfYxESkGJ/QZLuIjWAtn3yNKhemMdmVDelwJsDn1iSzLwmQaZ/Q
0+PdCw2lWkQTOoLYRf63Tl/zA6OpZ7AmtKvbmGWoGelzbZQEzVGedyTTGuN+U7v7x/A6xeWhghby
cX22n6pNfsB3A7zYGdz5N8ULsLMW3O7LsY9XonHw8zfWO0SVbUCM3BlyLCTQDy20JkZIDC120Sgd
hCUyvGPZbUbokHDVWZeZpyZAtrA/W9xwfdXa1BdfJsNTOvAaKFDCR8kyOdryBHfVeKx2iKv0MZNW
MAFSfeY87pW9im2ILugWT0d5Kv6gaTRxg7szwkPgEn3Iz+f7DorL4PGBr2w0N/GAjxY4wIY3dwlq
E/boLyf1R71glkYFZ6/S4u1RHhgRnFYG3uB7CytUMOcrtgdIQrthY74xo0O4jzHmNr4wDDgHNdqg
mePVwJJCJuZamc9sub4hBHKz93ZPFDk0Owb0cJ74yUr82WGijOi0rm9frxw+177mkXTOm02M1Jiw
vzGUPB9D21nxHL9ggmxtINWRI7liVHfFmIKy8h5kzxKCMXuezOT19Y1ek/YCFjumlnzSprgbA5AB
HhNvNNF3rOcqSanpxmjwRT2VXmOOKqG4Fa0WJD0avsdCG+xrOjJKC/kZLfN7Lg/WXQb8fNTiJUFH
ZhKSTQUyXO00zCCxuSMBUITztUvd4x/Dx49EmyFlwo+ieqaFYixCWrH0euE56h83EF0PQS8dSkCz
AIVLx6ok3zMpZw/It5g99GzmYsATRUP8dMn5MW4TctY1JHTNU5zsWiwLuisk+hpi17n3NHzrYFuL
DCwIy+MaW94xtu+K6xuBXo4xtri4OEllpPhC4B/KQqVzfa3UOXkTGoAqm2sy7NdS7xUYS0NP4zFA
54VKZaFoyy6TMdxhWoACnuTgR1SO88JTjYaPda9PcPigxULiK1RpQ/6F5yX4ilxDLZ4f/RHhlxnv
+2xWpAGzAy6U9kr1kal0NYzRSQmmYUQuJ8tDw49woP5oYC3T1QPeTorzkSblVszqeFflW5O3zoTS
AeUag9l+hhWHwI/HBMYjzOJ1YyKGd2n5lhoVnenQljf9D9jwvwhSoQUFmKJXAKYyxJ71zyAVpgOs
6N/2qv/r+L/3KvUvWgYVThHg12/SIfUvLoOeBOQk/7ZX2X9xhCApMUUVbORve5X9lwV1SRH8pR9x
fv+mrSC55de96o+H/hu4m52SUxV3WRxqp8dYxRNc7c7rulW9lsRwE4lHpi61e/bs3OEctg2NhpFe
p9VFfimM/uWWajMDF+9I1d8VVZvUTry+FCpQsGLvr9e7XwNYJIk+a1sgqrZY5hRLJa5HnZStUrva
6kkXKE20MK9VWBh54cYXzBccvGZbnJpaOTRuBD3HxsW/Fq3kdlFyrB8xgwy2j04loqnJF1pxkIzb
6NFGq651cLB03ORyn7SS8+ykp2mboVx3mAUp5EYZN1qQ1uoXLRNflbx1i/o/VWif0KSkyIDMeutU
IkSPtdqgFq0zt0ygT8YGS/9pdnO2Td/tUtCNc9/SVAFnaOuIzqUq80Dr9NA+PT7aNB7bxebWG7MM
+3I1e5HTaWdAxcQyB7aW6Tyn19yTTueZTkCCbmPBwsYSS6MrgDJr503WZtczKQyYPTnyzbeufZBd
7t7ZJEETQ4UUGy24msEVB1+J8vVxfY+wSs8Vuh1dHyq8eBmGYM154sClbC4mXqT4yTUs4ZU5bPTx
3eAaNUtXl43t0+JMHqHzdH2kwyt8EDvZRPFaL9Z9xUNgznrX6xEm8ld4l3bCoBm+5r3dKcp94EQQ
ye11nwG25VeFggYjMhafyFmphcQA6lgTfqGqo1ObjxXrBL2X+BenSVaWUlthV0GbhjWcYmd/qxAI
9VXjtfolUFQ1DYo7a7ScHZubhO7itkqKiiCCs0NMovOZlN2HXYiuDO1uio0Y3C+44REWkI8UbdAt
k1+tS+3KtChnSw3Mqzy6Zmiv47mEuWQriYX+EvTqqksXZ4tWFAb9TcvdJKqHMVtYz43Id8HOpf3U
ujAqmUtiInbbVroxNFV8zxjEV3rkG93iRnZMJoVWG7nnyyNQ2tvmBDdUTfNhk2XLuCKx1lC8muik
EyhhGiXE5dxWjbSOqpwYnYN5WyvnBrM0Nj2oOjqf2ULDhL+U3OS+k/Xu81QeLSXGYzslZaF6UVUU
wwkcO1VLglZJl7JDtfmI0RTZ3fW/bH1DDpbOuIpl3PwKE//nxgPC5y+LOdlWfxz/92Iu/wUKxAEG
44M/Gg/AHxlTHOV/tSU/Gw/zL0JU2WE0/asl+W5+Y/6FKasQh7KWA2rp/6rx+KLl/IoRfX/ooqH5
tfFIyFUvH4YMu2UBKOHRRPQ3e2od5E9n066+5gbQEpH/n++QyTvQ5kWariLjWDpULuf5Ke/CPJ9Z
/Xu5OSE9OV8RZGDpZilrtca3vSWYA3Y8yOb9ipvdAA8UvAfV0WOsZ75+zF4x+DOn+vK2w2s52mIO
Z2JA45kUaWAu7aBEaD9HiL1AQzh1FpdXokqA1d/iM7IRN3q2+SMH0laPWKOxicMhwZxXofxc4KF1
5g/knllMEiui6tRDUgmXAColDlFdEGWTnJQ7nzSVoYXVDZAHqXZIMFEo3gaYsObM6z7MpzLIfBPD
BMk1scMhafRo17DSzftco5+x6jq4Q1upTyPDeMnwn+oeozJ+jmSy2xHu3y5vPcTG89y8YrTmqy06
TV/p3xUTkEOnr3kue8JQyC0odWskZcNL+ZKfgVIUWO6jMxWigwdhj/RyglzXsHs/R5FR7XgmjT02
riGvOPOCDh68skaCYXSte5e8KvuoCmtwhytL+J+0b3gz0I1/WEzHhw0aNfiITJEfM/JbcpRtMCAY
0ZJ63RPF/H7yObC95mEiT7Wbf1IIjU3sqdJPi0eoSXBRi/Szq/FbBBKUHlCqHBQ0wNDaaUbcW9PO
8Q88P9YU4+uHKVz02l0+eGFtVD36GwJrffMeWEG8JKFFr1FfTDOYH2NpdyU0XvdVIn0ziK2XkS5s
KmMYPR6UK33rgNhhQ1SwK7iOPlZHVbJs5HHCsBvshKwZYhDVnlwL61nv6cloXK/rWHtVi2xo4U67
OJHEhlEAfjNkSpbuPdBD5DmTzE9FpgLY/MCABmLO8eu+axOwmvtTXrxmnY5TG0k9+KGScsjvdkQ9
MIGBlfJlq0ZW57i8qh6fX0mQUOtBT/atWQe2HWLTlvgXplvd8BEPLw4q5KFzZ5M9+8rHmVuOEVgR
HsEjoOo2L4lfgyHKUxRUZ2sIPYLJRgjclCJPhU8lukkYG6q1gG+BpjQ9cBQDiIsm/Nzqxfn8leNJ
S4FkBMdVgs+Yf3TjSp8yYX6gGDmrE2ZDhcrr6yn+XZonuFrSgMt4n+tulmwV3PpfTtub1A2aPe+N
NUauEs34OAaWx8tMdkPGcEFG4loPcWoD5kTLWb1Fzs4k1Ufyrc8+PljjsqVxPSNWJvT0vVcX6QpP
1bDMh9B8UXQNenMrFEaxh9Qs3gNeQrFK59rGSn1mjFCYYN6RVrOAN2CxCw6w9Li+mlvRD+HpJ7+w
EVIaEdKGyUP73r4/8Gj1Xb/b8IOxgzOszFzecE9zXGdPfAAxSfXyMUdQw4O3PjvT1ytotaYTlqVb
juslt4MT1CBhKZmCtUyK45w3hqrzgduu8+Iw2zyk6UAnj+CJGSLzvBsFhqO7+Etku/Nty1v41s9v
6f/SmCuvXqoDnCC5RW3H9P+MSSMWqSbkJNnD+TgntmmlkFvnHe1BBTUPW8R8YrzkN5UZFQ6w6Si/
EE9HCBeDov5Dg3GFPpVXQN7Kjftyvw+LV22EgUuKKAtw3T2VWLkyRMOk1kEkXox1sx0i8r+WlAeg
k3yjAX3MTyidrlB4eU14ZVqewDh2b/dZ/6x6UsAnrX13ZWRryMtyr9vYoYr0yA6blT1UPdLilo8F
/Bh5nsPzcXHabFyMzUZICenw0aFxoTwXzgJATygRATfxq0UuhNmzg+NAh6Ll5hCZ4kYv/NrcGZid
vnz93BJokwJoIa8xfbl0kSCyAfG9mCAJNLYYSW8v1gBvaiQMTCglL3/L8acmEA14xmI4MS580t9Q
hcNiXvwI7AWfLZNtEx1O6O4rTFI3mulHL/djJERzbAqsGoPmyLA4VHLXwoj8BFPuYE3TDeCx1yNc
LHDqPt/vr/9xgJZZGkQJ4eVn/D+jNMVGLPut6f3BzPj1+J910h/0i5+jNFpO0uhVbOcF0gqx5hsz
A/sOQSlGu6tYvwK0pq3A2ICRjFc9ve+/aXoZFP7a9P7+0MXU7jszgwXdcK5lTHSgzGze9hwcEzpE
DkblIzZZnyYn/FB15jv9qB8Rum65TOr32M/coqm6wxRiIzA4rHexZOJjiToTiFNMyWAZh1cQRUFO
d6bONH26hcVEyMP0+Q+3J6LgZlg4Tcx1gsOOBVdefEVzOPM76xjNz7toHm9gzW/ijSDNE02czyL5
NbenYHhcIL6LX/+4arSO1tbS5ovvc3ttru25sUxm5pzJCF/ijqWpsiwmhkcO1kSdc1azWriP5d5B
YfSarm94KmH5iWPA7M4spV5FNJQxyalaRHI7lzR8GXfCWa+2J7G82/y/kAZp+3jFkS/qt8hmIEKA
3iKFVJJp2wgXZfDFXn2rrbnIsijXVFwY/bcXaBHRbX1BYy+wbFtIViNVZVWVtNeG9CyvCjUGR1ox
k/tjMpXtJ0grj2WczzWaSp+pYrtyQngjCprKooSZiPPd6oqSdaYG2uJ6OIh4H+gvsGaYPzIsLcmZ
FF+sJQwrPWyKzp4UYgUJnwaAnWtIGNYp0qqkqUdFsVjtrx6XAms2G/S4RcaewDXaFSwV6DcAq9Bh
AGUJOhzhvGFANejmmTMWIRtkizcTfuZp8ffxjiEHtFQoI7wc+IWg6RGpV+LXMTLR+omfuTYRWdBX
MPFCg2RMhTcisqObGIBaIdfDclzYcgDG4KnRza2wXQsTDtRJHI5yyQIvGEeM2W6eeAdUcbVTN0K4
S3RXDcKI+TlOYNzR490yQt4uboq7coYdE9kRD/+yzA7gvrxzmbzHkUjG+52wBTRBy9TacNPcaF6s
OAxlVMkpwV1RXUNksb36DDhpzWGDwOOohrfpNYaE3Uyi0LYWBs7YGUoZlI87EI4dcHQTTXVITMQI
Z0MbkxRiBbCegE+XDY0QJktnIItF3Ip7N5YXysB6xg8rUc3QTuRJf24m5CEHAMIVMzfjzETzBH9f
krpRW8IAtXuV/NkH5d7hASxbNFQFMkwlDObtZUSt12KpeQe3RzueI9F1Kqjk+1pL96nN9nlqqXwv
8lA+0Q8o6R4TnwLRWuObU8rEyS14jQHnOR94a54yvLJ2xTh7M+F7oFGDvFMmz7JGdhOTHLcavG7T
wWi0XQeBNFNHX1GDgw8QBRc4nMksvk/gxguoSLumpGsf6ode7sZaeh2WNxVP72J0a3Fsv8GtLCPn
cDW9AvhamZWkT8EuVrzydg9kqXlNWhMl0Uun4HRCoYone6o6XtxfsR+7PlXatJGfy8dL0We+Wm6T
IjD6XUnpsNWpTAh1zphamGMuieV4aMAg/49vixryFXp8mSQXdr1/nFs67GB/bIu/Hv99W1ShFv4d
rcSO+8u2iIgHTgvT0q+R5rdt0TIxnSInyrRBHbi/n4RFSzUdRpYcgduF/a+8c78moL/CB4JrqQFg
MDwFOjF+o5gUeX26RXp+D5QcR+uE8+HOeYFfNedIwbnCYic8HB6cQRJnkm0vwQ2ERPPKWdZxtnEO
RJx7DudgrN4YfXBWxlUKx43z9C7McRm55GbQGOSYqsrESe2Q1bh5Y/uwZAj8gakNzTv3hgl5mA5r
xpvEv/Eru5tF2ZD0D72btVD7HoNX1isGVtAAWV90NBN4+oxtfXJWqLXn+K0zxmo8fH/vrE8X1ik2
AxeiAv6v5dpQ1xbjEQuk8p5vm3hXsq4z+WcdnlhhlFYeQdLduyQPnJdYmRq+BgSs/7jwrRRNguOW
1nBwI7RVx4Pdsgv/3E5TV9rjwwNje1lDnnknPfEaWhhVZQqR07POaIh/reEepidWbQKuu/SVGB3/
bD/cwkR9fion0kdqf8axf2pxKfSQNEJqeNDPwMsQnk4w39xFBwkF7r7zXDHHOwHjzHruDgLc5S3l
53pToFdcph1ZDZvcntkf6u5UvVzk8eVg3bewGskVuZWuGg9jhIhoVJH6XCFlDAJ/4Pu+OyefbVwO
/OMb1JBaI5/TSpWhox4LB9NGiCJd2/B2JV6pBd2oG1nHllmbl8+dsN8I3r3wRL272s7Y4aHDcIxO
BgCG7Jt28I4jMt2DMrIWk8lqE4bJYINdTunqyJdZOskyRLbA8m2wqKZvdFS7VPLMJ50uFe7pZbC7
BtUkY/jY6a1/NlpiGKt4f7qV8zsWyv/hhYsC2QR+hMBmY6wj/zPhQkcD/9vC9efxfy9c6l8GGKVj
w4rGTwXS9M+Fi19Bm5BN0zT+tmf9e+Gy/tJNZl4yt4vKH3jz58LFrxgH4RUuIwnUVMgh/8L/TmUF
/HXd+vWRC+e/7+X8SZIMM1UzO0C/d69GDXniSli+q8BPCC4Scs7e62OBF7+QEzh5oGN9qQ163KNB
a7x6kvZe+vRtG1j+qQgxxGvyTw9K+40EYkWdVDVZSuTwDJpeTovwYuDysiSlo9xUAWy2bHG2MRVh
uYEOFUD/QiB+ebXVl/jq3WBotbhGDdSwWDx2pyG0AxM5orM8DdsXk/6Ev/jynAeXaIMvp6b7520B
goRd6ih+0ZkLzS7ALAV/fvhYEPFDelbv4STjii+SyUeQ0iG1Md6DR7dSsJ9cK6qnY5MMYXhzQgF4
vPbDm+zapw951cEGyQ7n28WFmK0G1xHrCLZ4CTpsCof2jkKCwHhMbhlK46DiwPi42x+9PIQVXsJG
BAY6owNPtpoxLWCsqCPB+vKJGnWhHBdoEJ35Bz917+fq87FqMPV3Pigp62Okr1qS/2IfW5fo/H59
Oj8BJlvgRVb4yLcWqSIIHkf2SoImD2wwypTNeWF/2H3AHfE3DRKPSGMKaZz2YGXjjlM/D/l83Dwm
/SBYlrnvqg9WRR49Ac1lG8iXsGIgBXvnZgmfHR3jWjKuYXqXwF8gU8zs5WFMVkuHGj/e49hXHvH5
DuCPaIU+MA2PNRkNfTNp11C5qxXVYRs4Qw0OBBo0hO0hFSX7g5qDRfGCWQv414AyhIiCeOb4wynP
iMdklw2Ag2BrY/DLbkOpKI/gTgvUCD9BeNL5JA/l9yQdcXgfiJeQNJEQnRphzfjYfEgv/Oh4lNEA
bfURMdRW3bKnIApA4jf62uoU+D3D84TL19w3XAS2N7ag6sg9wT54I8leEBlinFlqtPN3dot4eudt
/KIJ8li4b/ar6sijFLfgvIirN6p4pDxinoNgKhhTnglP6SQFSwvkqA6/njMoGlMCY8qNcTM5prlJ
gns3WSk2VqeQlfDlJjlXE5NC7PMfvpK/AbSJ3qHw1P/h7syWE8e2df1Chwr1za0aJBA9BgM3Chts
0QkQqH/6/U1W5Uk7c59aUecyo7xy2QaEhGHOMf7xNzEbfjk/Y3gZ4l2DLw5+MUbcw0cXV/HrlBtu
+PXhG56OcpCjLXgpaanYIwvIVYZo4rcbTYBZ/VM9Upxj48ZRKzY2jnMtQkaaEuWNSt2NvQ7UUmK0
2a0XnAmNsGWHabItjTVUEAR28jA9BCned8lCxJOLFKWZUPovjj6KC3Y5eQh1PIojrInYIDMBB5N7
0SBqFXZyiEUstkF9egS+ht8/Et638Zw34mFcj9OR8knrQ6LQ7DFJup/Aviey5q+uvrZwXYJhZG0M
RixQZm1se48ecSF47Biy29hoJQqvViD9KNED/9pDVxplPuEdp9H4dsSP2pxXe/eckylNqjh9BJOY
WRjTHOFjfPX0IqyakBQpYFxzrPYuQ5vlplc50YEephPqgIfAegDEhReDIl4/GdDnXjlANnEht6Z4
hXLvnKEeR7ye55B8bjdhVgoQSkB4b9OhtBH+/XiDaVqfvC8/6Uo4LHamnYNbvexHkr7rmJJQVRkg
liDV86MjhUh33R1+D05FuwWh8+ga0HkJ9hvHFZf1nzbm/5n/9sSFvinhvm80qpABflHCaffC1JmJ
W8Hjs9HJ+pIst0I2Mb5X/fzIQt+ZXxTP3hafsI08UsWFDBSninxsrU8nVqDsuRYjmyPXLO7Jr2d+
lzKxqgf73fE4S6JiemfLwr10pswJTB/f3vqouafS62WxD4uJ3K9ndcjqohP+4+F5NDiVTpUKSio6
x4oUL0rc8Z7cG4GomGGHTaIIbqNyKGEorYH8/MHlkWhuUHXJmqLCqvnvfR1VxG993ffH/yiPpL+I
xZWY3tKNoU6gY/zZ1sFU1ej3qICearNf0E4Fz0GEcagORP3wpa2jbDLEVNgW42j9X1VHsnhXfnvX
frty1f7lXas+TM28NZgNqQDjJ2epU37jmraxZUciRg0GJeruAeIrAq2JnJgoft6jbhjdXzKg0Gqm
LO7z5gNXwUAOrx/pQkx902E8SaanqY2dT9Z9xxwgx/uNCp93NKDTuFmYr/cxXd2rHmVTvObdJMIR
7OAw/FE+07cG170r56AiQZNmieS0a2Hpob7Y8FqRjQGheERp8skGcuJ8mZPxn8l/meMJPwPUyEJn
YIeVqxqhEeBK+NrtYgDgKUEEnXMF2DiLl+y98xuj3hNg17gKGF1i2s6uh3PnlG0JbRFCJhnl3eqg
bpXcrSbGQN6wnaEZOnQYZsNXl5aZKvYlc9HZ7StvfyMB41WSYaE6D3wNinBUKM6jRFMBgIZbefaC
5GhwWBMcVr08mBihRTC8k7wzP4CzTlswsMp6pT/Fyjjd3cBlScwOGcW5RFG4gMOhuk5Z6tbZK+Sp
Yfb6CB/hnlkdtgH8bxeB5f4dr/knsvUEei8o5SYNiQTwofHJ+SeEhgbkt0/yr4//+UmWJcjq4B/a
07GbTuPnR1lm9iBrqqaiEcKx7OdH2SAYG9txhEFITY1nKO6PjzI3wYKHxicRyUtm0r+TlMq/NRXf
L90UndCXDehh5rUuqyA0F8VwTYeOx6SdgIlx21k2bfnw0ilc2othoTnIZCbEcDKA91A6PgUfNZN6
Ia85erhr+8w7unoZPEbUY449MHDf3eFbODFSfCWYHz/F7NH75r3jQjEeirt3zKWIBOBfBbRkIiG8
mx2RhuJQFkGl7qzMPa6Rfs6sF0fuNQzmB3dB4rN3TXJR7agci3gf4JtynG/tEzmkoKLjapNTDFGe
d45zw+jGlDRXS6wELw8qe/28slS89MkhI3/+pJ3nKtmLh+ExdbNFNhQ4KqXSRPNjwBsuNfcfD++u
BeyQytjOu2d7Ymnvqjk6qTNUgrg5nlw+0YvYuTjbYBskzuzgvFPkUoTiDC7qcGJ6sOUifw8nrB2P
wWIKCwdzIcLwWDBIEaZsewQ4ZULBZf48Q8TIUmHA7DUG9fSxxlw5TLMeT3oJuQ+EXyFE5DeUuqHU
MwboHNG4sOzY4sg4RdEGgfo8sK+g0NY8FJfS3UeTssDlkTr1fB8oWHiaSVdOxmXpzbMdPLrExV4K
WmMHcA7xKGBci0pUZAotfPJwcAvDhBRqyfTqxZEweUJDuCLlIqrGkMzQvqAohBFs8FYxVnZFBqlM
lJp72lZzMeaYm+yQi/rSZ0GEk2BVI9iBuBhbEZU3HAY0kNTIN6l/Y4YhtMJIjZmYdCJMF2ShKVaG
rNFCu8tzCDO7R18bXhuRh4IsTKiFzz40ZLjuSICRleJZx0FQNdOpfNy2arKozDnJWkfMRfblq7zf
9OWljGkWbAjUXKceD8aIirvLj6HwWhD/JdFxfc6nOsxCXmUHyZTR+uS1hm2UXN3OrEZxsF9d1prh
7inJmBko15y3vVrirSeTBVISX/twr52V9phUt9eY+v84tbCSJgDFNaAmwTzAQwgPe/RpoXocEabC
K69jJjOFz6/Naojw5EazYZGER8PUeMecNtKRMcWJGE2JEfnF+z+t1SnPhxJqINMV0EeVJhZzb0h8
d1TRsAud/YBPEj79vDZY+psfIGJ0J3Qat/4+THrP/Yp3Z0kMJIKKJW5m5/WfXOGJtVuQqTHiUMhC
/y/7giiUvld4vz3+y75AFWeiNSLQQdYk1uWf+wKLPkCWrgv5J5Kjb/sCsBiQvsosgWw7TujLvoB1
JaNwCwRMFjF2/wIAw57gtxLv66kbOiXo132h3ed7UztKeUBiw1ONj7Wcc9k2U2CYTsQHEHGRMrwz
FYQGwceF4Si8Ct0h7KGP/8C9i8P03YsKQbjgDSo+qLgeodNZ8fHiOwxcYWWAca8Yt5JcFykbikli
xz6Rq3AXBW+4Gvf06W0L+6aL0zSiaUQ/xO9BPGzIJtgYC54XmtoYjejNxXn1PuAWUA16270Lei9u
RnqEtLPpXe0Jh+P38hznmGqK2wEOsExkCfBDmb93ObfLFreAp39ki2MAiDNJf1Jg4k4wf65F1JHS
RlwJ61CMmz8WM32uXyQrFXyQOcj9GTD/I7ACa1ZeE2bDUYbjIS4KZHKyeH1SFQsvzo7iGiQuIYDi
1eBFRJSC6gR3BpjPrF9xl+wNAkSPPCGXpPBnyLvtHNPHm1uPefmZKLMKPt0clKHQziA2ZVfZtnPm
0MknfwXNHF0R/YiZNa8qNgr0zfw07URYJlx4YXOuWbyQ3IqqN+tKGzCxdsxheBI5HZCj1CGmlo0A
A8yjaz6jKlqSCJwXJru3OxSfLhbERBEOEJ401O04DbD4PiW60G+6RBqyIu9dbsVYrZhyFzNUFgyl
I0jUXTVEXqqH1UbDS4HVieZ9w4zaQllZTKsZOiHMmbkm4YwgQv7ipbB94TeVumJuTKgfdfWmnuOO
oPqPioUwYrWzn1KklfUBmMisnLGOCnnxAJl5DPXC5Vkw3tSxD3BRCzsolyrCqdPnS7rIKKKHlzFN
c6U5xQKAIL+RRH7qy1HmplOsyhz9NWOQ/Rg2H/Y7ovoxjLWx+K9bbIqN6iGoQtmEyzJsjxMD+1PE
CB1LKV59RvEAfUzZNR8Aj1MrJ2PEsG69S0OuRHt6j+KsKpFzUU7KieA99HgoRgyI65BilSIzw3rL
+oRmv2CxrtMG6QPrDbK94t7YmX0OY70hdba71pss/khtrxlBKODHNKzn5QR256SY4pXkUSiUAH/J
gAAJpDwJbgGYVMmbp8+kvNF93BIoU+AthPUUGwNqAOBCygiKjuv2QVnB3EYdmgsgPpH2jJG8zyGA
G40BG0iObQIJhXmfykZ4QYg2yETFt8OOEzNMAh2oa9KV5mGJxdPIRDVuyR0a3xsh2eUo8qbzQRAV
6ZhwPm0nXVHjSH3MGpBpmYv7DRqmxwOLEkCyIdzvDDOfEAsxTCIO+RJyhtScvTbIm17clZ4+E9WE
QGTqK7Ri3EidpOKltGmhSQC9DAE1+TiTTo0JRTk3BsbAJlijy5OzcJG4NgKsfGD52VmKYqqHSynl
nO5Tjkk9vjNd7CPyPvWdr7yAMzO24xlAPoVPKBAkNZn/WBMnsmMkB+DZBhyhHYk4r2YsMc3nrqjD
OCVjQBRHrx09nxHQtB3RYYJ7gm9jL7rGAJWq8Q1Z1xkNDC4VSOEEqbBC2txZUk7igATaynVyrPbq
83rifJJiYYpdVnf/imIuGZQI6JIBYrjuRJkP9CElaP+VkMlxtqr7mfd6djTBlFjhKuZuJaSL2aoZ
N2NSRCIN7gbEv6fRJ/EXrKM3kHURogvGelqBPMI0hTbwrDOzLt+JPI2b4S3SrQZqQCIKaRVXb1E+
3oRpPlVnHQCh3vKFzMSWjzEl5Z03HqatzGQx84CAw9+x5km5VYRl8RD7Y5F6pHGAneKPNCbBagj7
lZhJMNJizAMPq9OqmfOQkKPWATgrYwZA0sMKhrTq64I/goVGv0oWFnRVak/8SseKA2LroN0Uv8OF
f89viUXGGyHnLDkrKzysTGrEPhWZT50s7MnsD+5nRdijj6E1bao5wQOHhCIKHzPDIg/k2l0ADjgL
BSdV0sIiK2QFBgAG8JVetIHE4KK/wGqgJ2wGcF+lpUdVDgSLKyvcFZ4WCgynz2tBYvUeN38Xrw/s
0HgpxWWUwlS23lCiDvnm3q83ccSrITw+IIbiH8sLxjlR93OziLa8SNxHkTwBhYNuh7z87h9uBAII
gAoOtbdlQiWkHf9HEABN9y/F3m+P/1LsybZEmacp1i/5IdJfNPOUgF+yj39MO42/KOgkEkSwlCKb
6XutpzOX/ds7BHrjv6n19P9NXf7lyoEPv9d6uZrXxHLX1Ho1tR3lEDkfNFdIxKFSiDJHuPdqZS1q
PgygqCZox6optLkLAU5H06dMYIxOEUFJJc9h9D5NnygYk0/qCToUqh0eS4EEPC/It1Q5UpB8UozA
y+3XE2HfdNku6Uo6Ee4b8YAzkefSpsYWCmfgD26wEW3wfFSLghIAXw5fK22I2wbeT88KCsvzOWZU
GqUQTeHZ5/v4EPK0VDs4Xgc85HqzvNv8sUi1OdFFjLfup0+2iy1aWdhnWZTdB2SICDrX2gIMRNHK
nvqQsDPSIm6wzfEdchVChDOrbxsk1HyDZmIy99qdhj10AQRIKd09/Pchcpg+jV1ozc4kf6Sv+CqO
adEY6g1TH67dCALevhfTJS+gEp69+kzNfPOWmEM5whX06tOwogmAAAoOumfMiTMLZRlfw2STLqhn
+npUIqsTVD6+KJsUvJUjgidMZaa1UyZ77ZSIFSgt/uk2q0BwIqJUGOva/Vb6IFaLy2U3vvqoI2Aa
Mohkiimdg6f51W3LAeMlqQWEghzwwh0LiCVBzy0770AjCxI+qGwtRx8wsvrIZeqzJzcQ1T0FB2s/
fgJMpJ/uVPwrio5ywv0pJq8jqiS0kaJWu94xTuJayjFzHbtL6XNcccHc8b6md2Weqt9WVFNWNT6u
WlXUopp2A+FpRkR78RMPQ4+zLqacCJxFa8J0lvufomZD+MZJWe4bJ0VyfokOyNK18bny5DQ4HPTA
uPf1eMCuerzh88HIDJtNrHWPaLydQ3DJKX0j2djceS/e3jP0rHDle/rIekkOW7nhg7Ei5cNJ5W4F
AYfRHaapjHAe/n25HzWA31gnpC5xLazWSpkhWHLLS0BQsPXOVKnTO3hpt5zJPi6WUuwkFNJvx4i8
Zh8qOvz75gUavU2X1BFNlCJK/f2AX+wHFpUrlikMygckOgaWc3vrTO3g2osh/FbesXrTruOM5PoD
OdmAEbnUKz4N6vJZByMbIGjMfBDdpqPHznqQNgZX0of8791nMPv72UT1oaCC2byxZa6f6VbltBjT
qfABgnGlEAtjRezcBEQyYizx/T4IhxMIpV22xZJ99upV83R7xcyQT5mfrPiObUz4g6o+MVqEZYEV
UTaIDb2gNriRwXxaMcgk+6r33FrlIdsc1Px2KMoAcEDoTB4xJi5ohVESl5n1+iQub4TWBTsitlLB
RhbxOkaIQ7njIxSBLSR8t7hNXZzYcusNNTcO8dmzRrjzXuGiE2oEqZ5Qm3AmV4zV8WPBaJR8j7Es
dlJhyhW1w2elwOUyOxTb64gSp5pzuLkoY/BI5eURFUgdtJQzRFEPUUKUyCLEj3cDfy7744L21uHS
q3HL3iwwfJ5FCCcwRN0AelFe8Kpw9VbIt38y6MI+iniRmZqumk/O4D/uw7+pLQWi/f3xP/dhiQmY
xa0WR/4ldVPQh0yBuevmrzlejLvgSxJEjSek2G2/gi4o/BUbdOhvkuW/AF0I8WSj/WWu9uXUkVt+
34jPVnGwDkkOGI+LIQ0fWydRmRf2HKQvNdX8FiT90W+zXqWMy04QfwiDIGk/NWQGUOVKj4PT/dO4
otwykT9nUQdjvRYTIlRghYIhRUUCHpxx2b2gpFTo/rEgLXsIyu0ESrX+cqdlMPfBgaHbwFre1/IA
sxfj7ZJsUzWg9QbX5wRmFU0wtJiHd5O6def9FKoNzi5GEZZtpL2hvLZTpPCuWTqpvpbOtWMcyF6A
mfEoerkyfkCJ6UytZNFIH6yyH7SeE79113fUf/2bM1i3wQ0vSXz7sFW/zm583vNeNjsqUnSJvR4R
XqE2T85dQf4gCTrCziNRt428K/tY47iyC59mLplQB7JIrv2GASJRmBI9Fwt9DnVFAe8kfdRtCNfY
g4XgpTy78nISWdS2jDAi6oJ7aEfnLdjBdUsLKjD4OgU29Yj5u8i9Vurd8wFu1DnNT+NoEJyL67De
IJLCwpl9GCYruxHWxacVOAy9AXnR6PlI2xWcE37iOLQR1Zj7a7cVCxUoOKsU7pFCsgcaTvMEVWm8
71Pzk8vAv3v4/wFr64CHc0f6HBYejJzpFfgXUjqrmCCgDBF6sZrRajzZ7h/IaiPu//QOVBc4MkMb
6WPrwePw1JEPIsIBQsaC+9ALb1iF2jOmxh7L88MaQqoAPgY9vw8OtNqnDxIi2DD2r0QmYhx5Y1zD
QVWsyac3j38MZfa4Dq1IanwxXa0pdnhlKOTwMUazdT31JTLSkFXSGhVzd+6FmDK2nnUJyRuRrp4Q
zxInB3gHCsB8CX4qII9HlCK/KrXYYR4AlHdBE3mInc4L9Wp+3fuZ9EK5F++DBPOvQYmNvphFLKHy
gLYH1IMnaZ4d/PpShemliwCwgvXwJ6+yAt/FLESy8LRlmf0v3Y7wvfod2v72+J+rLHlIAsCGqska
+529oKB0/9HQ/AZt6wbxCwIMF4/5AmyT54jY/e+ACPvfNDsc8Lc19uuFg6F/X2PbDk9Ux3LOcqYP
jivBf34XFOj3W1d+MflUbY6Mh9BuknU6b8DzyjGYGsm6aLXw4HSLKVio2cULLwKUoybtMWhJQ6A5
tJ00RzPuiKsS5qlV8E5+LrgfQN6Mglb8rhYVNAQImNVLavNTdFwxNHJVHIeYJ1HAm6HNeVD7inyi
ciy8YDUfaFTYvpYTymF+U+BkREGK078rk0dEuWx3RaxiG1ASUw/zSPRBnJb1cV9zK4fNchGum4Y8
RGh0qsfbu4AAAQRQQDF23L1Tr9tk/T0PRvlud/mOi6IBuq81H0iVSDdmdjdhYQvrccsT2uQB6/wH
vATOdY5uIfgYI0+dE3bpK8Rmgmngi/AM3HvZ4Ph2ALwCyUrjDTz1U4ytOrJR7glhEEdWnWfwmgKM
jGOlUEEj8LF0BYZ1b3ogiII4OMj73JlfyYRQXrwiBtEHVJw3O4BEYSALU1DaVRPE6CPxv3ZWTbj3
Y80mU09REzPi4olAx7hP6cIc5OyJMzADQDqph00SvEaVYEBOE7Qt5hX422mfKYdTXvrgejyOXyov
gIjQEZv5jZUJXJMRL4xHSIgcxBjklz5TV4If7BDmGKMD2mG8Dq4gnSF9ybDj66PX7DK+vZ/JYfDp
JeVPmbq7mCAOxwCG1czL1lwi6GM94wmEpSHzWME7vITFmk3LeLFd42VrvZyOXoehI6YIIOxn5/ya
1IF+C2w3Gd6Lro6s4B5qh0BdlNPmWRAfxWZwEztLcQvKYsqiyADSJASTwBzeyDIS/LN3xN2xlzhc
dtQZzSxvVuPPYI72cEzBBeS5iXQDd99V2qPT0Kegv0Pp8M7mVG/2YTUAJe6hhrReY4qD2snGWk0g
VINxgvKan4KmXePSkLwd4dMI4k7NzBUEQRit3B2dsQCWwCAIVPYFOaQOLFhdwb8OA0u0A2Q3+VcT
ECLJ3HqFQVq2PE6qd7tymeQSJaihRk69tfwZ2879LV7xVkMEQhgAZu/HFpkgZl9eAmBJHT5WU/+8
TJou3sc2uEMaFZcplDfiA17iC1hxEcHZRHu4S5aNtM5o0VNsspNyTqwF4rrL7mj7h+4ZfieD88c6
eawwKzgeCe7rHyO2IYUP2pL5t7Tk7US5sm5H1QT0AcH422PNe75kxlaLGmR7fb4L1SHNMwwLw/vQ
yGgGz24pc2wGYevO8vmB4DMgPiEdEQItAD0YoGQXA76HC/DHIJ+KHgTqKLu6lCxufUoAPWS/T8D8
CT12FkQ7YafqF+Gu3eGmivc/wy9jAS8KtfyHMvQYF0dY9ZEUML99MAh7WK8iw7QK78LSgsjV2CFX
lOGYVN8wwMCrkqZdC0A86aCM+gGIuUgP8LfYm1Wwdvw7SXd0CDPDn4Ovdb42fARj6Da0GXbcCRni
mRIwukoz+KKC4o7ugyyK9s4Qv1O84hbIjzxhXs7hcMhZSG2GB+tiKUaLZEYJmIdq4QaJOx3IvOa9
MgthiKEDR0/Lycrya66MFBpAIdusBAEABWtXpwtraeDjAxlkBeRUjPLwAuk4Es9MKiWjFxZKtLpS
oC+Ksflnm+9LBg75tCamsMg3/4vEWxX5i7+WDb88/mvZwOjaMrGvUeVfqwZKAFMEQT0Nb74NxBGw
CcGIjpJb1uiYftYN2OqYyEsQuhmqmJX/i96MKMf/pW74eeZEVX2vG5L2rCnpqc2DvHce436J+2bc
B198O1LOtxgP44yxbvCuWdKvxJnLXZ63+8d1/qKNspHdRB3FI92G1Wu/znvczdZ9HFMSdFCsVi7u
XDp+8vEh4EuD/PhuiPq3xKOmeWtRZBRuYmAPhX0K7+YBHpqPcZI79VrtmS+a5Db3KFPH9mAvdy8d
oi9cdYc8m6w82a+0YRYuzU5QUJJjfdVQosOJ1o5DK0UGscOkWO1dXx/9Wh1VhB/fJdcolir/FxNM
Fx/t9a5z6WZwfiTX3MnIwRvw3jVRo8lIpcuTwz15OHlXWULgIhpIHhzCPB00o3dE7i/HLRlHzXCP
4hiEkfKJ8odqhBn9vpeG1ochxsMHHDBgZg20BeXLSYiZhX5PIIlCxnxcUaVwezHNoYAynAf32vek
4bvwAguBP9FmfFQzAyAqEPVaOSbJl5LG+hDaZ1ThTFwhijEQ5nvky+fteUstxFnYcaCg32B/vhPh
yJmJL78YlZ696jhd8cTCaaMSrvrVjDm0HSE04RBtDziRAfFAgK+MYu4DUaFRqvHM1Gkcmusa8DMH
5IxuYihNfZaGREWefWyk0ZpwuFP0rnKhm6tEjjJ2mOx9JC3AgUhchuLI3qktxWwcWcjm+bJIvJCN
SKtkuMuhKeFw8OQE8DBmaZWe14IhKjUt7H+1q0sDhCe8cJw/Z0rFNjhEmv9O+QocPbKWe7rxkZhC
W4Q2IB2G88NSh98knLikcuU72grHOnioNGxWx5TwzQ4TWPkFE9HuySVEUWOOTA18z5yC5VV+/Y9G
Q2hBPCKqQ6XHBmilgwyC/nPDukWiVpN6E2nOWHkL9rr/vB3nDF4pulrJb/ev56hk3edHith7H8nC
Gesea2gmcnBkp2DSOhPyZ1p8v1hXa1yi2NQ6bygLH+wzLfFQx2viX9h/jGSRMSQs7ir5SsyKY/iE
fkM0zMdh3jinbrmoMOWRBrTd0iNIt53+bZb1tKsjmPBXeAjdjpg165vb5/EtZ19PpvhuDo2bjzBA
n2QhVrwEcWlTqW8Tx2UM68JXezSZXi5cML2jM7Ic9KRo2ymNbV8EZRXqBGZebbyCcDKXY5uC1saf
+AdR69EXP1VjJCUScgsqFWRooND8QdGnZMJeN4e+AfSfjihfxWBYYZLPKFjz+JkRd9rFmmiuhBJy
r7KZHg99nGHskx/zmgn/VszkSH7oEjl5FrecunbhmQSbagwTPYq1E6Fy7UuKV/VjDNwMRikv5rwv
GL1ixHACgBVlnrDUxng1BrgAmxATxuuwTxVyogCiCmFeCcMMF14uZsHgcgNaseJSAEIqxBakTIlA
J3Dq1RH3GzEjlYc8B+jCjdmqvnjgHXnwzrAMN7AUz+FjV72Q+upmE4WCD0YF053gNitgMXiq6PSp
8m5Jt4Or3ou+VAap6uGJWK4fsdvMtJHhZ0AMI36Ikff0O/3DOh8lPDXbvWt+8LqCYRfjagzOe+/3
z0hBmahirQSiXYzFLFjwHS3mswxz5/MQpCO8n0dkhPQ73SflXKa+GbI6ln671kbpe2eQvvLkrNcS
rVNnURyoeDpVv3Iz/m5oXZQZChsEMEWk705WpHft46zmY4KHDnFMMgfRZvZOnWSR1nj2izy5qyOc
oRDRyBNlpnZ6+s1hbwnbdXrtp3HEj+26XV/iWYPnVoBu5YGBOVWvn0WW2xmc3tPX4yCKqeEwbuYG
9oPPT8HSbNfI+/mFPNF3OFSKK+HjqIQWjgexe+84wq+eeyuz9P3umbs/GjkhklJDy49EFc8ZKpx/
xKcVapJfSqBfH/+lBFJBZXTQaQ0IRVjZfCEF2sKEnCnyf2SxX2sg0BZ466A45FeQQP21BpJtFWY5
kliLabH078jiBtXdL/i09OXUEaB8r4HOj3upSsW1CJ4+zSxXEOGsxZWsQYp9ZrpwA58ks/iDOS/f
1ZiNCV6utBGqdoa1SLghtQEn8lgmucYCzh5TYcockO6AW+GufcAChOvL79B3akPuhrM5K6I9wSg6
xToHHixPBBiITVVB1B47O40B4198x/FrZiYYC17b/VwHqCFsydMnd4adNyh6WdPj0MqQNZJUCYKv
8b2CCCciZ2NgaKEU8fAU9a6M94j+9NMj8UkuyKoRxh+489TnNSuzok+lDTw7C44iZ9SJaEpg/jHK
ZrO+bGk2OCkuhrM6r+D0cUF8cUHMlJGZrFabzQP8552uN5BaDy0hDGCaftoSRsQYVhkg46wUHJPD
w7km6R30AIutYQeouAl5AS/Eja4KCeKhSQvqdc4W5D5C4dv5NeRxmTnndC9bspCYyS85VXxGEf8j
q6OygNULMCFYYKJ2oUVviCxmAmr0mf22Te7Hy+JExENJogfdFLt+gWmNs7WWF3Sn2M61HdjM8LHR
CbTKRO8sEnhG+w1PI4bzzNy5XmBaW5qfMUTQj4rPFNdCB2vWj26xvaTE9TFyPE8SNe92YI3L9vTs
XdDTpKNTn9wbU8ImEatb18S2BJzliGdDi20A8dC302f20LqwyD4UgJ+sC159lAI4UeyD7NQP7OMK
H9o+jC+QmEregfdc0zGROg4xzocKXEYn4g/6NQvnSABH9cxCJllPuMYAthr3R8lDZ03xwveC00YO
0QTL7XMExR7lKd+CI2VkkKflXId3yFFPuMzsj+Q7MZQHA1OZGQAlQQubQDXkSGdnokGpUoPORg4Y
HJCNcXBqZzYZDNYDzlWD0+1UQFMUTO2IFhuC2NQcKmPAhESkRGJqg34AlScRoMEMjYEzCS4OPK7X
CdCCiNg0sIN18hDcJ7jxL9pc4ISbX/fb2C+6GjQyqHzNkKs5RAQKrmDcYtdeQeyllC3n9bShfnUv
AuZz0LM/DF/xgNXlkTZIoKT7KtZ5TIFVCsf7GGMXJ2stHsi2Dy6Z6V514ZXew7oFnDozQulLLzCg
BZ3Jbl/2+OnsB027LDdp+8Gu3geMCAvISXWv3FR8ankbn3Yl5bflJHycEKh7iBHEKOTuE0B5Wp39
z70TXly+6u4DLvDTUK6ZSSNUCer+j9YiSjoRRjb2tDJNskDr/3lTYpP4dVP65fFfNiUx9wS3t575
zJgufN2ULOFwbqFF+s9k9Cd5iYQinUGAQdCjcGD7tinR3///bkrPxvv70PTbpZuicf+iYNqrWapq
530RFKwgqouXOGDsCds1PGaKaTFjTenTQYXpKB4+/KVIOKfdwrLlXfYUX4Ua+27GTrN/faTW8gAL
hAXzvJJ7GMAI8npe1fhNnogs7Wmk6+EYZvJuz0v0KLv4TRj/ydLHTe50jcKmVNIgT+ViK4Au1cmg
oOx9BUqRX+BGSuYbg4XzlQ7eaSOydEDOaHpol2zQNIuP/IN8CLRRriS/dg5h9rGfaxRno0tkOHBC
ibtvaHqUF92335htap60+yhDXGQU7L3e6f6qoIM4hd0UK1eC3uQEkzk8YUaCAlxM01D13tseTaP1
pg+qQPSaT8iMy2RbZItRkDlSyxMQEHXg3kNUv/o73TOh3uM+MBZAmwhlamYt/Ad1CG+JsIbtZQu5
XST0SWiGMXqU9q/1fL8GgmOAoA4uef9y712ujqavpA008kOUks1wsn1Z2SnxAAISiyikxohJbZOu
tfnlsiMIJGyLKMXpt45fHu7BLy9TvYz2mm/BbNK69ap9+PH0YIjQZfXO1u2pSJRxGwVeoXqlCXjr
MN7FuxtKlQ3eR4YEGZ8oqiq3fr+MDi86f+ilhth7kjTRHkHbZ9ZG2GSfGTCchfgScw/+fi1ElecX
LnIGix6EItl0H9iqQuWeVyuQ8+a8Lk6B+noqb2AYwNz3ccVfQaQWk+Wm9Y3+dZT3mg21SXt4l8d5
155nmav0481+cGGmyX5NnQSaY4xs+oKp6U3jURF9frLUHbwTylX4p06MMCno3Hvg5tcqrGBU3QLz
mG/3aQ/mMSOVy+nzVJM++HpRQnYgkYBk4y4M1Qb7BZRJLqZJmESIoQ07UV9b+YyFx6k7s90SZjP7
rtt030wyj0j4S4It5BcHenYOF30MBEKr7xEnweglicO6AFbONbdsj/MCcwoGOJBvDO8Yk4DuyrMz
7sAZrGo8VHz2ZEgA+yWTdByynCQBbzlH1uUlbSsnB3fNLt04nxKrhNMBHJujns5v7Rr3hOv6LPVP
vJg0NzINuQeEILg20IYhcuNNTJ72HCsFGE1ELdGDn9iFkedhKi+zLx+lF7san1Z095kygvMELRhv
BKt4NXN4jdR3+IyGf3AzA7EFLbmOVzgdhyLw03/YNzR4ML/sG78//se+If+FFN1kd/i/rJkf24b8
FyRbPHoME1NP46l9+rltIHn9OzKJE/u2adC+yKC5ik72k6X+GzRXVdjuvncy389b/wXNvZWPc14d
m1ZQBZ8czz5GXkxmS0+6bG9FyPCzmtkSiyYkxBSuCMqLlWAYuvxguPBBy4lQbcRLW4RyYnB42W+w
9ES4Ihk5W4kRAL8JSqXgSDIyLScckonvO4cQYOPNYXmRHVDN5upDusQyBrG7mDefGq/Qp1j6czOn
Zr1pPos6cCBAKWHUoRgjs4Rzb4BSgEWBOrLeI4Mhc5TzBPVkB8AqkJuZUDcjDP6YdUN9mKP5OD7v
0odNys3tC1AqO0TicRxpaMet8LxFgAqecFkCIo55RoBZPvp3M7iUEXPqelczyRL5pWC5qE11Jl6M
KHMDZQIAlDo8UyWjTNBAcowBUve06J2hc+Cn7aJunYj1iTtXk2bHRgZT5u0SCnEs4Tgoa1krruYb
NfjRZu59zCkieQ2IAj1jAdnCgrGGSEKOK0p9IWV40LKdAzVn9gq8ZuJhITHyou1Z6XQL5LVxVNzW
aAYo6EUEKLNmpBowTWtuNcJyVA32ow78HoDYXjbAiojl9IwxvERx6euG82Yvy9GNHfrO2DLuZahP
zDeoMKhn68sWlxgDg89VaY7uTKO6901n38uIB9Kpd5/VwiYucOPo20PzMN8b5s3RzVeNHrI+fHYM
BneZI0Xa4xVG4cvB2igUJPLqeB1k5SStlzdrUElOcZ5WTyeS/fnjAoqXhPbRs9SwAlvyDDVUnl9y
iZVTw2+fX20ZQqgxnl9ncre0QNKChvFcFmizZZIFsdktii7Z3jq4/h7ykG9jh1349YRm+PoqAqMw
ZjoiaPUIAi4ufTvuEbhxqfrw0Dpk7N2j9B4p4t0fXS6D2hgcZYIpnMdpWPGlDYGlIoYL2mhHH56W
S2nfTR40bDd9joPyH7ziKtgqaoj6Wfgg8av/FT6ilP+1Uv/l8T9WXOkv5Udy9bPg/rHe4iZiGGhN
dRlvR2ZrHPHnesuCqnEekoFk9HnTz/kZKzGeyRa7A8Scfyco5RG/rrjfrpvG4HuZ3p5V7SonKalc
l6GBihmuLsvULYFOd3i/7yANoio8wZy4BvkOz9DLOn06g2eNR+La7PFpEEzDyJcgCgyEbgx1ATEs
So5lNiOrTlc887SovYe0OaabzmlwgJyzg8hIF1C+4MDOGqZWK619U2CoH+wXcGLvqHRN4tJaD/jl
PO2sk/lRHyXE2qBlfI/PU6XswojXwltApy8RAnDqZqTOg0gwRGrW1dje6RieYy9Fno4Tu50XJXHS
d6J4sT+C491Ve7qXr5NXCmzy4vpxkROWzUR6WJ0v/eI4b0bxda53C7/ppwpsbQo3v0Zo8IHtFFIK
d127mD0+rA+mG/bHQcO3Cx55F6hFIZIP+69p/JEcekBt+ZX6G63pIe0BjgF2xR/t/LKtpvwOQApN
fXB6g9M878wrnF7BZ/itAQyC2b3Qoe4af5fLOzEcZ3GC5d8EyoO0NmquB5OY9n+4O4/lNrKtS79K
R487/0hvBj0BEt6QIAzNJIM2vff59P2l6laIgnTJqL6zG2KVKBJA+nPOXnsZb9+QuBHSGB9QHOF0
Pq0nG+Llpgl5CzgyLQ4AFjbcnWJrFeK/yokcrqd+6sGcwoGYY4JBWJ3pKqbBNb5VjDcnJI+M7yBT
sPWRJo7ooa2zTW0bsebDX1J9LuR9zlKQFWFA2S/OK+HA/KhX85p1oxMjxNJnNTLAYqox09HLw8uY
ifsuYgIQoR4pOzk0sUHIyBFV7ciYCBCM8FeAJKI+xpbdOfIiFCEsWZAQSbh7KwhGOwnpTUPSMgT+
aqZ+wD/Baq9hinrQP/QPkz/BG1PbXbdN75Jb/rzR2JUv8sWFtbUatoSJ0AYlpoP8VWvRS4ST+hNd
ftcOufPqbLwN2eSEyInBAsZNJx8G4T4L8RnWxIfAUhaJJV+cFN99LR8dBfPi4nsWtIoSTZreTCJV
XxFEJEkucRDTTID5i4dXmVl7NRbw1LqP4o/WFmWHBo1jPg1u/eZ1AREeBImIGBbCWYVWg0dX8ix4
lwRWULgD2+dLElaKRV/rzTQeafGKHQyrqcJB0NNwfIkKZa/KS0/GgNV4VBNzphab2gF76riz27V6
p0ONk+b/1cO7Tr4a616cd2WMd79cUCs/eARXw/v1+z8N76PkS4QHgRcnorArIAYHKtbwpvKbZQCD
8QjgKD9aFqx0f47w+Auo4EUqyUYQ2P+RZ6ah/ramlmFW/jx0vIN/AWLytBejWtCqRRM9divKNJzg
5HUzx3MPz9kECuEMPZS2wA5lnqyKVTurZwwZ02rOaI575OgfGaz0dmmQ0YIouljI0MjOJOI43lID
HBSmFlEV0lt3qm7xzWj6pVdEM6XZfBh22N1FzrLyF6A3WGOiZKaF0BA0jao9j99oVADIQxUGFUe7
NiVvd652xGCIH5o9vqWbQxdCATLmpPIyZGgk1aNEBhP50RiuDnGz0ciiwxYSRB5klOd9DwDCAkkH
1x25SclDZN4Yxk0/JRInWIu45VtQIFs665uaZgifj+X7VjjCXNij8701tsJmNAno7XyDud2UwO0N
8dLQ8nDfYLsla2ijm45LS2Yk4lrW9G+BWNrFQFocwiM4gOSXUTLP8yVt/JdoXR1AVTvxYj4ntxBG
gpP22u8QYvUMqpi4/1DMv+jdyHzAxBes1UJM5E+GI8b1hp3ssMijbcvoNIkZ+XHijR6iBw+E44l6
BrrCD9G6hGsyk+85+2HhoCJ2G/NBMYNght7AdphtulUZ7Q15ebc6nWDWwoLcjFaVIzG2ubHId+lA
Q6gs4hmSfCoO1O5wXUe5l/ku4Ac6ZxzNbqG9bHUFa8GpQDDCvlgakCaHuwoa2mNV2rJp1/voUb5A
wZHiOZCPrE+CRxEm7LQ6mTJUHRCfeJjkd+qUPxcWGd0Ky4IW3dBcZm3ASy/ZPF+rsxv4Xf1+5ACr
5xJab4meDaotrgIUWKw0OF/BA26CzwTCXaBj8GW+UyExDUd28ciZvMHxmSoNWVvxOFofUPdxskB8
8jWKf4gc4HHe5CSfqdKW8ay6IWV6Hg4n8pCY6uQQXdvExOKgtqM538ZrkSsfzPn0I9gmaFI1ccIZ
vwn9ddsflKU0UZbVkdzWOQ0XSgoAS+q+NfJMpnb+LYJ44q+NxsGdcmKh00ARoSTlUCC0wSuAK6Oj
XIJ1Pxq/UBoVIPo017Z0K3iPBzEOl+Ro5lu30Bun5ow+1Oh5XdnilA4WajxSLhK7W6orWLv+Vnjy
9uFKvTF2OFPfFkv9FhWKkc3CnbloikOHj+lrBBHzVcEg5EFepKTd9JMHekf6ujoRLPXGjUVlzPTd
4b9wHs0WgmP6DqV1mDuAalA63OLJkVrk7hJc2Ay41QB2jWr4LtG7CBgrPAc4oCEtLGAP0lTBZ2GQ
VyYAblc0RziTtPNsGZV8jchvLEUBfR39gj31OZ8HG9nWpmcCTlFy6LayviVyZ1tvTTRy0bpZ1LfV
wWwm6rYL6URk24FhC6Y4Tk0J5hjTBrl6C7jqbbUzkJRvvYFm6fJrc5fTQwKpQoO2EJMTizkoEQ2i
OmApyAY878PsDHp7w0zMHee8qluoV42V0g9CX8fCa/QKzdZ0V3BWalileOse5/55cQelFb5DtUeG
sZSeFfhneGE2e64L5X1MAFO3QFUn2FFvs7AECGSTdEyfoKXyiRlLN8inP2gqSEJu4K/C6MAaFcpH
zyU4xuwzfAebXSZmk7L9hu8Q4OGJisoFLod2dvWlD820M/YYAEjKAhdTzgDyEUIX0NWHDGzyKp8P
HAEcllEvF8c3dIe6FMh3IqTH547xYyVvE5Swo0qEu0M/M4wKG0g/2eKjGRkyk34ggW2hqPcO+W3y
vsLQboFlCkEgw9Zce7ftBx7D/Vpc+CVZbUsADQYsfEkglCL/UHE2RmqfpwcZuxHryVtjbJmHp54Y
lNn/SQQh96OQyLH0YNwb99aLQuC19WLdhxZ2Fd49ECqUJG4ZwobHNWv5WDuvw90Y7FIf4KZuhiMA
unvftLTGefqcd7JbyIUXL905OcRzHFtcOqY2Sp4D8yNtw3l3LhZ5+9+cqkhBaBE0QG3JKgSc8LuV
0u9U0uv3/1wpKejsUdWT/TN2pliE/ayFcc8UYUP8S81HN+tTLayxbLMQwOOvp41Q5+eVkiGTMoRX
OQ0v/R+lKiI1/EMt/OnQf6QJfW5ZQSVVszqrCadaO/AJCE0J7xniWMwH+SlOFm1lbszD2M74wAH6
ICYbibUJkFu+ElC+P1m0isSd3M9yfz0o4kQoRvshO6E+GFSG1ahcBrLt5xMDahgGYinEoilf3Uv3
EkPXG+z4LNx5tgkSRghgicGKuXXFB0+8WyGLcgnGupf6bWAPdF5gg2Vz/1CbM82xs3zWk01msuy6
jXJi2bbhIX1KbpKb9AmIDO0781RFP4lhhs5HO2t3J4uK+jkhn24B+Z4MSFpN2jInia9SsP/NloEy
M8ktw9VpIp6HYC53N3l9djok/rdCs8FsZcpSzdU2sTcdbmhD4R2Q7I0UsgHabGprDAMIAx71OBoJ
62/d2w+PbMQX6NJ2Ts5Ubmxu+h15Bkyz6YHp1h0W4UzAaBgO3Aa2YPiU5LPWnPntzEMWXNsZqtxJ
1sy9ftsrx7LFMGrSLe8q/IBwJ3dsC7/TR86dd4xrfNcD3nSOmOaXmUny5DLv8G6bnUQ8hBZmTaC6
iyFBZueIuKfIbKBm1ORLrIUMIhsz6VbPNtIWj1/zNU5s6MQQiL3SDps3qGDW2Ma6CV8sVZ6JAnVk
ZCF6iHeCgbwzkc5Zuhax/tH9hY4NagHxL6XjVCY4M0flkxpDhggORphPTWERY8/nt8a8YaaQjJMc
a3eG5DBWYnYwvrtZ1eHeMWfhOsWPZ231H/FAziKwLziNutBCmy85nAr6NL9Rotu+xaVqMcX5vjxa
tJS6aYxLCssZ0ivhcUywuJs4L1hCQqERpvxfXabMPO8qi6Ng3gH58KKuWxGHO/FFyBPoFZKdqa1C
fE0xZyrce7o4hrUd/8GPc847G6vNNTGGyDTUJX2GhU+4Rwyp0A1s6CIpnNkAnRMJduFwSfQjBlW4
Pbr1kR32qg6EnIVHO5eQuSPwxkGM/cX0kFtwNFOFToIUcyDtRylWCLrL51LMNi7yVeZF8x7SIytz
2VamzmSYdtPsr6wNF9rPbRCs4Ryx5IiKuwokJTGbhTAsGiYP+oZuDUZFromSnEjG47YNhmqmJ/CI
hmnUHJH5SsO4zqEagUoyvEUPkJNMhftphtN/sXwwnRm+/+2sgqixlB07CBfi5L+81IbxBoaKpTFM
vO8mEIbh30rtX9//cwKRsWaFcKeKf1sp/5xAZFxi8WuRdWNUiv8Cpo4kPGpw5heN+pgC+dMEouL0
x6xkyn95vf4DMcJfjixXnAeghb8OXSb04qp9ZUVqkuolec003uHP4YsC+y5q7pMHwbj5y8IyegAh
xQmd5EMqAnh4QrkgZiHvlxij4B9B5390xKROwalgE5KhC40K/7UDZcTZJH1rapUIEZYkpj2Nff/+
kMebFisDUEVe+sMnjs4Av2aF2uNRR9WM599Y+fDp/WIcloGfOjz28NuUd+xjgi1HMf6UGpsdGpl9
eE88UERDaNMhSY3MsZEOSEsH6844OCYPkkJZzXvHo8TD6jgqffqRaoDJHOmaES54R8RFrk0sWLEd
Uih5/WHEQ+mmIzgg+XRWzbH1W/Mswd54h26GTpq6dUQEiKsYuxsqE0kakHu25IejQZ4BUXDJ7lFP
JZxGTtXIYxzRgQSkbcQJkteyuIMvj3PSWd1xXjlQ3oZL6S19tSpfugnN7vdeQmqNqlyp71XXmvIX
BiUFoeLjDv5lTo/KPMP/Eyra6gWfFBWM9jTmSuDjvo7X+MwhIyhRivD7eFbcxljT6pNw6WO4cUTu
MNfku1LdFBG6ymMyurX86A5S2tEQJKIUGz203GAZY8eO8DUUAcw3dgsTorbpPvLBMXFtZ8lnuMc5
Xr6TACToprV7hS4PAxCjJGp1l5p82FYnFrwLlFpUMBfriR16FEcpKx1NbcusNvqxVCv5wpymGPiD
hBznq6xMPEyq7tyFs1zk9utiWLwS7oOXGLJHzOeMs/QkHiHEw7+nsR+NniC4fkC9/sDM7OJvzLXc
TwREt9TbRBYhLrfNMQtCA7iQYJHgwPs+liLd9Gy9h69McR1ohyrapBdjjQLQWuyHpyq50EeFBbMe
XgCNl+6CtqNBeQ/BXiIaAD8tRHasXsL1AORPZUYp100rMBgM/bg9OUjyk42NeUH/Oi82FUlHyRoa
A/nUyl7aSwvj0KzbW5SqZFBMDWVjtlMHgvYtUlRah7YO9/smo4FxRtgAAAvZnmcHnfteoU6eoUlV
FveRdKDRWh8ohdksiIvfL7l+EWb8zAsQ/Pl42pHA39kES8zwoyVsxYVQiMJgU4lTXkavkxdhP47J
ET5yuR30k9dCQ+uJyfEixsENwqONTCLeVHk404MOX7huX93hKG62c0fAkcC2vKXUzpqzBAZXLCQd
8HmqtUtloS1qu+ZYsAIktqOb1nZLIKyxaGbCztIWEJhmEasWGI3lHNvZVbl95kFf1tFjas6GlyI8
4TXhrzvrScE5kbYFdZlGfVbOae7SVuXSk9Ky9EmRKuf+SmLEeI325UpYe8Vdg6lCuagfocEvhb2q
3pvBYuB2zictyoBJvkA8yEXExe1Ex/kenQgVZ7zKb0YKDeUuxWkc3Y3zuwrO4K18QJxpK86B2mE1
Uh6nPNQLZ/ggSANPhajHpicjWWNsykRvY2mcz3kh3BMmeiChCfQV754PkuhDi+oLYuB+J42udXKx
NqHPJK/6y9ys55lhO+qLNuP2opx3QsrBebxyyEnG5I68jhkFea0TMdJjTBMjA6aa5TeAeQlWdARR
D73NvR4Zx7TGHmF0b26LNSMraq2FR3oF5jx44dD9wPniBm86wh7z0VPG/G9mt4BIU7GBfyuQTb7v
tSpEKl2vEK7e/2mFQKEI2g0dxUILSbH4c4WAg7wK4P7DvHcUMv6sMHFbwGLGUmmnYjXPguTTAgHo
Hvq+KmJDwxLhn/BbiIn4vcL8fOTmWIF+qjDjQKcVXKhkqP/ILWV2Yl5jXsaCtuLmx2eI6QdmizPD
ZSaR7NSbYkeb9yRYQqqfoGjBkDd6cO+dd7xrVUBmYo6GiW2WRKcTeD1qYzGixplDObn37v1o0O28
sw2T6XC4EZbDDbGt64u+2/j9pLDzmXgQvAnEtfjD3PnRZENz8UE+YK/1UDxsgm3xOtBAnHukRozi
48M4nx5IaSZ4huzQF5BTJrrqjehXjcTyRCG5zQHh2dfxLcwd/R2RnoXh2FaBa45ZjHcPWfxBn9Fr
hQ3vvI/+I6wAaJliBCdiZoBcnhGdSoFmMKLAJf0D/cxf4wqGaX/0lAPtFGGX98sMyhqgDux2zbih
WcAn8pKOLOzRnBUWJegqHVPjpjvCBeIf9CFdhh3k2himdgXp6Fvqq4wH1zgCuNc8yyXRTemZY8BR
oeFZlz0yWZl5J3je8qExlJ3xNyuMv9bZXGC8iEYYkNwrhhTLRYo3nxovDCnoGb12JPN0LMN2rB3U
F5mxCHVkDQ0THhCddkQRpW2gPsNlAkln9MaUD7ljEmBitmLRYQwbYfiAEIq+h1yoEh7tJDXmna0X
H6PMkrESGpTTwumb0mcdvQGKG/yE1tAg59pO21nPOOxATsXQdcp3WCln+iRGiUf3us1HxSWhHs5U
hI75qpj3CPxERHS0YiH/YNgw3Dk3El3SSw7xXGuFSUA+YJ+tkMunqjLNDRxzARmkdg57nVnMYa0p
XAoZkeejhUpyJOkPE31lnlAB4IPKR9bmuzU8Y+sK9TA33xVlAWKHPxAmZUCrLXGxDOXiBflZ+NFA
z71B7FUkawZMjNDWZTUDrYs4VEm4jBFPFes1cs3QPeK6s8BMMzq9yscwt7MHG+QzRMS41nHoNCfP
qS0u/QVvOQCO4pUDAR5ZHDacP/y98IgA/MZe7Ehu/Ab9HnMR5mZS9gIKLNf3GZsBomUWwF6nP0J7
Z9QX6/s8egSgRcdIPiYVqmahokOLhuXpoMImQ3VbzPzXEePEaQ27IIHI5ebAa0Cae7B+nN9G739Y
SP0xbDYdlH4sSDFzQMw2urZyTw9HNO/pRtyT9JRNiKSfiXf+S1XZ0m0IudjOq1u/2yIFg1qFvGy4
dV/8+4bFHQATwW2YOz4kr9LRObsfaTHx0on/UaATzfFLsq186SlT8BvzvOlu6Bbd9Xdkvot37kuo
7vRhHFJwtZfFqeAj3Eezca+c2BU6WNMxBP4dddDR2P5XF7ujV7xpyApmY/iTflPsKn9QnV29/+dU
pqAYoHMLTXKMDfqlr0xekGqiKfsDU1MEQ9XJXadClvSrqcwiQJZoK3T5CBL+0VQmj1PVVa37+cj1
q9jDNJbFSlAEsHniJGL+81hMj4neEF9wYafqfHafFX1JVhvmKISVzGmIVq8UiLSdiwYKMrE6FIiU
cMi3aPQi7jImF6YChnLqWpJUhWFTrjFaxwq9eqMgNKR77BbBUfGYWeaX8QmBdQOpBlLMzv1A4kUG
w01Aujd0F2aGv5RwfKIwqq3aA8r5tTXZ7XZ4ee6Sla1jl9+PFTB7Jgt8CrVkveaNxfxHmgY/pvLl
CWK2Hgto1F8QdEwfZSlFOE0FfnRA7MV3oxUPaCy/3+MwtK9uia+WTqZ/xHhdIRBl4FmnNwmjFC05
wCaydGbFcY0dvDIt1YwUISNGv7c2vIaqD/Jnw5jC78KxiiRBnBkKjZd0wi+UGYl+XD4OffU99Y+c
vRA6yFxAb9HajK1RmixoyKz5KBxjgGNBTxOUgJS1c5nXB9yPiHhSbPLHAPx0BGrr6LU39hPrHDEt
n6kdGUlX9Ri2wthaj4MfvgA6Agjh0mGzI8DfYscAcBu8ONZ0jJubop6F4QdWoPoFl9am2gkqO0BY
RxLsmmri2TEAMX3M0CL5Gyh6Xew73MzbhBOHpl19cInfpchArsEUmPnQ3rUGCG5jPaOMCvUl2rWT
CLr8jCSBjqF4HONT3K18SnDQFi7ei0Qr2jy997iqnNxdcs83Afx8PALont5qODPZdD6re8DKEITx
dgUl/6Z5afz5XX5Oz8OE7DZ8bsp3vnvKz2JGWqO0Acev293Q3Ab0VSfKS2XN/TXQ8pGX4sq/IcJm
l57ThTcHxH8XkCbyPJyVcBmeSNE1Xyk7enoJmt0M6OuDs/6g5ie0CIK4i6BDGQ8uGozwJOqvOuBK
sRMK8NF5Vm+TvSbMEhNP9on1kXqLzp9a9BA6GsNbg6STYSpbFCbNwlJPDnZP+keGtKaZlvJtFa0U
UONptbekleXvXGhU00JdF/TFpXuzwQKPnqLx3C3oDFKod2ipKZPo+jH/FmuV+5LSy7pQmg0KHt0+
AZFgKmMKI3cT2kumZT+r/QnMQSw9+/jZItG35+mHYszLxkjf8EE5a/5Sh4NdbEcjzznB7KF4kXHQ
G7Nf2gPxwTYpQ8xhFsoWHtEQHSFPGDJNkQorY4Y6/tdOLUSGyIaO1bQCjjhS9hn/v9IA6CPa+KlK
+tP7/55a5P9R+UgTzTLTBDlXjO1/V0ky8gCy837SmX6WSeb/6JZqKEDb9NokTWaH/i6TzP/BExQR
wBgdTJyd+o+cr0eU9NPMMu44TCqRZC5LMvAEvZpZHE9yoSsNBN8QjjvQq6rLv/qx/zbfUWLW/XIT
4+8/1WFOlnqN4nbe0u/BP4nFrOS7pmQI1Vaq1I4tDiySlVXXx1NRr/8C8//t1r87vrFI/LRxN+i0
1i3ZeFIefGiacSFMP13727/O1f9KqKFSP6nK//u/R0X6H46PdckoPJSI/ft1E47m1VYkNt5yBGy1
ydMLhKgp1haTFa2Up25Z3McLc1Uiq2UErJayMAnPd9uzuomPkGxdjCTeoymB3RQxk3bzJi+gnU+D
vyU5//ZMsDr6cjevymGra7vKzXpvWUjZTA7wRBDWqb77+mRI4/3y+/3ETW3AmRYhW/96MnQ0DIMS
1t6yIe1J7uiDjrVhsw/UU5wLTLOK3VkXYTh9vd0rZ6J/3cY/N3t1DeROy6VEZrOBVk4YGnHAuo3T
XeH4M7lqZm2z1q1v7us/X/afm7w6n2qnt2XgcdkLNulG5C27j18f1NWq77eDGg/6072bmUkotD/O
JaRVT4G9Zb21A6uY+iTSFegfvt6c/M21G5Ggz9vz9KRJNJ+T6GginjbQ/FhZFhHKQe1JkIRJI2zz
dJz1Ng0dluy9GDurj734Gqgfho8kWz0I6q01PH29X8Z3+3X1DEeFXPZaXXlL0+xGiUs798H1vL7H
KIdYPBnaV3NuAF4yc16ne40Q2BwJTI8/rfvUgzq48ourXqyMhO6SZjN4RLMxPHg+mTYNTKw84AHX
XMVSGqYaTMOhzRCuXizxVVIIfZ1nzXMN6UxhbWHS+K2FhWTqM90wcRuCC9cTOVMtfKHHJQhfQNbM
mqOtOhIya9Z7ifJqlhDvRWh42kHpVbtv1pZesEy5mOqj3twazqsYz/tgH2W3dbdSh01O77sL9oZ6
Ejz/m/Hqm7tKuXpCu7CshkrhbLpsLYYWR757WuwCcVPWew096NdX74/DDpWV9mMuU82rJ1N1lSQu
DOgApTNLHajmwVvSfPP0j7v826DzaRtXj2KZFfLgOhySokrTIPEnIQyCjsWsLs++Ppo/jjOftnT1
SDaJOTRqwUM/FAenfXTS11x+KAB68kGdFUSZNyBcX2/yz/Pnz21aV49lLATe0Alss6qTRapgCBSm
RMHIhMI/eak+7a1nF/Zn7WDyH+nfHLD0zfWjkv1lUBCColNcdRxZ3a07KPMO4oCuyMswo5dVtZMG
hq0CjOXigWaF5sTHHtMrQeURo8rnr0/FN9d5dHn5PEB1OXqiaDwTjjuwAKZje9bU20ZXvnlE/nzM
8MFpbusaktBft+N4GmqFgPtJ0iMEXandFyvQqa8P5ruNjL//NLrXTiFVrsmDkfY3CtSd+NFs377e
xJ9H9JHY/q8DuXrWm6xpwkDmQApYwSlOW5r7bAb+fOhhit9X+l53sfDziAnq5kMJtdLs7NArpiW+
Xn227NvtwNAl+CDPxIp+vXN/fpR+7tvVwJA3bSWFVU4Ct4PHlrGu6Typ7n1ZwlynfKylD5n80v9s
m1cDxaD2ctFnnI+SykfP77LuNcfAvFeh1Wt7OvESlh9fb/JaZvvXLP7pGlwNGdJgCU1QFyx/Y9D6
9jTEIDUQmARa8fGWJxfsm1ytsJpJ7RiwbqGpL5ALKe29Ks3oAGZQCHDBqUdL+Z3UmN/s4J+XbD93
8HraDx3TyWOVG1F1lGUpNBMBFzOfBrQRorlF26U/e+Ylr49fn5g/jiwwAFkzU07RP7q6GEbXVqog
cmIEiAoF3oC6vhy8B72I8EU6FyG0OyFeuq4tKrdJoy9C9dZpfujW/sMdubpClRJ4pWawI00hkT+G
ksfbpVgmNCiwZHlt+N1sAAwoZLoizkQEXykHHhn/ubfsr3flT8/Ep1NiXA22ndKqqqfwTAxVP23i
Zz/fmwoJVt4ThSWS4Q76Qv7d9VcYaK5nz88blX8diKxWKLsu4/AD681gtZcGwuj4lCXCvHIOg1hP
vPqmYf0zNI9C/VxE2V8Y9L+tTMbh9KsdGHfw00hY5GoXtCpPpWrB9EiI56q+WUL+0LJ/tYmrEb2X
ErOrVE5spWHnqF8MGbvGOlqH/rnrP/wImYHz0quAPiEpwUBPcUk+jgr3vJ6a6kMdX3r9VFmAN9m4
i73dZ1vZFwDh+qVFf1//SA0e1iya5P42Sg8WlJDQVFnxqUizG5y63/rwxa9722t0LEwB/joSKvIT
/GsfxyA/etIVmowD0Kl/K6rvlkgvH9ArwC9KfYrEVWYZ39xs0nhhvzopV7ODHhYsSsPxvterWeNe
uuEu7Oeq9KLl/aRL54n56OW04LsMjCn7Zuvj8P77xi2D+5c+LPHjv150tdS6LMq4Il2m0FYdpoFP
YlOxF+DaalA+vn6w/jTZWjSp/97a1S0WGH4WDlbmLfsihXRFO2rkUorRf7iZq9vMiiFP50LqLY0s
g6v8qGj1jOfom638aQX/+WCuVg5u7RulUnLqPNptmoOCyDCp0x7ixrDd9EnPvl0E/gnC+bzFqzul
cywjj8bjyuvRENUlsGkXGzNdeMyr1k6LWem9FiG1T/7+9XVT/njhJAXXC02BJH+dzS7oceQbNcda
qEDK4SGuavBQSNYuutJqJfU0lLW9Dm1ahXtmuXTchGGaGPlE1OZ9uurkVTySsIvXDmIgHGlnXaKJ
DpJ7MzFWQmeLtDuFEGcWDCWFBl/aSp9I2oceHSz9wTGM6dcHhMnTn278T0d0dfVSNwWVGIdbP3uz
qgOUtLa6Q4FRVsvc25jSSUfsh+2S/xh5tuGh847gWTeg/u5tBElKaT6igb/EfYLYNhmIsn5ya7vT
NoYALzA8I8dpzaekRVJUbU2CQpCzueXUlfExb6yJW92MUFth7Tz9pNS4IBxld9WyuWTf6ncdRg2w
sproElc0N+RNK59Cx24MZaHED+j6J5Xx2DQfNYZLfb3rWbCQad/upOymJM9Bm0vKspMfVdo0LObC
eV+aDLhTjV1r33p3YwYYPBWQhqjX5fo2TA4yhmwewTNbp9i3xZHroaR7S0bn8lAF+iQTnmpzEjR3
hXZj4tqaV9M2frfqo6jv4/6sZymwIR+ST3PxQtMcESin61zTPJH2WrkOzTnMJcl7MMwPBrk6obq2
C3nlasY3z+UPyulvY9qnS3u1pG1i2euthps1pumrRhqpcpjBC7N7j/aL/9S2b1GIPworPhOrw+zF
KJzvbq8/YSU0Huk80rJkYXW1ghgqyfQsl4HOTfE9gu6Reoyn6UrJ8QXoFTvBQy4/9mjpvr6vr5Wv
P5a5nzcs/zqe144lJxlWX8sqbObAvdNGwGaxwHgqwOVLexs8oj4RoYb1i2rdjdI7vUW95OPKBxWm
dJ7DED8Y+ZSbaze76DqFNeZ/1t6qWYTKGDcFN34I50YZpi5G4bXWb9SIDrx6Hyr40SIhI0JIbDdN
8mA0WzMRloKFfUD7Eprx7Otjlf44AH86yVezCZW2hOFPwoqpb8conkC68VQMIq2R04vUMqKpKmw7
N115wiYgxgkZeUWmr2uQy9SKUyjSYO3SN5dgpF3/PqV+2q2r2ccMHElMe3ZLloJp7WAsvR6EFFu3
97rZC6NHCe46lj6pZASIEd4xkf7N7Tdu4bcH4NMeXI1tmStFbh5w9wlOYQs0cyXYsF+f/O/O/dVU
lGeRFSoF95mOjNJF3+BbIlbGlp1YJ1O/1P3r19v7Y3lEl98QDVgHEi2XX29s06mkvAgDzuoQo9Tx
5lFxrw2EV5O/YBR2TyiMKNy3aDy/3vAfF0iftns1mGhD5Ohy6rOWQC1HE6+nTBfyvUAfl+79f7St
HzjCpxW4J9SyWKQRWAR8W0VfdcZHDdAZu+8eQsf/n22hGyAxTjVhVvx6PuMCMoOluwySFFLZoK68
GK9U/yZ1L2Yhf/NMYPHy+y35ubN3jT9mfduZZi25S1FR5k3Sb81GJgYT3bxibbqifQ+bl4K1eB4q
C6tHg4mbXsOqV0LcziJ8WbUWlr3eNEAT1is66Sf1qhYBwYo6XFmpcSw8aecgRosHBnW5beet40zV
ULn0VmsXRdhiFR/Oa5JrhqGGE5512KDI8cwluQvE1SmzWSzv/Zbsn3Tph1F1Exqu+OwQkGlgaOQl
hT4pCvGgtPIuaRlZAKgjnS6RUu5VD+tckenR6MJVGQvrVinPXq7jg+3IdushRHLwN5cduSItzUEv
X/aXXo2ChZaSP0pNY4QGnLm6XMi1YQ52r3r6MMsUM124eNCF1Lu5myNkhxoeY2+RPVvVIkN/i10T
coR+UKc872yknQblRkhJZaBqqttVDtCRYnT12Cdnbwg2Hp2YVn7PcCnsG29WtyMtnDTQfFPQ1NBe
a94qwhHxcm1qdHQCiSmS2mBaSh9dpyGnmpXNU4H4e/C2qglnQjanoSVPpBouiSxPFMoGJyFBUrsx
uowRGX/XbifB10ihyPlvDoQyLT7ovTDR9X0XXsT67FXKzGrUiSZhkRJvNelNhdkRy+919pxZcCLc
YOYXyjIRnwYJrL+CGijYvo/fcEGBhFQY9bd3KJ166gnPmXPQ+nWTH9SAhiaiNmBppoNgGhEWlNK5
N+JyJpr42waPXZ1OYxxZzLTe553AlZJtgCm7aVkUgbqo7lthNQvfXMcBlIWH2ofIjxbe0tK7Niw3
ZqHPXf4tdf0sC4pZB3G0zJZSR14Ny4s4vImImeeYMtmcuxD8PcmaCirdjRbZikHj34Rtrd2J7pOg
rl1vn7RE4iAMlFhlV8DYHTVEVFCXxlsn24tNhxiQuhzzAJeIY11wZ2mF13VCONSiitDP6esa5Rgm
DxK+n8q8Kl5dB/Mwq7eVZtdjy5l4CP5CkZ7SUyAO81Ru13mxklXIDgLUWpOMDgFXZRVqHwVT3iRw
KakpaK1RAietMUmtU1eR30GTVGRoItTQZ2eDiFV/fdTFu0C906LtAD1GU16HTCfBUSQfghJ8V4By
NiHyc2fnYb5Q3RrlMWzvI2evFAu/n9f9W+1rkNNHASDwY3NJlKdYuEvJ4CqaWVWBND9BMlGx41De
037RMburj1CIy2GuWnZJDCJprQgDs60enLr+VgxuCwuWzlpFHhOLaDQImTDmSXCvqSueH01bF9FH
EZCpU3JnlCwXaY4WTx7G9+U+SveCVI+rH2J5Y9xN5a1ewx88adquzR5HmM5Z6MJ74MtMf5w9DEf5
b2JadgUjv2neSw8ZzM2gQ/fF3V/UXrPsmHnH2opnDQKJNMgxLSIrcQeKT4SKE9qBehEAh02k+Dk+
R0uruLTVvSQfFeM1CeKpSuqRu+ghPVrBfdlvevSWZjN3C/Zo7gcznmECrequnrfWbQ6/xGqXeGSD
LBPNBp5gtDOpeAryj6ZvJi0LOrEmd1O9jUn8kMuV233ILNbRtkc0UpKdDKMS9sMkF7eSsB2GOwiw
fLc38Bo31hZEUa37kNJhWXrDJE6X3OtFhfJfDDDPW/Kwi9VOxxhE8RSg1meVgEoleibwKmxWYX+s
hgUXNvF3iQ8XZqEItzL9QD3jPqWUtP4fd2e23Si6bel3qXuy6Jsxqs6F6NW3tuUbhlsBEkiih6ev
D+eOighnjTyVt7nD22nLEkIS8K8112x4OXIK23pTlCQin9eVdIyStQY1s5AO1QVSlTQvLFsW1ECs
CIbW7FtDRffYIfbhzFIIHm7r5VliTviatEeSak7Ytir7uKEQTOHFkgx67WZX/T6xct+AeW505Iu0
7Ko4ye+FU+mPsK5Oyh1nLlRf1w8JDWSuwgpWIRmjPDWBg28E5WjRqHC1ReofiZguY5ff03WtD04E
D0sQNxm6m/tKpN5PLypZKG6pfYxm5j0K0uZCd5VGk651rXFKqowhUVvtOgeiZjPIXx4yukizwVBW
nFl9jngrPN2eopFPi3VoA3aGxojLy51LR6qGRRpE6q648gnK63MEnh8/XAHNTpXfc1KflTGW6o0Y
Vnhwm/SGsUQ+iXUrpGM912h3IjfWGjxMvBajBQbOSX2E/Ft38wS/HIxeKknA+Zb1yhclRxLsyxUW
g/4oIVwqcN5Ot9d6LQ/GZEgwfDwoyRblXIb8uytJbhiyaSsFNZ5RNy7MYvZwOq9jPNHuB814rMWX
pP08J75Y45YrPURA7SSCcji2t12df5z6La1tnk4VGvG6IeGUJQN523muNL17bYk0Fma6HObtAmtc
pmWavi/0hkEk/j4ce6K+RVosmSieB5wSPUXHN6x/u6XPVV3MVBnqSMuVl06/5fhLr6jOXGzWqpi3
anDUikuL5qV3fiuOXLCq9CEh6e+8S7A2qwRfzQkh3RU0VfTZAlkppn9RX1ThpUs3+IIk3a7I9xX6
W+Fe4BL2gkOWCcam9K6sLM/NWrvNkEnHw6aqUUVy1kooAhMInt0ZNbN6RwNo4sk/mPFB0nu0ZULD
Je1UeN1ZAxWPWba+isT/+RsmXH7pP9+ut75ITnH17df/2l8zvv7X+Jj/e5//+v1XHvKfTTov1ctv
v7h5lVQwQj+KfvtR1pfqh9h0vOf/7x//w/Ha97eP//0/bteyemEW/v7xG/cL6BLUw+LktwyIVNro
tPA33DFSmWmNf+GO/b8e/4M7hmshOcyI2r/8XmWTbv4Hd0z8Y7QWx1VcId8Layue9afERtIk2cSq
QUf8wy795I7pf4iySUYGD5V1RUcz8+NtWf/Zx/35IZw+rv/5/Tfm09c84pd+7/uuG996I126Geeq
xdBQuGLnB3V92tTFh1pvhXJqOJ+fJ1xXWkwBExVXk9TGD8UvoIdCVXT0Az/hIvUwilOhXOx4BJGb
AWx3PXggMPIDrrF+QHpywo+cdAkBgzy8AXEhpK/UD7nxAl8fQ6sWPmtl4B/kSvmeTTT3ANEOZv6Y
9uA/OFIduZVYPz1ExMofxngICPhoakQXEvNJ9VLNNhc1fXmH63m37jfkSSBtgaF8O71dcDeZ8eOX
nyDXMnjMd497Uo13HhtXYe3D7IXJjKpxPuxqe0wAIK1hVh1HQ3Cy827W9IIdlYm7H8600JENLdCT
QD0URx3yJq5EKtbV4hVfw9ROIXjGI9MzHTmflDM5wxhiiRzuhoFjz3JHe+2jQbkd0ajkVE/nGSTg
VNqhe/mKUCVaDJuDAOeE1NbmojoVkyehwp531iSOamvl4haFt3XCcvbeVSHh2bhFUUzfcYzJTl53
OdBfyFwKGtUWNLdc3jDMIN2MvLfr1dcSzB/QUrkX5rZrS5mbmleMAWiLO+GBt/fy4YRRYHw7xvo2
FRZS4VyV/f1Fbg8DxNyoQ7Epo9QRP9VzUD4UZWAeWcWgxV0k++xr6DRYixbYgIgT8z1/FI/KlljP
ChGEhDR4qtH2vCvx6vJ6x74mdXXeGHsi5vOscT/O3TRZsPJF79kpMFRfiL3h6kjwXiW7u6NOdIrX
5hU7EKUlXCEQ5HHYKqC0zBB+N9RE+A0nU7l0yztmSRNSLFEhcS1ktWPNiKa3TeYk8ger/ArW5yw7
+Yq1yyiPsAaUCQx5zmRGNkiWz1ihQ6gMagJXW/eMfsidX85B+1Q6Ju4aiHKEB/E95dAWMDvQqt6z
Tqs43SkYOurqa0N4JAXAlYXN2N0gHF8biYruNGnjRwLcrpgq1JgrJN02xWqBcLN8irWkSowLDimV
B5fdke3BwUoXNj2Ba+YjR4gqBRU2DubwkgU9xg6i8gSNHdb65Y3B5wljOMERMdkiguU+kQnWbb2C
RjfBLkLFNaLeqRC5YWDru8vwEAG95FhM3GS7IBQG2wkN+wmsTQhc9rUAp3p+bcwpc6wCDrilhZdx
5GJhGYxk7nH8hTWUm6V8cdEOqUgZC7+q70Lso3pMMTBBAWymZaxsjf12DAEdsoO7/yvGWOOdrlNF
91ktyWNROztCArTjybzzxR9ajx0mnsNAhWrrZ7T+TpptroivBdyQzFV+XYryPOq9Af8Aieq0wllT
LN07Tb8ObipMhNJa4NEkagfp4t7KA8AQKm218TuxehS66MNCQygqUOtP3fJW6iFLZXjveRV1t86M
ZG/1hnuPxpT0UZiEtACzjrvo3Y/dM/xsAwl6PUmFRLIt+hzpegr7O3LoxNg37erfvZZaBlwAxKNY
Mo4JlH+7lmqsiN/X0m+P/7mWyhrYvKHB8AYb/5WHPZoG4xZsqQRPofORfltLx3XdsAycIw2SOcFc
f/Cw9T9GA3VErtZo3jQ+6p+spRpP8it2+rWW/rLro/H7r1Pwa18oudWS4cH1gCQ7G7TPA88gExDp
iO6P66fok4Bkby52shLtxfUF/TNSn8IDJiEjAXkqatRRvRgP/fpO7oGq+JkcnB4L3a3WElnXKXAp
TCMuUfgBLSyvCzEY9q5ZIBoewjcresMSEgAbwQeZZ4Exx8iPuENEip4xz5FaYNp3DcRlhPRubSEz
ReIgM2O4+RFCDHPw05boHuKN8D2YXDvCvFHojALPjB3Dmgj15MnBVk91Wcyk/ZcBI1ZiSumPsY0X
BJ/t1vzocU3EVSweIzHH9ezy1m7J73hmQ6NBLoGSsxvNzZgm/qdtO4bxdCTICpdsSVy8jgbx92m7
Zbk0P3juelOyfvIGYDKHivFGECXvBakic4ZY0h7jQvbJCLp3vO8lRDTe8cAVabJczueXySPmfe0E
eSVfMkbpDxgX4C5AvhKsNwtVR4ITHxnVpJhcZqhlmDspC+m5ZPi7QYEzRE803P07sVNkc1kwRm1c
3zr/1jsNZT2qrNGTfUxgGsU3rAsJ0lENh3ZyMObENWEdn9iIObX7TCewCS/at4arv/UiVN6YP4gA
ssfMZM5eEamMi3LtvrFBmY+csshjh7Bm7tZimAm+ydVqbmJpAUw3jC+pf++2vJbIu8zG14hpW4zE
h7uxV3ghkvLEXw37NGcHyiOJ1whbhyXxE/yXJJYJP/FESIj000EMyWLZpUiDyU7ilrkaL0uijTGr
pEKTeRWlg6TUDvkCucf2kkTUzi2K8VgwMM1w8KaK0e+bEy7up8s769AIjT2rZCPJ9ngYrbCszIeP
9nkYHjo85/swGvZ8omIRuebDeZaUn1cxdsowW8fXOp7kuDaXtTha+o22ekOxyq332+TFVjhkJyRc
ETurgT/Ru+euiQwUEdWuzz77cdEjFCGkOIMGTVJXA3w2TQOwlHpf76/vw0uxLJbXtTXN1uW+eTm/
n98T/nUPKcmvX8EpQHg5VaBtoP2OlvE2x/1PecdfVCClS9TAYiU8jh31fjTu1KTic+SeQbnc7K3A
pzkeWD6qhQUe0EG5XpPO2WyQwaqsJAiFCLDMRbcU98LsZDEOFzkhOsPX4gdgVIwGUbKd4Yva5zwQ
t3TJSWRrOALWYz1MCVqTV5JUKkjCfYqEUOSARFflMrCtJ1P8R/7dKVLoYfB8xzPBAO5invC3K9Bo
K/BtBfr++N9WIFQ7JEfTeknjI392c1A0JYyR6PT+Y6XwSzcn46iEGR+PNEaH4l9XILaiQ2uBQKdK
JJf8gxVoXDq/L0C/7vl3qsVPA8hemxHJccAjFpcx7CBJFBWc/mSDGXrXTX+45eM1UAz7d66A+rxt
/fiR60m39RG1Vxs02ut+S+wguUgXR9njG1cgQcPFbHN67Fbm+YNq9DV1CdZ81R/1x3zzb653xpIE
mTDyXtHgf39/tGHm+P1o+8vjfx5t4s8Uza8cmZ8H2yhMVmAISJbCMzPF/XmwUdBAFh6dvzSZe/x6
sI1iM4USRdH44z8y5/jSr3072H7bcesbcnCh/lPqe85CZm5Pcgg+eaqGKSkueAd2YRVhL+Pl4FkG
IbUeMpR2TJVZYPQAZG5VLqa7JkxzEr3AMq9V5mesjJ0raGFtUOkwZ9NbgpEFJ7sBB+KsI42tQ2xN
T7i/Jph8aCR+7MthI6QePGAGQZHpwLVdlyy3eRnUb1Qj1Ew6LvkFRhGoXL0WB4jeRh7br0kULD/H
cCmZ+BmSKwkdWd+R+saedZ813asweGd1Kr+cqRMuL6fb81kPxTcVvCu333RHWmYtg5AQxvyLWLvc
qM8Rq1B1hSa9Gb7foXcOlHmx7kLRld0k8Lo92O+RTnxdLk/k2r43e9ktt7d1t2+X9bZZt/w/C26e
EciHckM3xGpa7apdsRs9tJSZgDQW+ME+u3IcnKcVZo3Pe2WmBJhfcYdL5NFd3TcskbRTBCAw+HRI
mWbCcN8Y/UPS7zP6stv8UtkER4PbUhQY66FZkmBRb4bSp9QIsPy3npgifvCGIm5WBo99LRp7kLfg
FRRp9EvEXA7Ck0Z8tPyo076j0zXc+BVec3mluGjPbi1DPLWVxokSpl6usiAHThGJP5zHGqGPGHmS
8VCGbW0jqZEZ27h1PH7P9acU35UIH3Iv2sUm82tfZE293N3SnHfkN6s4xQVROhOSVWd6abXUq0WO
MQjlSRTUBJbj5aC49/QaNvgGq7iJFvd5r0a+Ke7gK50noO46sVrDInMIhcZTLt7L8vbmV7pdHdJp
fnYvXYCgl2Ii49Ahjpz64igAZ+SeXm0ieWsgO6KTfSa3/omQR+mDOgXw+jq7o18inlyd4Jo+ywGB
p1eTBMkJMt14mrLe42X5bPbzs2AboRUSAJLBa0NyPSuZQsy6NlA1QKRJrDknjOIRYl8Wm1LzL8jM
J6dyh8apSt/oMG316c6AR8DggnOkhgZ1rjuHfh5wfGEh8IINayJI2Jkg+j3eYvXqfNGcPH81htQm
ru9lgBQt+So+A4LLd5Ew3KfiwQDOmcfb8uOyrOcyvBMn3WZ797rvHozpIIX1Kl4Ab/nlGBUyOrWf
sD52yPFR3JOCz3LxjF8HJIf04/4q7Bk08XbTix+HLrWZJS1uh1omL3CjTA2fgV7x0DBmmF4D2KkO
bcuCESilvh29CJ4V8HRkm10D/YB1uzV5YLIDYtBz18IDoctHEI9wPmTPb3j5eeCIlxbXAj5fGRc9
JmQ4ftkPF/viE48xum+84LeHLWDucNS90yDhkSVNujVZgRgyEAFIZBC6ajouZT/s+MVyuPk8oax7
6X22DYMDpJCUoFUajQ4J5lJcPuAdRDoJMXLu8G4FKlm8Z5TYUvgAYllOwf34L0Ei2wN226ONUZ/g
xw4Od1orx8QEXzLwqJfcf7ODsgROMBZThPRoxDiwPv5duYaz1LcF9K+P/3UBNWQJO+RxkfzLCgp1
RZK1r2Ltd38rakZ9vL8pahJ15K8r6LjSixaM5y/d9j/Lb/tO30Zd+9tLN78toVVr1lXSyo1Phzsk
rumXEHIhrhCwjqsh8bQAvYTlZPOzHHAAgrmLFeEn1sxU4WLkU+7AEVYSn5hz2oyCGOjtK/Ogu+Kj
6GsA7Vcg3io0TyiCbg1DLLzlm4J0w505Fx5gNvSExcgAD7hFtEeavMR+Y2ETXuojE1edPmVHkFtZ
2AXNcLWPbY/WG0d9ZUF/SJNMACOBacCcNJk0o6QZH6wX8oLLxMdMElsOqsv9ydf3mIzcZoxOC0iw
2USiJXVrTENYH9wODy7giRfhRU8cef/1M9pm1mx9PmzFkI77Zjm0pPAubhP+XIG322IoLUn5ZWfZ
k6/ulCYZRYDLjdaLtGRFHpb3rTLHtTlot0MI+Grzfc/7OiY4SIEHP6V592AwuOYL+TqqfaYTG02j
SK1j/tn6wCzVaIR54voK829SgSBntqYT33Gdwh60rw28mjN0Mr/rjrA0uXDHrQudtZBnyDBreXbB
KXhxvs2Tm1e2Ia2qETPP9+MXvceJaprgJXmKyQBmQqGSTIFY1/DuAouAl+HqKe9qow3JNdgzYx/0
aJ5fBFJCMTom2diSoOTuzvynjZdF+aEOjsbHq50eCDZDI6GIa6jsEw4TgZWGnIhOd2Mu2tWDdRXt
Gy9vpr8068SYwKbFGYMLupb6XK8V90ziGbb9jHdu0u1DknFYSRbRJMsNSi3/xpyxXdwxUmRAfxgD
1zTykB7LqdDYurmkXTC8c8dFNQs5bq14ph8EUlMYTDMDgnAiU5Ix8hghKpFAK1yjyEj3tb2aLrhm
b8z7jGWJT6GdQoroVt2aY5zl4F1etBspxJJ+Eb3QMHNa4Ht4BT+3mY9YkR+P4XMf7RgH/qcm/t85
y+T6JOqybMnEpUnKSDH9u8sp/nrfL6d/efyPy6n8hyKJBPAQtcZM8jdD+tEiQ+E2PC3kP3OSf/Qj
JvNKoFmTqDgGp+KvboHGHxauS/9pU9Tx8vwPml9JNP6Cv/7+0vXvl9M4Gc5xd7dAWhGcTzDlQCa+
I97I0/EQIgRSXeAcKO06jIqKbb9RRRIkfUPYjI6BTwPD9Y4hIQFVNA4e9yQEYU4c8xijwuag+bOJ
QXpEZGUBVGI7S3YI2BWYZLuNSP0hf2274nyq8CrnEqO6J3FTSHOk4JNB2LSYxwRUJq7iodKenwHl
ApVE4IwKHQpT0AVsfpwzdkvihK14zkWd3oZB41jXEeIjQo+31QimXB+PITaNsh2yVSIHUQRL2W92
5WKYSDD2XQPgcAU0+xWzls5bV7ZV0nB9wsrQZ51F20siIAG4UviCAiRjsQDkzIiSqZd7I4zl4iCl
n1ze4vwgK2PCMsNd1iT1PovisDMXOj0bmGuKHYh6D08KYkgqMF+gQrqH2kI2VyIoscElRqHCzvyR
QYJVyOQG0o05oDCHLmUquP6+1Z+R5jVOQzKzsD9RNSLbcxt5In+mxd48Ozev9o1ZtSLbfeSuGeJe
hhll3FgM1t3FGTeVPJvxRD2oxuNgPUfFS4LDVQLXl/UI8X59o4jME1vFUiKJd5X4FiWpfxG3l+R4
5UNQhj73GgKZsdBhVVXHbfH+1sKmh0U7TErFKUgLc1osg8KmeGvOp8P1nBE/drUt7P5q/3aZXqSF
xHA0c8AZH/rYTbcx9EsrkBnVvjTK4sUlAeaQLbrXSiQIbaKdJuqRb6gs1uZ7ljq32fo2M9xbcHPH
dKCTb7h4ML5G7/IxfySFGBJ4zeshXjC9gDZPCt5YisgJjM5TExYzjYnrIBfObSjD5vwEdZBP6PKY
HISlZBxx5QXsocVeGAXBMZBffGGcyGYpLsWLaK9O8iW50o7AbnYzPeRPqhBqxjG/OsgmT+85wD5W
TTr+U+/iPCLaO/KmEJ7kCZOOiWJrNsp9W/BLaS0iaLp9nNcnko08y7STdz7xLN2emc2v5b1h2RXE
mmx0AS7k1RkjhmFylXbAUazuHLfu3aHf6jYg16gvnHM7LfoQFB4UXWHR4JD2Iiaw3Zo7KYsBNP8y
mfdOXnvEGM3BCrYZADzbBUln09QJI65lvYDxY3wdgMsrTCsmbzRRzhvfickbTYnFUHPBwll40YZe
XoDFzs2OHQT5Z5d5WsoMGmydCgWcHQQe8GzFbWz9fA/r64acaIiiFtlyjpEtucPbOA1IbG5l7GhB
sJ3175n9EQWnOXRPu3INHxEiST3QuPg8yXtpwi4kX4yRzjSiLuP8zImOcGkpy8/7nsG2kYDoJSQN
vFbE16l+vx4n3Nb0LnkMaHODaPF3Mb45Z2bvZzce6UEf1eRtONulZZ9mWCoM87hWbGsi9Lvyhg9J
FfTV2xAR8u0kzVyrHyFz2TKWk8rTXWr8xtqkkJchsGWkaw1hrlwnQz6DJh3tBJiJABwDRCl2NaJH
t9W35HqsFHUSvemlC3n69sAMdl4+dfUBA0X8cTCP++zvjrgyrHVFZshqmF7n5qq/eOaqu36kmHS9
Db1b9x6i7u6TwkL5NAkQQsrrnihrHROaLTHg/YSScHJ8fHSXNN24EEP98zp3WhCv2U6s6zy6PBti
qECkqp+UaGn1MNnc8v2ySdm7R+ZA89N66EN1Z+Xwl3fGRtroe3VNLEaD+IV4+quN/wHXuEF3cky+
nrG3JPQoUTDG3hIWhHFebzNYJvxHLKbD89VpOhd5PuTNmuTMYXMXNvxKdFLTOGNi0GVLtEJSbzBV
tj640GjDJrmH0Bz5XPFCYTuoaxYEHPVhVRARtyKVt9mQUEQgOPEgnGuotTDxZJsnJ6uDzgfpZw51
7sgRxzH5imOYtODP7Nf5aTTD5Od7MyuvG71bs3OMUJg6kJeEtSYjNBtf5mrcm/vxAEIUFsWcnSHn
KJ7mo41zNDMDPXgZs44Qwk7qwML9nf/aJEsTuTia5mIVSBtMASzpIV9aMSXKaBxQ4EgbR0GpQxR3
BtAYHKDL5dUlHp4JR+/zBgk47meBQvEKuYZNwd8RZmbzDPjjYcbGnkMdCvBRiZXtSYSyFpJ3yknV
vUvMIsl7Gft9YuhKV/AW58nDRgjuQfk6ggEUwJjfJgFbheMjzDrGXiToRS7jox2BdvyCsWhwo3QN
5MXohSjM4CFd3asLHvBlZ4hNIgUmejcSyfoAihM7BBkJk39XpLgoXdm/uw0pBIRajP8wvPfx5LXJ
yfJV/xLmw1KHdVI+lSVhzoSuXCdmgQ1rtGjF6RdLqp4WHruPseuULOdnImC2PIFGhmnGQ5fsD1+A
puwGL+J+87EbpdxwC4ARY550qxO0JMgakN0uvKyBETPJG1+vqQz4mIZdAacbqC6bGwEGxDu8Zs1D
u2F7p08qDCAIxJSCcx5DNG3+iC3w6ZFXSiLCKV5p8ZeBqryQwopLTr/gDUAHxbFtEzwACsJbyJsz
zq5JPeTAX+BSCcMKpEaaE0LNe8d7iN/p2FJm7xC0eF8V3c1WdbFFm+7Ia3hZkMFK81F1kw2BqOd2
zhdQpDS5UNusZRfFQrMawVH1QQrbFT6z/AFmvkHMQhYOWIGRzXxapqdVGzLWi2d8Y9DHxI/lKGPs
R5wDtu+hvEjvIRETLZpuJ9a5FVGdvOANptrC5ZVQVwyTC483Iq+ppCZW4urM3cslHw5vHomMhD/S
l3OQ8hrLacdBCkwkYtRIW7bTD706E7o150K/wR6znKoLIicycY/ZJSfBeDaMzwqVtTpCj8unoFHj
5znCTVW8Ho88KRo9/7RDu8pdglUZwU5p08k8M3GyLMjB8aPZnViYZSnQUjPb+Y+vxr+0xQE2IaEE
W1ac7+gg/r7FISPre4vzl8f/aHHEP0R6HKZ0uAkyOxmd4n7OXGg5FN2k75EV84vJ+aPH0f9gDiOK
ogzhZdyt3+iaBl46JHVhMquLivaP6JpwQL9P+EbE6OdL/07XvERxZlyGDu4YKYIDQcVwN4borRiP
ooVH+d5AStCJLhRLT9G2T7cydVNRGoFU0+4v+CrL5TQp1xzKho5vi6soW47PxvwoKgTG5RKcFO3H
rYHKtc61+Y3IP87JTECcKT9fcTbNhWNbeVcikMWFWsEeMDiDC2FjkE9U2jdyJkxSGZp5BCWcFI0O
3omKi4IrGN3cqs8+zICRZiZI2/vmbmEcgGO4vuJ5nIuw1zFv6dIjFLJiVaoR7LhjtjHAnkHM1cPZ
JfzlsaXnR4syKe+Tu25nun0mcZIoeZVMZ058N9N8K53deh9kHd4bQETy1lh2UlMZhM2iDDXCHyT/
NiuPVWAstS18xc6AyGqfDqXHNfupfioRWScT47lNJ8Mmf42XgBjBfZXsxOUdOicVBsxXyPokSR5N
FvQ93s+3g7KWF4THJ6/KUUndy3xEsNOFFQKulDcyxyZ9UN240HlSDZ1VYsDKBfgmUYXRdu704T2D
BJ73gXFZNmdWYLil8vqar85y5yQXAmDgwW91Mgy37VrbmG/NQzMQ2qhNoPFNh6WVKnOhLiFxXBpo
RJ70iPf1jqWIxA+4Lzb1ZHXzgdNA3Lp8alGEVNZMAlGkDQRIu8iBms11EEfuIOWYl8YWtA5kUPBp
BNOhVkCSAUSGn3pS7zvFxxkV70P2qfjkkeBSYHiMweSwXetz+Z25jMWobVgCzGXtFCoJ7hz3Wbu+
BePwCL9fn04DeZ0EjTVDcIvYQz8aX0ScxNoK7smX91E8Y8fyLLzwSXb01ft7vzy1AIAGKVb9JCLE
ds8QqMBsZkSlno07rlamJ9s3PV0g366q8oOn1gC0LllIaBi0nNQ3ITWnYwQa1qykh2JLfrn5MQa6
/emB6U/F0C5xTieeEl4mMNpwW+utjZxMPz3oI8w24MRPNLZ/y6dVMjhnC5IRuipvFEpMLCkYTqvo
VS8d4iR7A6VevNZx9G9mlF1nlPX74tPihfZX21hC0xdLmKn6Rly371cnye2UT4WBRu/gb4/m+2Tn
LoEBxVR2zgwrV6bXbEfne7BZwDMKDl7WFrUfp0/OaJFYFp4WIHTNxWSipEur84t0XQnbFDizvJLj
XWITpReO1oSXRPA1AbMie2hcfuDFEJmCyu2yiapJd+fYDSxST3tO/DsZbWeeMxBYim/tFMXD6RX1
rnQ07YGjPDDes0digO+BNZcXsrJocq8HGn5MXg3HtD8/YdIQN0Komp+6lX8A1p7KgRjw1rv95HDA
coMQgcERRvrZtAAVBG4JmfyIy5JBLacGZgpz88BmT/XDgzNzntJwMXOshGMVNS907ep4eWo3opD6
18nsArZqAd1SjGHj4dTyqkZgVDiqrm2yZBU9AG2Q+Z0/KfuGer1z77CiEDVdtgx00B6NbtzSgv7T
+1qC/qWrLYsevMuvlBBF+2882xG6wID4jU4DVebb43+stqCGlkFOpaxoJu6rv662Mha5IkwbgMwx
qOxXcYTxB8uoKlqKDu/iT93ED0Inf5JlUxwJoMo/Xm1BIP+y2v6269+Vx4Nqmsktrg1fNiDQr5R4
SW4Y/GmyXfN5MbqdA9M9lODV1JQU8l9SBR1DctqsClXX+DU2Sen4K7IDXLIMsLYFhXm7oSKWF6R2
cPFHeJTj6+CNrQAjTaIrFIL8bArg0cIcxiIJO9ANBF9Xp3VJmjZW1Wsvc9stFEogfLA6Mp6MWebe
Sb+iWXfHDCx7z4OgbOI4PrCNBtPydrkCecQ5XniNE1/BVH3XPlieTixWz6gIcwHWMZRM+rFZ3zh1
l8WRgU+nOJA6X7R5fA8hoUP2ozhoymMph0NCjzc3H4zMxgM71F/wYu/Cy9sQXnYlMQjamNlBXsjl
DSGDtEed0G3VY3kUw2HZbeQ9rZzJUICqAeikVtai9PgVicHVZwYnk3pl322/mJDXty/G/bDkwYoD
qkI0E4ps+JRwJfnOzxES26/JFJ+YenpgYawxpODZLrOC7NotS+GclRAkhieTjOWVduS64Y9Y5Yke
5ohMKFBJniB0e9zWrtkgyM/bsBwfSWhHX7jVNOWCFdbS+4hYrd+Eh9tIskShBc/fw8u7e+53XxU8
omu6duOj37Fw0lqPB8TXxYRLNohxmAaKi6eUilypVe3hpVq2ERHIolMt5bnsmB6SFo9kj1k0Y43S
DjCxKh/OR3gJhNB6YC2IUQSOmcasXvBTFdd6MD6aDX0EecX1uNb0YfamHCDGTsEnF+1qeE6eQA2U
i18Tw+Vqh3rNw/GuI+0SuJLLHbuau2TYsbbP2GKzqexmOOK+Mt6POIzeLqagHhDnJ9ICW32QFzXI
nMyDns8FXQ6oIWbY43/9K/yB9MhpYeszcsGbZf4szzKvWcIjcQo/yLzpzb5M1aCOJ82CiDl7DGwG
oAxQjRI98KEdhmds0S3X+Dg/0eCBNcA/2URQDkSH8wokgcIWKaHCZIhumLk7aDwIiDWhF2PV4BSj
4QVhEI0lpxeNNWUYi8lz/gapZHw4zfV5wqNoiceTkrQFdQpYUE6BAqjuqEZXNNjcmIbSCB6U+LBf
nqRd7+vkC0z5G03uls4WvOJfvUSQFSmTFMWch4Xiv+H8Y6X+lyXi++N/LBHSH7RTKpNyRZXhrf26
REh/GIqo84+ZvCh9JX78aMjGoRPUTwu9gEE3Nz7fzyUCjxsUAeyErsKD+2dDp++GQeOO/brryjdr
11xRL1dLrcB9BDFor10z0e/p2T5HlI5aWiADuBumU+SeYNWEfeSeTLbl/X7nKvSI15mvmdLU7D5P
mHSm9x350oiHGQdU6vyCUVd8x7BZQ9l7HvRZ3YHFc4HLMzh315xSVUKY0hWUdOhuzm6URisgNuly
fx9EqrhSNnb9RaE5ipOJqZu7ExtwZCWqnHZ0d7ESuCgFiQeNMSRjTjsS02GWatnO7FrkcJG5j89q
WMm5R9C01+ddubTyiNQefMHx16hjZRrHRFUgkJfoDEcbCQiNQW82odK+XpXHU0a+o0SEvR4qxO3U
pi/HcTj0UPZL2iiG2qJw0Id+AqYq6h2tGy1GUXPxrdwWwsNNnvYCgSf5Z8WedTcsN1A3mcq9tftz
ZOu9Ghptjx4eDeCN6q0tS1u4ZutUutlFLnlNUYQ1rmAd4kbF7O6MovTD+YSot7wQojgAiZNtXEQN
QxkRGKg2rwpKjZjlSJDpof7FZ7QMuVNnnmugUB1PwP8OYmHW+lvR99fH/zijgVh01DawQ1XxK1vu
N4hFIoiHSfKfg+TfVDyIdDSYrV+TZ6Q+P89o/Q8dJiylIANmctj1fxRrDvH6e9H3265zfeHvvzjp
CG2maHcpbXwznfY3AlamJhzoCz/QqLtq5hQwc0hZzMkTsbsoTIDs1WmMf8O6XnZhvaGjt2bKvAdz
EO0h8yRGTBRRcBSrEoqrk1RvSvoSc+C1QUYdwxz15DDPpVSj2BqHx9FEv/o3hJ6dY96XJ9GVIPpj
hxKoOgAtegCn0F315KmVVxo2diGoLCx9lYFPpB9l8aJotVduBH2V6DvV6BftVgQJaSUAkfX1hO79
JiO+kZxifUkRnPes0sMsSVnNoZYwOOy2NMzM6nIHZ6SQUoyykFG3OM9eygeVOwwldnXgC1F4jkNB
dq/UGK/X04ep7KIQMqh4ZFJ4UA/DDL3+ApENFerdPk0+EONsu8m+ZZyxonat1tU7LVgyU4koQhQL
L3XdhBSxAX3YQlxUoeJhhbMkf829MhOu5uk+XmdLw6OdC7km2Uy+VijZxU8Ify8nfYKRR/8pvMmf
3ZPmyqHwojzFazhJX6DG20hsqo/VZD3Kc4SXcT74Pqp1yNnMJmsVqpLGDLZfQyKCZUQlCjS0hX3E
aBJCEZCDffLhJoGkAGyDmow31q71At/pjafgXYvaJ4MxI157gA2Qjrst4AcwCF96vGSj+jzyvsjI
qqPupSVblhU4VIRlXgUf4AUwAHeB/l1avuUB9weY4Ymq9CmntNLdbnkpl4ioA6aQ/brOEYrYfGc0
Ys7ZMwAeJENsY9jy0sfymcfX27doLm3N/W2mbVXSzifFY3SbmGuLEcmaz/BODKHdqNB1PFIvRGat
DllvsyrxTKaeazM8L85+8Xg65I+XVzVUlv2azxjCbf5/uDuz5dStbQ0/kXapR7pFLT3GgI1vVO6W
GgTq26c/n5ydEzs5dVK5TWVt77WMERIWc47xj7/x5UeGuGtMFB6EF2aCm+ticFtnRE17WyRb7A4u
M8Ds88wrz/ExW/CPIZtfhAdCRXfl+T4v1vp77QzulMeaMdq09B0T7u69ccNFawHTOYBGpCADK33d
ic2FfoGIWOa++bmwqw18H3kqggFtJqhlwZ2N7hXGRgyneBui0gGjCYluZWbGyOiD+pcCHIjF8Imf
G3QnWSENJi2BcDvyfe52Uu3bgzzvPjjIHWabyHuOIEKkFpdtmbi7cinG9oka+04MH7k/GPPwoyfg
mC0sYHv2yr9QlCI8Yrgyc8Vjv0Xj1S4Z1p2SlXE7cVS1ZcBGxl5sFx0c9AUX0OwZtp9BjrodZ93s
tRPwG6cqHpkHBiv+xvnylT9cCk0AE+2X9qCdhkfDrUSXZkMDJopgy/NppapNndkrPtD8dRpQSpsM
QBZqBGJjVPyP+dLwGS0+aCeZiXpORzMfHqnv6SpUQl7Qt+EL+RmsbnQThYtgCYs+J19ykHLZvxg+
oXzyb22NRg7xMrONFTZ6g9XsyERSTmk6vdj1mS/lkvlmbQ2MM5sd75I2Xw6PvFyy4hcy5SchV/KW
IfmEtDHT6TMP4h0LMcVY00mZq9lrsAJt7D5oByABP4N8Ua6H5JnhPvk8LHirCe+S/IT/k6ff9Dvf
ifl8LPj18sO8A8VlWIzFil8B71g0D14hm93fa+kRDzGkg9Fi8hkYDt0DU8PgFR0miHjmIKSEYsm4
iz+MPuVdl8HlL/kdJBtlLR0zeXH1xWJFr950uPDsVRZ3G0DUADusKbW+vi5wx5R3A6yiu63etp3I
UkZDfoP8Rsgj66D4SAmHCd19rwAaB+80JdW462ELWbAOVeuZR1+VcmfaEWpwm5ES4ylAhU57AHrH
VfrC6C62FWWv6xcQQAZ6RDXcvi6FXkhYdcaTljEziOFkyHvx2DGFijFscbCGU9jEmCLL2/A+3Zip
ZIfUREwiGWoFr/RRUK5LW/RwylIWkb6GoQ2/GvmoHj+MNOysTZfCsDAivFuP8qrc1MW8eYyYGfyK
o/UQLwb0q+lmkBH15diTOtoyUtxw15DGTqgPVOqv6Czu3gjM8zYJlsxVbhKgFq+yVdJcigE69dh5
/+JijKEPuBu0vmmW9LeSahwH/1SM/fX534oxqiq02hMXWftiC36bd1EAGjRWhFgx7oJI+Ht7pf9n
ZqDwppGaeqsvXvXv7RUPyToKJJW6keGcpP8TTp9m/pXS9+PSp4Di78VYrl6DQQvK1lNTDG43SBtG
jCqmGoVc+psKBchuuAWl+qiGVoXpQXUHYCvWCXIgXOyUZ6nbStqiIkQtYTJ1C53rPT8oqFCRTc5a
jw/joLiCEvr3mQeZuYr2YvB+BeNjX29ITyW9boUo2SYkl1iihrbkUGTzAuyuhPf6oB5np6G2WeAA
aOKdBq6sgC/TTsk7SMoNy/GNcuAGDu1dJEDpbi+cm0u3ly8xgDUU6bnnKN567s2xZziT7ic+0hBS
Yfk1gLe0pVRQPB1WH8ZGi6S5OQpmQrBf5m9vjNadYgomRP6j+G+Nd3VI410ynLeweOY/k0F78pY8
USJwYEXZUHusS79czfFO/qh9ER6FJV8MFCdvPbHj3ZJ8OmpQXwLk7wumbpcA4J9vUCEK9fz2YEKM
6ZxktHVGFq2jdhZ/uTFA0JkjME4YGSvUjBeuLGiNcKiSfdB7KvsiY4hgL0H3RjiuOunTbfBwPIZt
Ax9OR5VuwV8Sc5waCsyqfLN4gvl1ku4LmXxxCvH5PXZxctQwaH9LsV/DzXg88JSIR0vzQsXJQWZD
4NTYHZaSdW9dNl92ShnLqjlTEbZT9otL72EhGT7jfogzyibb9b2lya74pOLvVzgJupvSK/SXZrTN
cBkacyansmTh9y4MSI+wZrKCN+AsHCmA6ZKN4fMSon6+jTG+jQz6X27GZ11/5Pql1i931mnhrdsJ
gH/GMa4wOW2OASL9WPf74LoBWhSIazMM3K6RCqmma0SeCFgr+UxMRTKZ5XXV2hAomU468VBNu0nO
yi6zSHbylhoTlFKHaF6LAFX35d3Ezu4ShNVHI6I6xkT4WCKEkQNE46q6LW4TgxNsuJF2Ey9EW+tO
+DYbCAZlnHpL6tO1wvyqf2Y4zK4ykThWnG1p4DvbT2YgxLAH6ZbwQdTlbrYidduTERkly87vVoxg
RhkXQjwBCR1lDArQJmN7YrRrkTrrbtcfIo4C8UO3DVH6FStZ8vtdTWjxHpZlkTNwZb83EcxRWQce
BVJ1W8vBcyk94qIgsltco13RrSFMsAvRntDHXKPRbRs/urGnE90NdB7VNvsVMSDop2FuPF8n3U+I
myfVimn3MEeu3BYWDA9iIbfhFJDaLKUFub2mD509BoQ1EC7smCBHkS+qiy5flsb6WjgjiOHt7vEW
3863yi1TEJ1dkl1ugtMAgAqOPMOyhVSbQlxEWOfe3YdQ84p+LYvOWJAkDnuH9yiR7Cqwatltr06/
g0PaGNMIDdKnikU/DKAnKpNBeBbNh+o+1UpUXoN8EApg4gSbJUpexek/Fas/M9RWIp9RnkcVR9h3
u01n+3BS+oMvMz9Gg474LBqO+nDOH0CWMol5mq36YBzYiha7/KECR8U6ALRWBbmVV4/3lwqB5lJi
Y3YgycBG5BOwmn6geKz4jxmsSeP6IJ10P3OnGrF96HbAyOv6UG+rPey8w/iaQRIFyV4rZ+7NA8w8
2Rbt1CdDbmW4VkrZ13vjS7VEAjDR+SlYGM/d3xu4QgtgH5E6Ghwax4TbsfqV6gshe2nTV4Psv0vV
Lsvabfo3ZAJhRO7nQ6/suwcqtoL1UlW8rPpFYbEHHmb+AM1p8LgRC3OFPh/dwXbESudXhD60bBbn
f3FJMYEc2KEAqKiUFObfqASYtv2ppPjr87+VFDORGCcAWXOyaflJoZFkvsv0TibuZAJxvpUUk6JA
BK/F90ycpFB/lBR8f1KHcRYqVJp/JLpCCfF/4Tv/e+myOg39vuE7UVWWYiwWrXcXlqOrPGeI4hfl
Wu4fWtkpJpK2L/YsGxeIAu8wrsNT+Xb9jFkOWTpe+kdVn8/cILFDJ8KM5A0igeDU/tW7WvGm3Qnm
ol2bz91505zvx8HBQvG2jfblZ3q8btvKV55vr4bkZaOlpC5f76bXCkvzvfAMpJnZ/S1FqCk3uwrZ
pqkyRTOF1Q1vJCqf9rYRkAKkQEgtks8e8w4xR5sb+BnSqZnVJO96YkfVIwEzt1ON0HaWbkLq6tzG
GnUU5xrq0o6I3lrli4ZNJUsPxikLY4GsyESX+gKOQ5BCvFTAANAx4nK1hGwjra5LegI8BEvItius
GFumKp/YfETP9a55EWD0hZYgHwrtQWY+WGzEF/qOiW8pv4q0pGzwvZ9dneuyOTW6VXiKfOjr44QO
7+62uInBXttw/i58XqOjHoc+cT7rjLouafyizxeljmBrW1MuOQwB4bNA5VZM8AIvCixhAneEs+Yo
TIAGH1cWejBar3SlR6v4duholtknFPaLmq133fDb6NZptGNmR8UDZ/1RCZ7ZplBFFVjVEAXPirIN
c29AAkHpcMgRd26DmjnVSq1sdR0qe/Z97XWImQxN25QBUyn2YGPQaD/SmBo+DSh/RsWjS2eYhqxN
3gWB13JNmCmwfwMeXEvC5hj5UtDOXiPGusHsM4vfzOY9WYEKaEhGOcaUJXjRYUQiicueAnx2oP6O
4ymdual+ZCAGvgFDpN70n+1Moww4JYnDaY4vA6RJUBDDpadWoGzZtMRUkyQbL6mI6Lpot3kBHqXv
M3zZhpe85lDADrTRs1cOLCIYOUOE4Wzpo/nJjGqK5RTrK4cr43l8j7/w+NR2z15pwIFASgKT6bip
iKafGhY0mMEKjOWKkQ5oypRwLh6hH4HFoB5wOAnzDF95Qldqxmvji3AWdKxpvGbflc6EAvB+M5/k
pbVT+3DK5QXab+AOLg/GJB0pYAJV1h15whCtAtWa1a7ijC8cWTxy2SAS6N+2U6f5SWXBmfEI8MsR
C0KgC/PMI8GK90O2C/iuH7x692Ge+223U9ccf6JTT+etj0xj8T3cFI70nD7ne0TWTPAvwupraKjy
/cayazdalHa3lL3sF2HV+gNFCcMFJ13oXu8SVrTlF/IcPAAAHHkYlAgP1mVxVp7vC/7XzjPu07mw
k1mfIFBDKhaXs93tPL7PHo2NsZEfArjLDVNK8MC9vFUW17fbk3AsnhIv2SAt30OTqWK3W2HM1tid
iEg7kd1GXeBrnmBYu5jtDbQ0e5NU9Ke+myt79ZCtZkfxYK7BOfbswcoRXgLC5wN82GrmojEFcJit
oS9ACIbSw1eEeRjtYk51rUhwn9i9sl8lzyARPB/wwfSZ5myDz2bmchCAlLvgpRpUCeo0NmYRpSAU
62l7nkjYPEGLtkj9+IPuD0YzUM9tAdJh+tyF3fNUkiYWYFbs3d+neoH6AMHoOHlDcm4CTORqyTc5
NNLt8ZHiIn3mqFSz/X7i8QqucjzzXfi6TH7HD0a8wSssI/c8QSj1hQCL6Sx5kfv7v7kyEBXEevBZ
Sevhz9/MctUpn+Tn5Ocvz/+jMmCKC0MW01IIQV8D2z/ABnk2IRySMUkMKQR+VAZkbAM2oLwmoHlK
O/1WGWjQbU2RQe40BP5n5NoJS/iTFeq3K58p02DoW2FQC7GSKCmql/LWK0tSbzCzvIt0vLBSt70J
NtrUjHDhfSZxET0KRrDWRh0ol7Ue7wohDL16lDF0cKMucSRBxgKLuQ0QMB0gTVu+yJtFLqUZe3os
WbEC+l7p/FQBUqtnN6szRlr4IRXAUavGzWVtzLA9Uf1IfInNAvP/mbRqdKlbExHzUufjURNoMuOa
eLshkKD13FIcUrr5dSY/thH7UPaSVHG+V1TYnUPo5BhaJiMgv47b41zTs/Axirq3f/HNPtGpVUUi
yALzAeNvmeQTH/vHzf7X53+72SVYbTPMoCR99uXu+8fNDrUNbO0b7e2PMtgUNdx7UO4Cuf2ZSA5G
Z+BLIH0V1v8EWNP/cq//PHF9KpK/3euZkjTafQLAVGGdFNQMhkSqWlU8BRHGJ8Wd2k1rTnIVuFKC
8fO8HXM2UO2qNX6TZs9DlJyMuhSZXd0bOzWI5nhU0oI8iTS+PbV5+glzbqlpHTIuR6CH6x5Ubvda
R9ktD7jjVIlvhNLyBtlYE+hSlcAwrHCQahxsWwaZY34OBjb9XO0iqplUO6TF/e5K19AKi8yLpgIB
w9/qEhcVVVqT+oUsPMVNAxVPAwY0hDcpzEHsrrG20qGmlkPiDmpL6x2/inyksq8PV5uOjdtOn7he
AVWrv2CTKjGWwX9jh/+djE95WsJV+jc8pDAs+7vhv0T3+ONT8dfnf/tUwM+ElcM9/nV7//GZkGYq
jla6rokKYomfaDMcBM4Ibqf4F0crulcU6SIfC1nH6u0fKMg54v+5A/zvhWu0rt8/FUY3qwb861sv
MnbJXmhbNMfZQgpZLNH1aGvF7pkVgrVRgyEQknS0j2cZYnnXvw1e0ubbiVeXvA3B5HQBAf0ESwxR
Vb+XFtIibNyJLxYkzCPfY9O5Omq5B5uaMOwDNzdzJSyWkoIsmHhk7ANftJmGTUboKi0dFma6hyja
Y1AhaXAV7eRuockAVMPYga8JA69ixUgJ+4oRlTS7lFde0tgzwchwaoQ+SvDEGVpn+zEuEN/ZTPXh
HOwmRNY4a9hMK5hMOGF/wIprZhwgntb74Iw16MQP5RFeAebpRD4FB88cbQ2d0y3g7l+Ae0PZhz0w
HZh/SEdOQq/dFuk9KBWQ/HjiB3geOnm+wnPgh7XYKblaLDvb3fSuPmbDItFPEAJwAm2By/Cs23J2
J9Vp92KKmvwN7/zZhCymZTGnjKSaC59A1W4q8s1ubYw0f7CRaukjvace4GobYK2NIXFQIwfp3KvJ
S12Z3edTARrubrnXyrHX3tAs9AvEw7nfXRjnbjEQYf4PmcvindXo0DD9ZLyuKs7EzDfmpIA5IK7x
7Dx8lOfKJqQQKmsfPzCI5y+QURnDj1vxAxZphdEQzuQYrjAWhAeAXJ+hPKN9Zv/4jcE5YLoIQWpi
q0IoSFcaMztW20Np4nd6RKPBEcGAFRi6q4kFAENY80tOAINo5KDAmSup8mQg7V3u4pn6LJ9yF4Pr
Av7YZMl5M/Homstg+OI871wUN1Bur05Bh48WRX5joG4X64voKt2pHl+KoxQoT3E2oOfT55AQEN1Z
CRg0egWMAUgVrjctgslFIIw7HQaLwo2EW5RQzgPCMsyFhGkL3AwBnrMnT0hbPS9fa2xokeM26c2C
NyaxVcT7Kzc5dgDnvsIIdRkVmIoKOxNkufGAHYfHe/Uu9Y11ow1iPI9MoDyPysO92N7UdUuJtq7d
m1A7ZmFpZ2E5i55VNIG8izmMGcOeZVMSIWyMqbudNHOw0OCG9Sg2pdS9zx67bINQQoE18Hi7Zi/d
rpYX5dLqgkWKe703OD1zcuinZoM+pwWGcZmMCyNzb7R5DLbzcp3d6sdk5gj5c/OEKOFfXEl9AYIY
g7B4SyI8rK9L/S0sYspr+O8GsX29kcOgKBDL/rxnTIDkj+d/2zNg9GMdokq/7Q0/CGMqpFC6FJ3q
Denej7aBbQb1gD7lOpg6D31rG0z6G3OGZu+3veYf7BrqV8r1z77hx6nLf+ob7p1e5FeVXUNbxxC/
7HqvOua0mnfbdl/v8wtLCZQuvrIiyg5kAW3NIp5fMD1etR/GGawK1Rh4FgAU6h26UeKNmDzysTIw
aZobr8h7RBe6GQs8h1Gn9VNZYwKC3cS+QT1qs4L4UrB4w4jkDF0UwcC0bq05A8aYh+7mcwLps/Eq
nCvtIbJklvz8wqFpzbHgmbOaG2cVh496z2ZSXszpHFmn4xWbDHwiNF/Q/3HzwI8e/7KP/qNf4ArF
gybzNhoilAoiFz1l0MD2wioIZL+0MB3KL2xcmA21H5hHYWzFobotVynjFM0T+VHOgreEqw501moE
BVRtI3SzUnR59OpzfUgcVsYrY6Nr4pBG1oFzDZ/NhmNxZDYE7XZCztCG55tvorv1iuypSbCInOuv
obniBbptcB4wdltHwXvYv8nlrxqfj/bjyhJfNs6VLZzT1W+R1e3HLrEbCGgItk7YqnBpZDVwDP5g
gADsgbF1q9hxjsjcUphwMaLNmXeV09yrW4rydjI9XPVYNKaPyirzBAfelTNjouGbzM/uzNEy5mnt
3VhdhbmHDUVbTWvQHQ8qM56fkNo12QRdBdwQmlb4XZP7YbRPQGm7CMlVcZm8oGIm0c3i7jCygpCY
bWDS0FWiMmDvgAJVhexypDlMk5l2K93sCNH64IpEEcIYw0k7f8rqZe0ETLNDNAGiGzNYyt/i2NYg
h6nqp0gp0eFwUe81Wtw7ElA8BgYMFVymLdg63Rlg40XGL+5VszFtVsTso7jeN/HwOPH7Rfkt69wc
GvTVIZ9Jt/hXgGyAUTlBQabDKClED0NOwTxzpVP83D5kbrOTAI0q1AfpNPdizGkVDO00X0FCJ6OX
hnvCIA6FO68sR8diQnqCu42zlkA65uRHACIkLiHsCC7zIbZ5ICDwKBOYGzM+sKnn2ZqgkBK/wgd7
/Oh3oFuUZRwRbIs0X/7SyQvcbp6Dz2jGRH7ZukRdwJNhdwqmQBJ2vFr9YpHV1kh0yIeIEaBhtZfM
z2bQj5B93hb83b+tpIVyFL1VusDJU5mTmMLRORNOKSfiF99AYVxRIo4f93cwL74NN6l0B096RznU
71AbPQOaITEABBPcanlDlh8/MeGE8BPNeUqGhUHGpJNpJj/yNcoE8Mdo1MoZp2JEeuBwB3A6wSV9
hdnu4ClHEDH4O6W7oma1ZvuHBgCOiei/ePOaumEFyyyJ4AKTHeXvNq8/O0b/9fnfNy/AKX3iwmhf
yvA/Oh55Ntke/tbNf6UZfEMBkLYrBu6/KBjg5Xzfu5CmG4ph0AhJEuKDf9LxaNPW9GPr+nHiYGk/
G56iG7NKSoABJH3X1KVbtRBf7pllVBSbVRr+0uQZxK8xC+EHm/dz2xmOLq7iKy4/dZ40NnSG0jMb
wOa+Yp5fE0OtM6kR8/FJIszKzjRFdaui7CHiZB3kQs3Thca/qdVxqOvHq4EQgsIwZoxwTWmzpLZY
1wVHEcddFqTWLWDZHGP3lg+5yjzlMRdhp4A5zCb0oQeGkIfiufsNmJgwitutQVSUasIrBn5h3GnW
v/m2xnSNO5reWeRGm2a4/58VHAkZf6rJpL88//fbGu2NRMOuy2BcU93FM3+/r3lIgx1GMw6wxhyY
e+qP+xpci84fOIzmeyZxQn/UZChdOEXwBk0D5PpHJH4Kx7/c2D9Ofar+vnfygVaJXdkXklcB0CJN
Sf2BwE9CjwSD2Fg7h1t/HuqpIBHCPdqVobONcIkgsprqDsU2zuOCnf/mv7HvONJROmK6+VlZZuJi
az31V8xn1VPKcBjRN76+hQ+JXyNUh4CdfhHBsB2POcrOZhXNPE3zxWjBo+m7ku6C4TKjSd6XCky1
Q4Ffyc3pH2e+Gi95dtnvxQ18NXGTM7QCABsY8yIRslpYEzKCNRp3HqboULOXNFlCAYoJaE0e0SXy
9/6Q9dSeXo+bUQhGd6Rr45HJYSs804bSSjJCje6kF9WjI0YvMuE88NRyGfy5vVp4YN2CF322Q4pT
GJ8FHqKd+FmXay319vtJ6TiuKnkrfpGWnhOj8vsRNWfZnwTNvVWrsFtGIkRqETcGbIs8CRvMZmuW
L7r4Zu5vOjlC+yu0lkh2o4y9/SnRre4tyB1CC9tEtQ3STo0pvkftzrp8SoZl1n1G2UEKP9sWP+vd
mCjz8DEcodyqC2F8/oLf1Rbp5RsB4ySVp5/hlXm53UhWQ0wqU2Py/rCLg+Y7xxYTE2WDhpAxEIJU
1Ub2LrEuQdsmtrSiBJxfJUuS3Oy+0FXvRs2MuiCoSaMgDZwiL3PzaGYVUWTXBnrITc1wPg2XN3Ge
4m8HBUWkUSdbKN4PgJ1mqNoCHBRknBOEsJ3ZUX6iSssTT4aphyPXovKj0794iaJt1OGQskDppCBM
n9P/b4lizvOnJeqvz/99iUJnxAIkfpcH/r5E8RADKIBNfZo1fYmJ/liiUBCJ6m+N4U/8XWU2RcuI
/aWIbeU/ghq1iZL7c+f9ceIo3H8uUFBBFdVMcQ8s4Ys0GwNfENLQy8ZnngxBjW5nRgwIxoeyYRuf
42KKv2kJb2OpekjWw1J5PpvY4XPrEppD4g4Zx27SrhTkMETZBz7uRmA0MgNpUD1MG7sAxMTGZBh0
rm5XAawObEHASR6BE2dn9bUDe9PI3ZEfZmtttkMKW9xWjEjz3sXhC1E7oJqwAnDrd+o5Ege4Z14T
EnZL8uakcJdvfnBSSlCYyVY7W90/ZvLcRMfMDr8c15OhnWlBnET+otp57qEKAUfDMt4etwjy1vH6
vprLuCEOEA0m+Tf0yOipNN977EekXUiIC+wTyV5h8C3ZfQSs9pJHdmPguhVvpeccoSTT8k1ndZZB
VAp4nUVrcpJrzCqImoV7irGylfjCsthjVGbRuB6GAHxOXAu/Ej9KFzGf1DXlsRfgc0UUYA3iuRRf
Upyf6A9nLp4QdK6atCXSt5ur7ugoaH42/RyLe3wGX/D6smHPONV8J1uKm1xoco9vGDvmuFkZ24CS
O32GzGhJoaOebyjhcbWxCOgzk+1InB++jHjdiWg67/MMsE/309QSt/ohIFlNhMUwm2OSM6cDbA/9
Fk4CxIcYZsWkoUDWgS2jcowZ/mP7tRuj08TFhQtYxZvqtV1P8q6aO2Bxl7HL4q00Z4fmV24Q2M0o
MBHdJmsxxNLnRRS+XuOHm+gI4yOej3ynOxACkAJezssFy289rtr6oRxXN1gTKrQp+57lVoLLT3hs
+aWHb9LsICqIIZbpjq79TmtzvmLfYZII6EbtkovjHTvjDkTjv4pBLubpE4AobWZ/iPPO0QGKRcEf
ibcmRZpzvCW6K1wPVfc2kpuMHVCSo3Vbd/AaDULizsM+esLFMZYHS5htibwzHd4wDfjcG4SHegk+
K+H6f4cQkcNZkjBih/nUIukCLjSmlCbxg71fvE+ZWjT594tZLwAxgCjwNEDy6g/hro6218Hu8RqB
h+AFi5HPHBWETU4jOVRgFhvQ3RjuyN2HKY52rLkQamcR2yQLDyC7JWhL6WoJxJ0FWdZltuiDZ36J
kw+gfu5EF8U96iMx2sJWCVZy9wx1BdpMDQU4XrYnjACE0o3DdzSy2AR2OO6MdiwY6wzxx63D3vQt
WkU+3uYO38F4OyGEdh6pyzwssF7dFiW+Dq0tjEc2MgtR7pQBs4ObFFkK0rvIy0/jvuEVmgf0SLFx
5B3Fa4GMqgLXsVC/rzv4cClG1QXOUPo2yZzRsLvaTyRfXkukX+KoUKu4qZ4zdZO/3560Yxks05Rk
96zYDT0tadXtpNTPKlt3U5z/CDTGeZJkr3OkpTDS2kNWbVoIo+LMltW12OGYneNNi/sg6P4TV9a+
Rv4w2OJhOEBDYTGIgH//tRuoikPKxLGkZ2XTMr5gzv9nA1WRZfzYQP+v5/++gUr/IRZvyivCamWi
av6+e8r/Ae9kFC2qmK/82DzN/8DQlHTOgs18MmH5o77nIXpNWBwE8AHlzox/0rd+TQq/b59/Pm2T
0/te3991ORHT8YokQHysNAqpqD6XKYRMtWN+cs2YJyiPoVA4t2trp/1tlYzZ2kzFANnBiJXS7JeR
UqzdjOEl1TJPl3UnFq7LscJjAsVGMqA/SEbP4E7LcwU3pNyqkElWGRusjI5cg7svZ1tZbDcGQxNd
gjyWPgh15PTw8dsOSWLZL+4iFKMygZNGGYsl7XitNqLW3fFQvZ20nmgxVdUWsgAxS45xSG+zfBMk
iX2r09WsQyOmYneqhukiFONmMZbNyWxVLyYfpRdNLx+1eYDcOGLlCe4ft44wmnGC8joSwSsj9pJr
MNphlBcPegAXrVlk188+69N51tQwxJFMdPjCpvckd8pMY/AiuZKCc6xuHtXcXNdpesiukvkh4xNQ
RwqucTlLY9eDY0YLo5Ci8xWb59BkDKWWTFKumWTncvFhSmTBmcw/R3hkEbE/dY+x7aCvUqapqSgs
CmzUSkylQzT2NzWr58PAfqJQU4+z1E4V2e0xle3DflHkUACLHsMaJL9S6EoiwdxEr0XC06hO2Guk
/ruHLiqfM8bmQEl8sv6uep4G3j8H9aSO/Xz+7x9+SmQSovjAYnAxoVQ/ks7IVSMDFhhKNye/w+8N
PoZJk7kGANV/n/VHg6/Ataa1Z9HQlYng/U+GLiYv8n0BIGvz26krEjqzHwtAALtAFPoQ922csfEi
1OYKGnKNiAFf795u5a+Xcg8Dq7wehvgxLFSrOFTbYvTqo3h/vNZuiuHPXHuavMsYPGv5IugtYQSv
spUn5hgaG29yKXXnxfgV8/nC0s1cREDAzVZV3Gt9olIACzPzZRH50tuwKdQjcNemz5lL4w9I8nJJ
vXW9VAcZlz2/28arcTFsi6WGYx6uIBu557NBuOVX5hPNNlTnunNvBBBhHy548TzzbqRItRWCFlBx
wd41yTnZg1wbvrCN1IVGzZ0hCJmjg5rN5jOm07i4FV6o03bC7Z0bmqVfwlNKitY23sQeNiQr4pM8
PKz3ysFYY8C3zn3KFCptulNcjQAHkmorE6xg6XaAd12LVx2y6gVmTAfqs8NEwp7G4yLGRxAM3noq
JOiST/JeYkLw9AnHR1fmxD4PyhP25gMx9JxZw5rhJTq5zrPD5/2tD6yBox71nC+aiZ+rFXJ6nnG8
PymH4aKRDm2Kk/lf7CFd24+8LLP3KcfStLTZFqOmtfBJiBU+3H6/bfYIX3yr+CgPwnJKdiTR8aMg
0TE9hJ/MchhmcOWI19VLuKHT8PbhJtxo22At7ik4h8mMD1fCIX1NV2jLsQjvmAXQHzCtsE8FslvS
zGiy8meMppB2D4+T/x7M5l+SE/npAe73HqEZJBA7PPa/1Pc1OviXdqC2zN4DSACjNznt4ydMo2LO
p4wUvjcFEc0xJgA68T9RuDg3a5LsxUvJP2bLaYwfnN+MV7o1IlSN12Gbvk+MkMoiwdOtV8poifFc
WVZrzbst4B9Ys82kk4drcrj7nfBwM5cMvxPci0/mJwbSS5ji42b2qX1Cz36oX2ovf2Ajyh/6E8R4
AKIdTn/q02OPFzxCcgKPcP9H7CWv2ENwlwwXNF9wiSGGFfP2dCqvc+OJzQZbzfBdUOfh8+wTFSQC
8EmHrri1K75gasa8Q8ZtiWkHZBgy3mkQMWXCS40hjnYqmKtTWSJA50TzZQSaNV6Y9L9Q8RorEpal
jSEfkKszb292+FlrpxyXeiQXbEAM5jGy6jDRkj64QJTuomw1sMmJMuRVUSosM0zHRZwxqwv0cMgk
isMx496tmPlTd2cTw7nfT32iPKqkbXl0xtrNdM3mSfA1zL7eixL7RFTa6LDsgIzSG46TKiadpxFL
TLK2lQ2XRrEKtAg9mbEPLmZcSrxueBf1+3LAqv3S4uf4iS2pwHnT3C7vXomkE2G+02/0p5O+Eo8D
VKPw+V9bxk7LOQpkkGFGHjNUQ3+3kyl/JmL+9fnfdjIIx1j3QmYmonM69O+V7LTJAeiIzGck9rif
eiRlBufAgAYs/kYt/gZVU/5OUiWN04aW/M+QoAlT+vNO9u3S4bH93MlyM9YZ9UBQQuNoGS8aeGwv
bCC0q28a3H7GII7ujiFIJRjmUI8M66J43WP+vkPU1mC+b6sbnQDol2aJh7hKUo/M0rnRdYKXCduF
BTT7FFkCP1AuJfUDyYZ17ISrvl1i3SdKLzy2u0k+ahd4XxI22spGJmidPN3RqqDXU/HOC6xZmdMe
ZoAorngHeJq30MvIDuE/dTna/ZrQn5W4uVPxnpW1OuHimAfu0X7SIsMnwDIBLhroQXHIF50jLnt7
tCGjqfVZBbeWYQl8RJfioL6OtcWp0D1vcdPKDljWYAvBWn+Wz7hqOzlB98ThwjRA3HEuoDuZKxTP
kJYWKjAHWx/OH6QB6lTFsOgGIhgud4gSu+idc4JnhqaHyxIirHDfo2IRSD4WPsltHbB8R1sz3OdY
yjIbYLp92GUHNOSu5BopOpc5foZp5zXjqZBo27FluC1HDNlds/aBBQxpIWrHovwM6w8hdKN4YYnS
VjNsycnow6FE7Alsbi2s/hE+LOT1NrR6B1P3eWgVJi4bAybpjNmhW1XuFKmpz8sjV95hx+NSNxjF
un2cjR8TUPOo+FHxlpSvrJhJd3UbwQ7fQaaBWmovYwfulC1+sLOzmaNBqpjWzWc47OCJDrWCXYXA
xwXWyQ5KcSdysdpd4+HPWJoQksoN/HZpbhwahXXZ2UH3SBiDOmyb595SHtRd6bRLfuAkLvpDDdnv
0FQ7igos5VH2gHL5beRSGSgHAf8MQry0pXJoAMw+Sr8n6IK7GPeVI4WD+hG2Dj8JqmDOXO1AkY/M
ScXgpPdq9E7+tcXx9SHKHf1DDnxeQbR/lfNTOx/PhLLMyCwx/Ea1UJiht1HXAsJ/yASGMbfK7b0l
//kJ4+hDTe52O0czLjmtH9mCpeVO/tqKPnkU2zr5H+7Oa6l5NGvbR6Qp5bBry3IOGNuEHRVgULJk
5XT0//Uwf8+bvpqp3u1qGnjBlmUhaT3rXne4rGRCqpVqX2aIVG9Tzm7QvnnKQuy2qjpPBEmyQBNi
V+uTuqIQyLG9kwjASg5jRXtBjMSmBwJxq0OVvBRi3TeRWQR2LAZnfuia5anfyu95uLDzVWvPhLCt
PqNEVzd1heeNslTBo1iaXHdEQt/jlxvLT6ZMT5nhUn2dnkOy7B5Z0cmU6K+e2pp6snXMj/k4lzfF
oWvRA0ePmg4oN2l3u8b6jKL37LZw6iNpGjbXJFy+20SW9iRzRAinYhZO5Spb6Rgy1lvJtVmmHeL5
wnGNF8f1dzm6b94AK8sTcKN8TNf6NlzeNv422/gPozfMwkP3Fl/pbWcBuZuHwHaN0MWLDQ8AbIvm
FUC1euqtRSso325CQLaCCgpDm5lMTso08EZ9Vz2FW0xS58oL/TQ3tHZGJe2lBcZYXD6zGAMb8DMs
5ZCoe3DRE3ulFzD2agg3y39ysZSpZzqmCcwh4L4xW/gvmA9C218xH6rWH8//USwN7O2R2qj/zkX8
aa4rY/oBOULB55H69z3y/TE0sRAmKAh09O/IYYYZP9o+HWkO7Z4ma5YCPPR32j7e3B/FUibKEY84
EcLtaL8Xy7ov0qKvdGIXrDI7GWUJs8VPOVU4ibOzYUlfUqd7kV6lp6zB2H0cSVsPlFI7GQYKyzSU
6eRMy3dBcsqv2LBcP4vgcznhuTOtWW2Pbmn543FI1GgZFQYejLzQUb0P2TxJgqfc4P5g1OkiS+qt
wYixxlzBRDMfIZWMQvQ79Rg1n8XA+d8X2L7pMlrZdGiebjZEXUntphW0YeSyaZ/Ao7pI8Kwlbapp
DfnCSjVA7AMETQ2lfpBtv/rKhXljrKgvN588VewJtbVVQboens3SgIzdpa6R5ecyG6ppp98f+yiY
dWmKmLTs3s0I4liuYnXYleehv1hKP43shzq/ohaa6FjcazWmvv5OTglXZnBBrU3OvUqTJ70NXYyY
1mRUanhytDEDCIXVWxkdfQrvkFKi/UtMvE8oKMhQRsjSLUPUTFEIzxGf2jLaB/fBC8PK6+HbtiOU
I3jz3XjNE5l0i5zELXwnrOqgKSMmdqfGUmeDCaGrTi6plLqRyW0g61zVL5/ynhAWZd81hLCVDtHM
Ba4c1abMwdICUOwMz4+aRK1dG2DFt+mC8JI323okgStdowERC59mxB0So/6oN7ySKnRntFHioIm8
hCF1we2JTIU+1HbtMADgZ1OtuEEnZmauU1WIGCjuFn4s2lKv02mN8qsg8VhKPtXCOXcMhsOI11Ze
WokhTmXj7JB9GgUZhawInhWWTujHO1Sx2VIH6epxqOHMxTIu3/bKJQ1fQjn2/Ft7GnL73Af7CO62
bIyz1PwsSK8pw31PpcukfQOnXXdUL6lgQTJjs4Zh1arB3G7AybV7OelIGGnaNyFAKyw8akP/YoSf
KrDloNUQ2ErSUqy17zteM9YzqTGPOkC/SdwCbA70klr/0BjtLDLSp6pAeaCE+J8gbLBvcPIyX/s0
rOhBVkDewqTtXS5/jPJr2JoOr9hV75Z07BB0S3GLuizHz7/CA4oi1TifmRFX0yJKtkNixOve8ccH
dSwJKdadrX6XitVNqqKzFrXOrKySp9qHu2GKC9dRrNxLrXYg2+6OWbTJnlvKePOqvhgQ7nQ1tnP3
tvAMhwotm0r0bikq0ESyi7XE+GcXCwg1YHmGjYrmm3f934sFt9xfMUL59+f/KBYAgSJOHrIPI4Ff
OytKhAkSyAAeDPtXYrbmCIkNswNb9GU/1wpaNDw+TUBEhhl/S82pq/9HqfhpxymWv/ZVvcHIROma
Zs6anFjns09kSZASsNaD+BH3U3rhJvtgEI4xC/lFPVYkhAHNmhW0VgkqZf0Rb9bGo/lKTNkc2fVr
pk3vA3EVrHSnOOjsO7KuutXwAJRzJmaqnDEnHxiC+Sy312IsP2eIzjCWXF7hpZZ83pOvbyBhmFc+
1+6c1876nRLiavfImJ1fN7R30hrzNftMVirQgvLImknQN4l0xI/aCTdjxQoZUhzAPwzS0oNQurg9
+2/jI0N4+RWS68hLhkv1rJ+B6J699rCv6SlA3BgxzlAYKacMcQ7OT0c+KSf/4l/6qznlNzkEghCS
Nw/+lgwJUvbF08/4fIIALmkPaSPy21F3ZgXhXuBHYeLBNQeiUtOd5nvtHjGP/UaGieHToGF9Pxkx
jXizEk3oppw1DRQFmc9ZIF6FRztrfoClvJ65WNZ3RwaO0iUjngspK4RYIb8ldlGE96mnbMEXggBx
e+C+jYNnt8cFXpYB2RANYaOHxx5CGXWJAaaVP6aI3BnVfqgn28eEL7C/NH9j0hjmEAGGENlGuYuK
Z6J05rhF2S1ZgPQ+a+NsvZqPNyl6V1li4KKTc+fO2f3vV6mzFe7xztt4a2ep8lg0C8RYRM8TiJE4
V2wA8/ZDQ8XPdAmbSuBa5L+Bx77WnvP2AcIK4YB0Z/6+E5AyTA24swq/BNbICR4NQmV8AEUzHMo4
aWuWsgi0I7oTTAwTA8LwlxMoIqnQXgOSMaYtPMwd+arcRCiUiif7sCXt7Q7HQ8Ju3m8eeTLgH/YI
bKLb8yqAYHwbx6SffpI+h816gZUP6J0j2pspYFoBcWvLYwqy5diwSIPD4Bxak+zCsIaVQJ7QzXUI
tYJnQvSXsFt3yTIoZt0DyJ4IjANDQ+mfnSpsClSBkhEZRnKv5mFfyOdkINNXM5cI7pV6CpTmf/LX
JjbrO2kMuyZgQrLcOMUv0ElE9C+n//gIrxtWPkAo15eNC5zY3so48eUGtLrPxoBEt/FxSHv27tma
oBeadeaJYOI9u8CV2O9zkatGGAMXkQh2H/BwTHj7q/pB2WKNga5HOONnM2F82eyBKEERC2WCF302
+0f3HIx7v0laFE5T/58AHbfb38rI78//qYyIjsNCFCrgNKH9/wHQKQBwOlXE/h4o8asfPYdBPCCy
bWaggl0NIPhTz0Gto4/BaQgZq/63Zs3fo+7fADox6f7PW6eF+WXUVGYJ9n2WRSH5ap2zWbyFEV7E
yOpIIUpQG94HMIhq2irXWDvGrBsTFceNcKOUDusWrMqJDGQtJAJmwidxphPoNywT+UTWHh/c9ok3
JIVumpbvKYFA9d2ZqVzEij3T7KtWzr85oKM1aWuHFd3LIM/S/PGupUs5XgjizbMdLrkfJ0D18yW3
VK8rPAKFueszcrrN3vVZ/Dzsuvk7921T81ABJdM48fwA5Wa6SNbkfvRXP/C4Efvljrs8qsvMRQUk
b9CH8m/7DS+t7rjns4mBX39N1my8v3Lr58OcUkdA3EZCGtUFt/JhJ29FCdkT8etfCplxRiiUTd+q
oj2/ETGnYHhYM55wBGS2wWg6n1OtcEC+2m+8qHiZYYcOCOxLYHY8ulihxuFX/Mu/UIfYIJ8TIYgS
2/Yn7x5CU3SjZGqhdIW9a3Lf5X4BNoj+SXzLG+TXcLFuyzs1693YAHryQBB/T1QjVEIcRKJExS4M
O+LizVl7bQ944sDAmVMh9VmyBrQE2WzQvw7XZBbM6vWHsL9nyAMtCcUmLKRFdmIL+BwRP6VG09I/
3Na+hamiiAcLRk8v1hpQB/wbhm1wD0T1kJUnSE1UjKoCrCoMN4MQqCCzBbFLFwfiR3gFpnUUjg4U
VZrc3qM5lcufQj0iAIX6lTrX9GY+MrkridxUNiGJyXHDMn1bGZhoJ/7c8DdxFrkyTF+0nPhUi3xa
a2gXxf2hZxDfFwQ93iMvejbPwhHZXqu46jS3F23EKVgndRcXpdYtp9WjvsB0Lv2gtFCrSCokQJS6
1cMzVAil4f8U7rAvb6hvIzFr556TP0CgUzCkXFNx+AfppnzY1o2AMhZn/E/PLAoi6ctUxvSDNFXR
VyceBY7nEzmC5JJBEiBpwoZuyRcpqemHjqX2C88hIiWQv6BTUQaLguqHk1CASzJGAtgeMbu74ed8
NFxgNTLK1EX65ZSzlBA87DzvlyygIyOG7jYtjfeLIRQNkxGDyGRe4X7oWJP4vIg/h3ryD64CCgtz
hu2YwyDiV01mGf+9mfhDKPPH839UAcNQDQ2ZDNAWGfK/EA6Y3GBSawi4698imr+qgAWtSKOZwL+W
CY+q/1IFYCFQNwCKvsc+f0spI0ZBvxaB3945u/cz4ahUS5POGTfTgfl/qo4JzhZ9yGnYh/JTbs/b
rpAfcslIPNUct0l6v/j34qmLFQFMl+uuE+pptYfU24I0MKxad4SGZFI6v7HS0ZtyOdrqZCwUbVuY
9iwbnQ/4iDerVNdGTNhfeX92BlZ5KTKC+n1oC24a0WAsqgpWuh4YkRei1pgHnOGBT25aEbihhB+W
8YXAQLD+xwFRnvEWJARW9zs5J3GZ4HNfKfPlrdYPVlvAxC1u4PpyMhvuLEolXZkoGgzkMSBhKRyZ
c4IURJfAsTeynUZTp0qCpRzcbqcmpLEqmQ8PYPVpnAdr3usEUx9vqKVPs2+qWZPI4T+XpycwV4Rc
9MMsnbBdNP4XZqv/idn+/vwfVw5+yxZ6HLRkQm/zE2ar/Asc11EQi6kigVTMHv+6csx/OcACbBOF
mVgjsar5sX5SYcbzK5Dgb6Omv4PZ4kf0+6Xz21tnEffzpTMYSpU6jdKTiHAz5K+AFHMGWDcKV2YV
U4lR2qqXLBlyayLbr9FN6WG/6hiMFWqP+jjhFh4HCvUjDLybPi79XLlPkmaYp0FlMOzpcPqNELJa
6XuZBwGz+OgOYwPkKmxkSkt45/adhbCurUXYx+9JRaANfgm+GwGvdVgP3uhbHeaIbcOMM1Cxc06I
OOuZttzC9zQisTmV5JlfNM+3HNZcNEoDw8XcnxRKuaxMYz1K2XNyI0zZ0Ku9pqB4zcf8Pe2svWLC
1dWkvFraHW23nSHWSUczdNMyKlZYWxl4md3d3sqWkXn3jCZ9kccimTYjKiEJEngplaxKGiOwX7Gv
gWAjaUWKw2PmZ9lro9EGSzb82tjX7y5ZdS96weCW2t5o90NJ2k4Tq+fCcdbmva7Xfd8aLFhjKyLI
UglspLxBCTYppSG8wYrEdtUZwG3HjmCPZF8ZWbTt/ILjbje2W439MO0qsk2zFlhTAo1+yut0Ht/L
4qykVXr7J5dGwUD4FnUAhFnfhqn/tTSKDurXBumP5/+4wCmJGnfLv4zTfmmQqJWKjZkUGprffNM0
lVAcfoXblEDTfr6+GZ1YVFpbxlPn70lZqLR/XN8/7znjoV+v71IPncyO7XqOpwe2y1a5CmKs/5Q7
UQBurH0AE2CFXpVew5zjIWvXNPQyMfBD0Uzvswzka0SzrH1YG+fCSk2AFBgJngisAG8ClQ4Rq1P5
MN8EGxi6I/P9EL0zWI48R9+NP8hkDagAaDbtHvIPpZzhDvrvvEV00enkOQctmcendOev5BnOBp7n
NbscYDt+u0uIzartAMqSP+pvxPnQESBZYJo/JNIUjgQzhYI4QEwCGPnr6UqRH4NuY/jzZBEEM1Lu
X6x0EWwslrpYtszHHcMEBbjPK8RyFj7yRLNI7gn0mbU11V1cvCfTG3C3YBQ/43hATt9SYqJpFLOb
vap9WpHcQzCI2wP+BDPeq1d1i0FawKQb2hmWNLCVXhLIgdG2fpL1HR7ovBOSX77jENExIu3r3Lig
LVhExUkMmA20EwvywlyHQ6S6jbTXPXIT39q34OW247uZvx9X6aZfKfMAHY5yxA7ePjGZZ0xCpyHt
fNd88d1lMic0BinArNlmnrG+r2gED+1ScVFcqF9ycRibZ0KP7Iu1freehq2egNLjNnOfo22MJ5jR
ZsY8+eyyafMy9u8W4np4Uo4OXLogZofIHGOEUUJrBAGPpRBIG+hekp1xte5BQWFgWdP0w2Gskkmu
ZT0RMwLZq7lr6+ZAKortmZvNh7+IUdCE9dtwUMNdNsPRETNLTpVxW07lydfD1VngT0sqfPtSPIlm
eB7PmXrP2AO+ZnNUTe4woQtymdFNSTWbxLO7Zy5aZ2NSS5B15l4ebZmZpV6KUamFFsjEqU+dwm8e
l73JhD1HDzRORr+aIW8ortbBJNmWVMf7AcFnsyRgaCfE/lBAVOtYcDr58+jF9JziM8MS162BpKGv
Vhcte/SdZe7w+KbGxZKE22YRa9N1NgWn9qwXKZxA7fNEijcXD/EpVwFigzNgg60AaoPQQWuTwycu
O65QwcizdsOw5TOXziACSssAtAwMb8CmYVmtkgjF021qvERefcaklvT6cgCEG2ftiRB7Z8FLEIkl
tvYN/NXecIo3CZlN/JgcRjvdcfGXHp5ZjoTtZ4IB1eQi62sCOcsNLylys1XxqkB/cfEMCAKwCLI7
TMMNSpt5BbLOCX9VH+IALr4XdHNchMMpXuiavEBY+hrcXjJkZxEeve4/uB2j3lioP2BbwwFn9P4/
2jHh5PZbzfn9+T/VHKjaBjpJnWHib+2YorJAxFkbaO732Q4LSZlYXKzc8D60Wer9WFRSovA6kFlT
qpbyN0G5b9DtF+eCX9/671ZtpeTrdhlX8L85z5lraCAoMRh1FVFffC9kSNAk0/7Rz79CPMYAf5zi
dG8XUbzKZCAIhvIYn3zcP/qTosys9GUMAe2c18KZSR1KawubHX1VNhM8NPRVC5TX4aEcJuosb8wV
cJbpks0bDIvQgJmMKc740HwARFf0ThMGqB4pIal2KTb5RX4uNp03rrR542Vf4EzAVtjveMBE3xAd
+8JAhCLCYGfmXyJ6RGI6XvpH/JPD9fAKAKd+e+KEVFGMc0Jo4R2z3ml5ZYKNMBLOm/zWEm2OSTgE
Pcbzkh7PSutYmiRe9W569Fe2vJf1lzKk6u60YT2CQZE/DuTfzptdlxEXPFEr5uqnsIabkBI74XdT
8sbuUrfAW9xyZr5nTZ0L0RXgVhvkNLtAWpLUpHKvoPNdVCzVuZfDkTbiFWRaiL5q7iEtu6VXFr4V
uKis9Iuyf3eE2M4+qcxBJpkgllNmXsTEBsxTJ17SePA9edCmLQkuxE0BByn+htkGGBDmY0wlZOSO
5LuApDJHurnpB1/bYZs895hmK9v0A2CK0KpCJNYzY3E+QYPuD7q1hzLMaIQZB5syzr5Nv+0Ft+lg
b3nYN697gQc02nsIWqRdETJFGtd1OHV7aEg+B+07YaufF54VLfy1iDFgXmOTb8R37KGY45AMorIt
6MiQlmNjknywF7XgJtfTlSPMw9g7lHyzu8tsBRb1gix0Ti7cqnGxBmzjLbcPvNFyRQbuxSYsAXdt
MrfEjKp9AG6jLRHjHvE+ePJDa+0Y8iS9eCfMbfhmeKQsskOcUM7tWmAgtGc3AdQQ//HrDrr5SJY8
DoVsInnmecwDZV51fIVrjY0d4ysi5L/JbgB7PfvMBMhmBka6V4qQYM138NNw7uFtkX/D7jFe4jU4
5k05480AnSXP9oJhSvvAfkfP/M2affIMU0LsCxFq6pSn+Gs2y7wJpI7Q4S0HjR3mM8eAXWNTvBCM
bzTGDEwxUqR8RA0LmBuDSrWdJXxfWY+jck0Df2MpCKiZupJynEqre/xcoz3+JxcH9O8ASUKsZ/At
sMB/b0j+EAf98fwfxUFABsLEFvEQOqBfKNVUBfw9/j14+c3VRsdjFzGhMOr8N9v65+Kg4pILqRqn
T5lZ/d8RB1m8/q9gnfrLrhv0Pj8jDkYgV+M9YmIj9O/dtCaYpZv5c6DtSYV4vLw/gEe4BpZ9YhrB
fT7siE1Sp1whLh3utEQ4HW6S9FpCMJ6V5J9BO5q3rr7SV9lJ+ogPiJ0DGoVqEsFmlr+SXbRTV+Hp
frH28srfxst4SabcUn0wt9AEVmzQC74y8rgDlzO+8Lhj6dUcR8Fb8n2e86ugWCrpQdwDuGF0+awo
GakC4BfWYxV1jE1Zm4b5XrqffULZOqQTav8i3C4TtTpk/isrNmWJIhcN8Z1Zb7lCcTFmMHbNJRNa
yLAS12kwUwqm4xv/rESbXHrt5IcgoTaWq5iwq9G2lk19rtWWeDb0DJ1w+OQIZRC30QRnqMdx5iws
MbxJ1nxiapOgomdSQr262p+wBkKc42ThMUfZopRx64dn9MBkh0LJv9sD5nfR3L98P8Bk+ONUglUg
5jyMTLrj9zSJ3JlHPA/gnqcLdqGAaTDs3rt5JcYDEC6sBYZqTK6+fUOd5pESGm9D5ji0c/0jspkc
6xadhsGGhN7NE4MvGQOyvf1Je8U8dzVa+9uHCv0IfzLY6r2IIRVb5KEO3ivKSd6aWC6gvHnFRg9r
v2Fnf7IcwA5mgQHqJH7MXO25Jle4nb6rN8G1H14ZF8k4x3Uroz6FcAtRcDKOG3YtYC2WDojJOSht
vYV/zdRpj5MqBwXfhGhqf1LimaWVL8zYjE14Y2WNz1y66I4cU2ZVHAXhz5fLF6Z15AqCeZGGUE0+
rNiDrL7HT/B2jJ97MtsboR9rHjiuZoQt8n6wdkq5YsZGj+pleTftGc6M+tpGIwZNYZqVxzi9RmQn
d8XChmjip/TGuLMx5jSKt7E72x9jPUk+l8kZWeekzh7MZC73jG9Qz80ObfHO2nyMEnekC7fOuPP5
2ixMZ81Hj2WbuiQHyzUR0l+NznlqccG1NvI1Q/V/X8ZduoqJ86q04aG6DVvbzjCY6tdRR5wJRA4+
FfgAYCSd57NQRzg3Mrz3j6U+11KcFWv6kBCQ2VWb7W2c+lzWEhHVZa0to9Y/6DBXxnxdxr2rXUJ1
fB8lad4RjdJjdJVxJToYQSiO9GrrYzC7tZvAwFxVGlzSmPxtHr82zVvYxK9ap2AnuAyHZMkgSpeX
jNsmSr6xsGNIP7CtEmSJfk6iBP7AKwqeSM7smEyNr6LMJx/pB1K1efoxPHJgjTOPhmJAwNKE+Vdu
eaItRTQ3uYFh5O6Fps3zP8V/dGv/+eACh8AA1cGOFnjH4RqHwOqfXN9wPzOVb06yiWH1/5pFCVz8
9+bnt+f/VN8YHAnaskNC/Deq9hMjAXWSys/gHTCn+oWRYGoChqPmYjlK6/Rz84Opu4yaCIhKeLv/
vVmUyGD4rb79/NZpwX6tb7HpZzb55M3cHCav4eFOItEzi5/qTdAlv0jsW0rP8VV6Jn1gWZ+4CUz8
VbUL1tVOon9QZ81O2YynaG2wqjXxq3LLg1a5EqzWq7bhwSbZ6JPspTkChgGKRTOTQENhzCl6fEe4
Iht4d6Af4UuwtkkZJN++ZX7O3AeNxm2JrQlKHwI3JpAVAi8Wi0+We+MZKwmcuKYNsTYTfGZgcj6T
Jmef0ZBD4Al29WbcMN/e4c6Ro0oln3pSX9tlfKUQIuI5GWvlyTxhnHyfZ25z5KYJiJ5xi61eiP9x
evhi8MPm2F3ZgiPAXZabruZCbuAGSi3CctrxOvnlbiurUlWXpAVVzZLEd/x8H2n0YLwZ0lyJXYv7
1XFIrwCatTukM6N0c3TrzME2Wuo5oetfRir3fWqEnoaZSboZCLPhBo0kRjtw1z7c48fSS6MlUCRA
CXdnf0W5f+5lrzs4U7yvpoBIAILIkllSB5d6Xz/Wj0vxyVgzm/e6rbGu4fLN5cS1cdl3QXNoHT7J
UKHRheQ7LjFVaY73afh42zPboHCoM8OryEHCG9/EStrtHwVjAW9TDkN9aI74dryMpxGRl+NuebM4
axO6ckGcVeAIoq88HdQRdgNuoGuUR2lGq5t8G8A68mN7rcS5wZHk99iiRDOkkRxi4ZcicpL2YJb8
MlpTBCn1ykk5CSfc5themco0JGFvIJFE6wZNl9cv37OXbmcCFlIO8xc0WCW7phAjSM7lAodZE4tY
Gl42rc40f8lrfrvT8oLCT/bAE/rleIIjglZs2BHEW8F3wZO1vfKD8VQd4X8oJ/NtXFLHAwq04S95
T8LunPfL+g/NpY87Oj8rqDRHDonYWd4TJBGOF665nH5shM11Ox3tMWm5Gx7Nigi326DCHL05mm/d
kQeE4aFfsgVyy3lPgMy7lkMfahgJHWmjyz58gLsIaJB5oXwm4XuU6dA9cjkN88VUnhrlERUcAY+c
Q6SPx0+Knh+yAV0ZVGp+3NVbBRsGq74ou5IwHhrWiiStl7t7oxbBCN+oWMYAn5OoGBjToFkOS+N8
W4guVj4R18TC4D67w8G8DEvClTHHIU2apQXB199h2M2B3J98TqxUTsV2Fi3rnOgh0Q7IrJWt2LgN
feRMepJ4UeFOCzWE7SlbIp6Ms4GkfgHDYnztd+wFaxMbVTIVkVBu0TeTMjx37uaERGaxvL22D6Ra
8yhNXzlofZD9zAvtQPc9aO4ZFp6F4of4rKaZrYh0zuekRZUrtmI7C5S7MB43PJkND48yGnLSp9iV
ft4cbICbe+bhixRlxpQsrthxCZ1yLqRJibV1PVX0FTsRVqzdgQ8Rw7lEbJkL0aVyUHjt7pE35rWv
5UNKrPRblOCyqpBgvW3P6ro9x6t8Hq8WaD4WrU7N1t8jcx7P1HW6vzO4QOe919f5A0ujTzDjdTvH
XfOsTtp55L9apFWx4Ke75+8HFIEvObpnwTVkaLfu9vBd6Jx5K93+bs399Zn1hDii9PlH6DgIRQTU
cQRbodcmk2oHNADowe3khWPPH7U92gSOQwKw0QoQrcl3EGRPxJqDo7pxPieAOTZPKWcTfFtnyt/R
XtyyVQF0zKYQ0nN0nYvxxi8AdXE1mfEXx+UWhRtKe+k+1zfNYTiJKMd21wJwY+9PhHq7U5HeaSI/
61BcmxPMMVSP0opZyKVnyhC8OF/FqTjt7qfoqt0m8TE+3k/GqiFwbNvrjgi1lk3i4yzBMHtLA0qN
2sLUhJMd34gD5RJggVo3Jwc+kDFH5COxfC3MVV+UO9bHOEcDNTPknGBO3JHcMFxRKaDYe7O9Sse0
18D9q5+GzrFs150JBaiZNIth0S3+wSsoHHmw6BQ5kNAsYcr8D4TAYEXzywrqz+f/WEEJWTX8G1UH
8SX16ZeRJWNHjPeAAlgU/SoNEHJsuJvCao+55c8LKBxvHTBlG6KP4GL+HYDAUv6gJPyy546gDf0M
EAyZf7OHFilvRExzu1JOBHCoO/NNMCXFDZ5osVaUQ2BkPnAgHw3HM++P1AM7en7XrC/4ho3xgBUn
0LNLPaJufduCi5rKjbxkFmOTlNrt2Bx8SOBaBEec1YNLCbE/w5Hi+m2WPtiBe8d/nHJ2u719259T
gfLq5cYOgcRyZgfcqxhAYuRHMZKkd0qeaMTXvJYwbscwjlLF7Yyy8P2BVZnE2unbop32VKrR+lbq
kiUJWxtcil1/ZdEkKuP394xWY4u6CBcUi3FpsKdyWMDoBzpNzzaX/KU9ASP3yXlQYyiYr5CGJo78
tszBN+N28Ia9oy4xOC/3kJ7mFXQ6I97ibV75x0LCXqMomQQNR0eQOO32dJPW8f2rxBIwIBy7jo6j
7XEx31uCAsnFIuk3iqZqsAh8YrRu5sxodqnp6phrv99fU6uYDLdrZHnwpwrjSbkv6DxjBS89s5t3
wadk40qXPjaOQ3t8zw4RsoN6T5wllEo/fxuGeVvBtHQ1ujUWBvbeFw7vExsf0tjtwkNN+3q1zvnO
rg7RY4TFRTuR0lnQLspHvFRuCdKBpVRN7W6iNgviiZTXuJk55AF/1Esda32BG/CXm1net92el8yM
db5X8IMvWB5NERP0C6I8d/3TfYttK/35Bi+XdDoar+k2/XSmRMO0p+gzV6Ys92KA92m1kT0SSMjg
vk95Ek7viCSiqzI15vWsvi9yUlRglpJQ7U/h9NuzOiTa0x2cjUKOBbVXf1PsU7Lt+lUce53IP0HU
omLHxgAAFHxm5fMa4YT6dAOenWTJM1JuBr8qNNv4NinHY37bjsjYHwLNu2/9Q0CZgCjDzEQ9RHMt
fsoXsWd5NOhFzSqnXvhLjevqQcVqHKpxxd3bmfgvpHOzZL4noBW0yZ56dR7CXfmqERVuraQTlM7H
ftdX7yoeUSOeq6604x0Rl8n6Mc0eVaH83vksxVWoc1yUk87f0njY1RJKUTgsfOq4Ordu+JUQUQlE
sh0/tYGFltvTXEubXiM83iUtQOS3NM/xxQS8b58TxGSWG9mL+7gGr7JnabvDeHB4tKNJesK2Vbxj
e6b4rq67nCXxu/Zw25UPA4NhsquKyUq7JFfFJguUmObgebyjaJiY79JXgZ0W8ADhsejvx2k7TvPK
6yAA3uY3fS59ljexVMLNpWUJ0L5pr4AY5oZRv4YtD2485bUL3Q723AeOOLpzrKuNWW8r8bcGKcC7
PzSqaXqb+ulL/wXhQOnOiKg9dOb66GICStPk1cmB3k1fNPIx8u45dmhkJeOMuPGHjY8aNDnk4Urt
vrr2YA8b2ECjvbHvi7p/4DFtfxrVdWPsS7CxR6XZ8zO2XtXrfM6/EPIPG7Ht9mByIToPfbccopfk
EbF7MzUjj4RzIRx0sD2xUhXPH9KEfHfIcDroHyp6v5wDCd8XDemCj0GaarjMeOVcn4f9EiKVhRl4
wUxu23ezDMmGuZXBdNHIv9Zb0MfJfRE8EaIUxlezMKdl8pF14GtbWFcpRAsia8/qu/7O1K+f3F4D
WTgDK/E6QXFqr8xipi+KfQRZg/mz9p5gpaR8mmK5oycugGig+pyI1yLUpkqOKZmbYTepsSLqCMzt
FpUzUzDdXNCtBtmWvQvAkI1dNHLa5AvFnPo34Kx6zfmA30tpSghVJ3Y5b4cTn3sAs/Lcf6adF0lu
TxpuD1XMQfsjXfLerchx1cKV/m4VPbbMDWdRM436z0FfMhW5YXMnry1ifeBY0tKS6PHe1PAo5jhR
s+/GXgVSkjnspT5popfh3YY0Zhy0Q/qevMfTheEurCu52IQIdA/aCXIASyR5N+7BmxCt4SRKcnF5
FIGfzKIw/QReZFSmLqX1tzQHOQ/BI+Tr4AR5Du0vFWY5Fqu09OY540xEtJYOC7NYV6t+r1JaANYf
5B2SCZAAl/m+2AxJTmya6FBpwReUcl6BXUXFSBftkLnEZEfdAmjXsSSiwSHtFXLpEqBQv6Trf+y6
DfNDUgVNx0BOL9zU5P8+9tdxcPxl3fZ/Pf+vdZvyLw06KJvXLfX/U63/Qr6UfyG4gQ/AQpEUTuHQ
/h8uqf0vDVBMBHTLqmkbBlDcX5MdG7NI2KWObf5FTv0bkx0oDb8iX3/s+m+2b0HRm33VxlT+lLqe
lpe4HkvUkZ+NDRIwt4z2ftHKWpmamly9pWO5LnpBrzR6Gimrd/YdXpqupEofvY/PeJ7Lg1cmCrln
+VLHMcfk8ouIQoMiyZVFA9IBh4XO1tEbQqHSqZyrmKbrLvxrV0GI3VLNM1rHJADqisBfIsPLEeoX
YVlPRjvDQ7auPDknojeAU+U3R0lhYix0pKW/dYxFMShT/N2MQFu0CDPucIacionr+HCn0VSdiY2w
P2mDB0t7a7jcIzOYF7mPH4vWzFSEQv7VUC6WwTilqQ+j3+GOS7AcBjd943ODlWe1UWLa3kIdl7BW
RBtR3GMYOM+pKTU0UdYdBbwtTfX+nrCsUdYiWq0LnXR+b5VNVGc4CFfhW+6U47QPfexjzWHhqB2j
CP8sN/0sK+OLpiGtb1KvjJulPSRA2fl4SWN9Jadfo5pduiFeNeb/4+48llvHsnT9LnfcrIA3gzsB
QIDeynKCkIUhvAeevj+oOjszT3VURU4zjlJHqSNSIAjsvda/frPA/irfanrl3PPPlkVGLIjk6pRt
VxjHSgkyPKavWnQrlGB5V4KVD5YRCdAZDOVTFXpnwJBIJjxMHoerJuM4WdaKS4cDmXiRH40pkTzx
3jhNoOdW4tNLTyXsM71a3JeyVnxPxUzkZR0SonMrvPmaeZK6bFX6WIppyn4hAPUZQeyQvUpYcmxA
t8jvd6cORenwt11sfjit890Nr1sSRZad/9Akzhbuf2oSIer88vjfFhvstzQdd0lV/bEGkWkvf1ts
hH+IOEti3j4D6r/yWjWMT1hSFPo64Pk/LDbaP3API8eF8EostebclL+w2Cg/JrK/coz+cOgmx/fH
LnExqaEWdCZhdCrkleis9gMeb9v2Vsb70X+RkDeBNgIS52rhqDtaxmkCiSaaC09Up0reUuoXdPB8
ozWxDYGJiDVENZXW1G2GtYDHH5zS2n/RuF2xBClc/xz4CHJpFxk/koQSUmsC5WJ2t3AQVJj+GdtG
uorJa6VLlc5Wgh3T7a24MkQQux0KucnD9pkUdRyZm4NY2lq30RCSYIil2CadYuTAL1RCPi9DzZqI
CUQpIm6wuqh1DsmT1hU5W+1rsY2ibWmS9mVucVhhShbNA9rila7z7q/GcIVB4io8Rnj97RQY4icD
XxMnpE+QVqO2isNd+wExvbu2+Obu5e1DbqfMe2Won5hnCvIJfGYBepQvIQBF2k5ZE5ZQu50NJo8p
9+KNpIlktBUfSB51GZyp6ZHIRoR3NMkg8XfE7JhwJmvjyQ/PXcS4M++8oHsmJJE0qLcMPXFR+0uM
t3HA1F4V+aRh3f3cvtbwjpYBQ2mkb7JHE6jXDj7qjlIdF2/PO1o0fsDu5ZWQH+90ef5HZWyrA0gm
0CWpgm11BJ+UOruT96+geHJ6SJ0B7XkvHc2VyCrqkE3JZ+Km8uESEv++bGkmBQ98Uwi3RFwAz17j
rcAsHA93B3Czk44IfnBYsYbKVon/xF70q6QzfZuDIvHATLZ3LALDdUR3DVhsvtFiE3KDY/pBf+NZ
xP386QeoQzvtaIxwae4w8uzswAYjRgd9BPeFhQSaC99otrqSjjQf3Rnt3El9DLDUb5d0TTwu3oLO
AiP/oKygpaCB4Kf8AkBEXnp7QhhOaukJV2J++gep5QGqPb8gmEN8jyhFQkDgj6GixvTkypPUJ4xt
YgtEjm57BUhsuJC1aGVm2DIhoZFJKUgvcDKA7XAAUa6ktcTFbs0/u+Kb6QeotLEC7+wud+4ax3zi
HREe4Ibt9CfQbhBM0Mn1pju3KTgl76P+Nh9stuQIrnCn4G2Na4azir1pTzwzALHc7HFO0LXleAG0
aV5L4S2fijOFbEnP0GDfBT8QuIavat+5c0WJ/kdKSgiVM1jjxCwmzXBdqU9m7W1H/CavUZKvCOGi
zp2R3tzWi8uE3cBciSxUR0zWintfx6KnKF4OPNnhAje6tcMF45mPOmCxYN2P4TnZE8x8qx7La7aR
ESbS4qqOjq0+BnnErIE0hU6V8nwrzC2lymvujpCv9OGccUeNMBF9ly7WDF5Mfau0aD+vA6zwvfR+
x9WLwNKVclBP5qkg8dLOhC2GfsGzEe+VdLUlDoyqnEA15nc44MyJqy9s2Iye0q3/BcuYS5uEMU5Y
vUEjW0C8IjAhm6v5v3Fl/rNZKqKGMbLGAFmc7an+LedKo779dbP85fF/2CyRpvPEEmX/n/zYf/bK
OeuS7ZlNc55z/y7yYjKOPFKjLp89Wv6EqKqz18qMtmpkMgGB/oW9UhPmwvvXvfL3I5eEWSTy8XaJ
sqD+//9P/C+tj7Qp94UWSM7yF76rzSmEVXBIS9CtZiVATRKhmwOhhAgBWvj+yJcS86NKFMPSFgT1
hAi2xZXP6BSJ9sN9eIESWgmXMCO3dkAJbVVbdRPBpDqiwrgVx3F/jAjUAf2MMidn18WX0lFTN/ru
kWYzDm+fyjd1q24plo8kTjCThtxD8oOvzUQkakQ8Hce3BaMt8mObdVtuSYmYcqcJPX/Txoe+X9I1
CJ+Tp+4baYPTkBWJbsDkaniXozOy7emQqb2T+isxKm30XOiL1wzPdvzRVKfomLDVwzvzvmhr9BdA
2tm5wljf7ZDUzWidWR9JeMysZ3a76rtmGnXCipldqSYihd1GDNBAvIwkcd5iDPioPmr5pHKesm0N
gsYY7KAumYXrpI/w1zxGJt8Qmchntk1RICBIfwJEIvWJYSPbIHNIP1p6KimZsKWe+8jLhS1uzCS0
nLSTSqwJJyDRH+R3WFmtnVQPgeQVCV6jLzkOLL47jsucpcUYzqCu7d3Bm0BfOEWDp4ujpA5s5Cbb
xw2hk06kOpCIZxRlU13rx/stf0z30Tk5ihCXs5fiheSjZb3UPKw1AcUMV1W8zsADFUt/SAV0V6gA
BRZNo7jgpcXIVc/IukCXkK+GC+xij0CqAeIbS6/AEsxWiVt1xrLMdp2wSDc+/YJtsHDr4pKvKhZz
dkt0eedKeGtfOWHTxWAaBusa87gIMaLLvlm+su+YXynvA3uHml+ZENbAEFQB81bHULVx7y/6W2Dz
+zZMTtnyhIdKJkmY7QTqq8NEs7uYTz6KlOHAlvnD3kWJSyhmw0w+N/YVXNflPFGVLG11PwZX5DCE
Ys1s3myTkjqGS+hnNcy7gKO3zsQDkaBb9En71L07yra+1tfV/Kk+6sET63BUE7F1IJvKBpADZ4FY
uHhqlowuFmc8p3EDSMkqZ/x76Y/dWRtOlCWUKNFoza4sIIt4Sufg2sw/Q2zaGHmHOwoH0yM3VMMU
zYZcUaLQuhg4XceORpk5QQLY4EOhwp2o8G+gMMhEoDph06evEBwXFJnQoPAGwBSUK5FKJGOrzsTr
FiYVw1rE9dVSuEFgRCDCa5iu5OsEitvjsg2vYTgiJkle8FQKwI9uWcfmtUrjTSxfiPNU8xu/USjd
mf6Pgix5gWYB5ISshACimOSccmY9CrfgG/gK6qQO9Q07IDAukC74JqsCDOqf+hfLx20M3jCxS9nH
Ah9dAc6zzhl/4mjk7KHTvah8BxbjaZG/8Ew8RVRcSxykV+ZKjRx2SAbrq+mKrQyw2fzSyFJlM8+s
OQ5Jx21Kl2wgrZmOv8w4XMqJ1pqxt/Hs8BWJnK10zJdcyF3vkadqjZdkqcOehxxGct2SeTaKHmUH
E31LXVbCnMNkR1srsSsOLsxotuq2uiQMuU3bpYjhBDKUoArBwA9LqCOHrHe7wSMuxUldOvg1oicY
o0zUa7Su+0g6mOKKZ37lzaIoUyHxPFEdle5sV8qwePqcn2LHy6s3HDfprWCZ9fFevKQZ2CwzfWkd
7srqAoJXudx2JEXi/pQeQzJ5ckh7z8NpoT1p2SkQz/dmxwkcu8DJKMDD94rJr6G4Ay/YyFObUZGA
ATdkUrKA8DgO5hDX+3PG5b7723biYF8aOJqOyFTEU4/x6r8tLnC//XMn/n89/rfiQvzH7LpmiqCJ
vwUz/taJA/vp1DWAiP+b9PhbdWH8g2IEmpyKA9wcEgE08Dvsp4pz2AtWnf90C/0r1YWoi7+UF/9z
7DLxEfgw8PJ/KS/CRAoKTS4Nz4lmB3aNBR/HlftNMQ/lol9KwT7NMIGBSgxpVS9exGkLZWe5sEOn
JEshXc6GLvILNi8zmwjuj9s9FKRyzV/fIUDAVl4TsY1hzaI/4NCZVzvozQvcatNhCWnsPjuawQuP
I7x7rBcqAStxp1UfXBPNw4QSGFCItyZOZP03uU4pVT7shL34DEnnrjq5ZscGwpzrOpXcIMBixekE
q5scDaaZbzNbYnan6xiT2QxCVdIIeTGX+x4H0zBytZN5GBckFdhoRRlBsgiby/FGTOQF8nC4vhOO
DdlKg/92Ik14OI5nDLQaPIuL2TuOZTYo36drSFr9NnuBGc6/qhiFlQ70tAXuK4Uj7AHXubdR5hXt
ClpdMOOgDFDhIE+vkL5N9/0BIQ7f4ZW/sOKiN2TJZYA4MzcOLN6i9UM+F24sY+l2PNPu0kN13Zas
ZjzA+jMav+lz9DJ09vOCgFCQFZ5VrT+zbLI08nTJC88mftJWsRJiBqbd5+U6+5g1irC2l7hZwmk7
Bt/9eTh2JcZ3PB4TI5VMbLpCeTO8aR/xU/PcPhKmffWvKL+Q8vTX7kb1ltwE7OSqKxVlwhN7xjMD
C9JziI7Y6ycRh7y3kBiHysrWI5bURfxNenWIHdD0XjMCszD9aAVPu6XivmVDx4IuNQjRfsS3jhXf
QnbFwIbBO85JcJxdlldMAWmd2JR4ObzkeYv4GaywMdAzjQONNS8/+Zhd+HgoJ3Me95M5AAkOpcKq
O0EbmGPXocm9me7wCXt9JS+SNQPrSGWjtqIVLHI8Nb3QKVYKiAPFVLxRv4hFOAUnsXnUjO3s+ySV
8hprJi6AGGQAayLwXf2aE/FN2f2mFKToDY6xWUgXcw5IS/1nKPrdNZeOMKrm+Xi+LBwMDlp8Fxog
Gd5MZJsyN0kNZO1XwOuyrflLf69446bnj7ZvN/kSFAiRNxJdxjuqY9gY7vJfu/LterXY1as5po+d
1Ube8/OHxtVmUrRE0PpSPvVL0l3wlB7tBDVFstOvxk27de5iRSJfApbmkGboNLllHhsGbpb6XB2x
4CVMlYHTatrlh7Dz7jAvYZUirkuOKOSqV5C0+INEFVwBqSsr2BUL2dUKyB/xWuyZ4i7n4DMK1e/6
pXdTb3FTz71LfsN+lvOZ5/jgH8NLcEofJBff2YP6XbUg/9bAUPGUXEIcqyx1kz68Gh/VU/SAlfg6
eIjf2jOo1UyIJO7sQZ+2rD72uJxfKnfT+2S1j8JjhmgtciA/ftaCzVURuJUOYf2xzJ7GHwUvd41w
CFz+YOCNidFRe1xgyifMERV8VCYtkiXceG/+GSQ5Xadjj7dGf9BJj+eVRphaWKmXPlbHYLM45JuO
QYU1PJvi3JtsutM62ODOtSJ11dY28cf9oq+gxtrxqX8M7WCVNMvygJg+so+KnTyUBFbNyoTIig75
9+RCMuZd69C7QIe83S+a975ovxGrl9bw0rhqPuthvsnTycOnFIqIsRv6nVIBk9poF4TbgprFvhTv
XxkoWbeW39svKbjO52x2qgd/sfsTKbmTCs1kNnfsTzDDvPEYkCvJQrbcFUsJygaAj3GolI/Z7QIl
t2Ez4+mq9V78kFELInuw+m/yIhdH+WW4zfjQ4MFPfAI1xYPy2l7JUpz2BKrrNuscBm/+FwsrSxEV
ISuQueptXT9WjbYthQeaSW6DQH8CK8xW1O+oOSMk08Bx7W5ArfzU31IB4y7xMGTVgVkQu6hVctXO
XmSd8Yx5VznA5ZEEQuQ7maoyeheg7FY7WoTMmkVA+QhnDm9JOsXFo2mg/wOUBGu5f6trVk8uErg9
YKQwWC7JgN2aiB8CFzc0pfnchSifFlZ5yE5QIa1xOS7TA4zszeKjWBOjCY8imRvixIes5GarqN8Q
adlVbAHzB7OwysDa8tLTYMPggCmLMqSz9NTuasURd2U7sk95LEfCNZ7XCFpQpikE3kwovf1dozmz
LbVooSKnX5NvwhHv6fqjxWrrmiGgEl4LTpgE+KkhrEKYiEE001/Mk+mAYD3ClA2fJxpe3x5yR5MP
yTs8EG7S1pZHBnSP5nAcZE/nfdWQ7BbzO46zKuykJz7h+2JcG/UFJkueWx2jst3itriZe+GDKSJP
KzPYTvHbXPo34OXM50ZoMBF3mJ4luVM3ggXjQsWsIICXsSZqg7BLTxHcJAi2tHQFsUXSZ/ky+2nz
0pSH4WzOE3rLTOKtqjkk/SQwGlGfGhUDqxWDPfhZEWqmfjUMuT23kZBuHxv7Mf1sDvUVeJId9wsX
v/7HsuwMkEnz2V36z1mBq01bBJOyB6l+vlyPAedug6NotJIslJ3KDvML+42zZr29gZxau3Qte+kO
L4s9eUQs5CS9d8Km0R40AqAge5DNGjoo7Z3SrvcFdsoMNHNL4XJfg67sxmP4DZgwB0hXNi0qyAeW
prgyAJ3TRufgt8DQRB/T1UH7hh6+pUTJYMAWxPKc7/0G2esx8sy7zcQSfz2J+BHCObr3RWB1zxCp
6NW33TslkRFbfM9fp1/rxYWaqGms0E0GWjh4seadMQNJEXZerSbFJfGIGfC+dbC4GFme0518BkMO
aMT3vNWdajEutdEjL0XSt4hvhXFO5cQ5gqbgik4Jt/xENgiM5oPKy/2OT4ULgeOlmJhmxCff45Zg
CeufyFydbOV7eA1wyENSwLK1zLd4+cGvOhmURM/TafoEFaW768/ZBw0r8tj9DxdCexxO6oNwEC7i
6VNbKpfpVXfE1wF4+JKtDa/azbLBwVW83g7XFUWOoDkZ4SMEf4ev9xqJxGeLy09plbRlOd0ll2e+
7LhRkALpbOWUIFb1iTBDgpa1wZ7R+IR7BS0KnGsbg69jevc5ZuAxO2Y4IsHZh3hWAxBaUl9App6m
B1j9YmfDnW+CJ/+LkoWe0W9celI/NIg4s/0al9/h1BA5HCy3n+fz6vv8dH6iZfaRRWSuwIrQcnxQ
PqIm3pjmZoh2Bo212G8NEkzRcu3ZsqMng/CIyRVgwtzXwSp/Thar1Hcg5dCcGwd1be4WW4pQXNM2
jQyZjDRbrCdrwfNGA2wFpmAKI+6z6R2lQP3NbyzXqNd0fAuFK36+zQYrMgwQsVb8MWQBuGA5YoVl
pHQvcQFmkcJ7pHNkBJ8P8NVYrzxi0kk4x014wc7SfMLKdlPfmnftqXKptcULa5fBXbVWPR8e2wcv
T2mhnXmxeWJtEs/4uWD4XyyVEhnMWpJ3KV9IzVJ5YJuSNCvHFQaZfgCpPpx3RnWwyYPEojGiBI0G
Cr1oe98ieUiTOZ2lgpxc2cNI8seWcANk56ane81T3sFHy9fZYXhCLmEdmMJbr/pG2sG4Z3x49zTr
qnDHF9aBqsP1IRzY98/gM+SdVV19XCbB/p4dGw65cwTpKzWh+mM3AL/BDYx13bBjxGvB9bUPXwRn
FNdVtJfxz9bw8bc1Yx353sKwUwJAOOzTQiRPgEp0gVVPu5J7pyfsgwrPfEs1rqFqTW5Bqk6OyM/V
jLmMNaLI6BMmQdsRtSzs8tNiMxI0STCD07FPQ7xXP4Z0iXnCPxcgFbFCeMpC4QmFa8k+yU2nhQ8j
zDeaGfKtuTJYHbKXTNdcQzo1sPULDZ5DbcOrQKQXX+bP3dPC8z9w+3rQR0vfZIfs4L9MTya/PFy9
tWuyKDUrel18Z6b9Nse6UfS7j9h5oW156kCPmMA+xvj/dB42Loc7AUH6Z9ScNVd/ou+AAALFj8/I
exk0YcP8w/EXsoeGgJUPAnfr/Jwt8b2sGa8lS4LOBjwEwjXGlXzdH/vjyNBodjgAfeEto+gFOJJu
gE7TcbHNPiQ2Jv6foYs3PiMKQLqIBQJGfgvj1JaryjZcVv7OcOTM0+orkb2QGUvn/oJ64AeM41+D
1B1Yft94OBYEWhOvzCL3cClQDIoT2KLXAisBRpHf5XEY9iEFpYNNDvYaLGnwjN+1Zx9xqMDPLlE6
bJs97jD7+AzZbw9R9hocMw9586V9xkvH9pftNnz0l0wpH0R8DXKgNFuF5TVnvWiXxQ6/Vd9uRLeD
EsaAFji2cT6T3B0Vz3wYYuv+rj+w2HaqbbeiteAix76gGNfG9I3LNhtQEB24qRmXXesXIbFJ2LDD
A+Gt0/cwD8UoTxzRxjtHJYA7WYcqVw3BdozA1ScpdflA+2lSK7BMSzchEDZhFOPmdkzuW5NmTZhe
uZqp9RQKEGM6C7d6w0xMwXYKEsyWSnCx1R6DA00R7u9H4xHIUdqGuKCef5wTJFwPgDzRkwiwm6EG
8OWMmmK2wDsTU6tXpCshPFsC0ormcgJClu1wEy71tX4KlwhMiugLeum4+dtiXjOLY04K0BFWmniD
/kfD0Zme8qeB2r8+/jfMC/YJgTQgXlDBDGLX/sw+UTBLZDyGPOLPEzUMRyUFjzNVkGcjx/n3/YZ5
4aiIHQ6cPAFrHKIH/pJGAa+dXydqfzp0cWb5/XGiJnd6XUppSdTNVbyCoRK5ZKuC1QS7QfigcRfw
Rqr93CURJr4XVtJuuysyD7jv8FC1Qz+8lvd1cbc75VGgClBVvNYHu2XjoalpnkNQZzxJDBjCFFBf
Rf5SUthG0AQGlHsJ4P87xVgnkaCMZlKwTqjS2OoYL2kQ8IfVCHtN8dKExHIvxENUOwrQKIxiRzyO
o8r+cpLmj2Chb9vHsV+2jxLxzGl35LnUZ4SMUNQpahJsxFpw+4K5ngFT1SPnrDnSH/Zs21K0gvxW
2NWxOiq5XWMPku4fOObaA226QYfH9UeF+w71lh+De3OJVtSiucqAHLk4ailY+ZhTLyz1IoqECDht
thOVPaFUZOAVk4NzNtH08vmOYeLAErRRXILUO+2c0CTltllt826noS9QNxNse2zvkW9xAqRkWzJm
NNxOu/U53jXytDR6uO6HvnislWvCG6GzB03BSuGUaNB8AB0MlILPOpk8qjOU13J4aKOV2G0EJvQK
iXbw42jHlbUyPpSlToEg2pgUybmdUILh2ui2Bkmdd4FFfnwecnz11LUvhJsOdDKMwkMzvIrNLQeQ
RJW6KjUv2cAK4EEDPZdHXd+/YLkHHXFNO+OnuzzbZePXlNMym7mLCqAE18RyLj4sLvIhDBlaLMV3
LfaALxfxsf0SCjcfGdfSNQkFtAyRBpCMt5JIy4CKMmKdm+tWJ0b5GzjlCLQx95rtgUJJB2GEPsyu
9yr239H9ADKKwoCyIos3YunOIfT7aFc7raOfca/rh2vfP7d3txqOSrmSOzzmYDGO0y5NxF1fmW6X
fKXi0+RF5l6MazehKqKJ6+N90CtLSXoaj6pu9wWwa3fAmSBCoKKP8rr3iao436eT3PlOO6qHReZh
YiQbL2k7HSM00bhhaFgALMh/ewwKdAXkyCCtMJa6ijQQJ+1+HdLwTMuFvlz5h1zb3OVVuIfY/K7J
qwBn9MTL0GrKCDch3NzGcjn8UHtat3VN0v6wEI3dDi3GXjAeeuWNWr6QvYHaN4ZuSLO9nL4UOO2K
RbmTc7kz83ST9eBo38kLU+XIhW1Ogc6gxja8+4HhlRkvERiB4XzF3YOxNOzkK9mP6o2iIsbNahcd
o2u275/9Q7LvSa+yCvhmdrwRSH5VtvEydSkYIAkly8ZmBI6QL7DDVfU2LJaEFRYfOayedqXTqtXQ
QIlMmDft8rrgexBNRitmObma9Sk5ge9+FjiphKcOcFubpd8mU8nsBLQr5U7E4K1+Hjji4q1QHYDY
+mhsubyNI+pMRDu+dvGR8HTBl6Yh0KJfCX94LQWrBrxfgSnRZ4IIKLs9ykiCEuqX9iAgE1pwDsRg
FUckPlK0cDKyDsm2NdIzIDLSERuVvrOQv++LrQ78vzE4e+OlQJwkPxQLr/Iv8MyVeF9BsTIRMpXH
WZsurcfzQpjcnC17ZQhvwbe2T7fhrmpp8LYYR1gj+hGs7ey+v+UKfXJ+aK3AfO0kAElEldFpWFCd
xU5gkKtHEBYA+FmjE2heF9oOF7y/Nb1UxE0BTwRGW/jFIQv8t0MtGc7nrxv8vzz+9w2ekgGOi05a
3Oxhx1b9h6EWsUTMuxha/RDdf6fMsMFTEeCoOpNdcU3m9/2+weuw2E0S0ylEKEj+kkuRpP/rBs+h
o5CcPfZg1Usc3x83eDWN/TSTJcp2Tcvqiy6G+ltcKA+qP4e3Ku9YtyKNHZD9tDDPp6LSMQARgXe7
oC1dfuKadOlFCJk9icOEWV00MOdPhmM/3LEmi0pl1ajiNc2LepkJwZvuc3Gm8Z3uIupvfiTWqOv6
S9FH7So3qv2UogIu9ELflQZ0AzWmpK0C8qYT8zSGCeDbcFDU7JhI/j4SfZTM1b41tLdKlG9ZC4V1
IVWHtjYwOVL2iQLCHEU71egIoA1GN4pqLzDKzk1k+SpO4aW+A42HxlMiQ4LtMu2WV4JX98Yub8Hj
OiX3ksn4HjNpHevI5RNiWqklwimmyw3vp16qLpIO/7TO4Ggs1n5SkkyTM59XpqVkAPQpo8kQB+MG
bD4eMnkAa0rpK2QIlnXGuL9VnUAO1qOiPE16sRa7DP487bioN2ADov+mtYGEuQ74OqXOs1L2JyNk
Wa775FZk/Rt+zg35pu1rEomn0NSOfmnYokSb3yNI6kjgvsPA8/1B4NSpt4WPR4DKphj28VZM8l0L
ht5HsmdMxoXDY/thyo0s9SK3+C9JI1BlTI5T0WwbmmwMmNejka6IZtuHXU9SdvFsCDS9MDvqMb7o
jSy5eUsgUyPGPp6nzMvS5kmNwBBbUbs0QcWmrxnvQlOXy0bEZa2o2OcxM8bHauK0hJ9mI9Erq1hc
hMJSTUsMBTW3SX3V0erUG9JgpYnlsWkA9KPpyDkuXVE0AnoicKixZ/c2p/K5DSIusQDV9n0CctD0
eC1H4UZb0DGZNJWLxUatIFywO6eKgjuJHPY2Bi+1E49V++pH3QYymFcmFYCkr343PSWuFOO2ahIw
4ftGalcdeBT+5TE53lEsooGtHvxi9FohLs7tPQcs1vOSIoLT3dVpuxSFIXEjtKaDp2Wj8miU/ncR
DaihEvktDcPXoVIokjLlXQtBdoa6OMlmWYPzsr9MAS8+G6dlFSduHyfS44C8b5Fo92mltcDE0WCo
llzo2FRARLvX8eZ+R3VRmRMRfIYML2dKwtVUEY6rjsGJ22s7tRGIulrvZsVHE+R3uEvBgOZEDyGx
JVvpzhPLhPM5iThFiXWXDfxR1PLdzEbXB1mSBG5JsU0Nr4408bOTgPk0U7yUcd6uJmNQBTuVcOlO
NLNo3f/yF1qXc3kLnpHwhonlq5ikIIw1oYhZiKjFuK+rRfkwiMRsmH7jBFiSf1Q5MwRDg0XKq8BS
RD2FAaGFaEUGpu/xLdfN5jvvxQ5H8ByRW7c4ERv4dzYl+hGWo283cQ+SESP8p+3s15ikf33879uZ
oM4iKjrBn4SMP2xntLKIHSRRI0KDVnluZX/jaMxNKeROEzGXORsWQTj9fTtDU6/K8EkkRfjR6P8F
Bqgi/9+a+v996cYveXvloBrBWDOkShE/4BEn7hJI5oxcIXMbe7atUbBniDi44/O4fJkDgr/zDd72
yyqb03fE4AmHuTY9VGilp9XUSpbxqr1Wz6xzD4Ro4gQ2Y39c5JewStyqd2kfxcaqz8Xn2O60n7By
ZQ79qW0cvJklzf8OD/9+iTCWeytRzc9p2k11zMd1xL5aWoyX/H6JBLtf6uCvxec8x7wUTJHO2g2P
Lqd8LhzdeiGLzBgtoWdyZw/PzTbwlONdsgbTa+V1jA857asreILnM0h/gYSdm3C8aJ1txFhYjc3t
2xWBZkiraoWks1XLYbDgUKloMkvkr058Kx6JYvbatemV6+puje/lVdvGmoP7R+8yj0RLksOQWNXr
WUTyxJZQXZrzQOdua+9XQhKUl2id7/I1nhmv/Wd57GM3Gx8IkDbUo7AarWqfAinZIYyQ+5KjG62F
06jxks2KsXEVnsS1oWxms+zpJJT2gGdJ8oiU31mEpBdiZZDDbiV6gWWjhF/J7O4l3mUQJljESO8x
7ICBRiR6OE9bPZ3qkr6+tHSre5yN4cMbpTb2oxdoGzTui+4AAiEuWsvv94tg8KYxPZVqD9Gg3OXD
Pk1yfE0iO6fSn8Dm0uA5R2miNgCXTCHnuSlUAUiTfsuElNg4hv4sY2gAlWawxREyBnTG3twN2blP
TpN2FM0zqv227iCYWoKxXKRnQmWZIBCznjHMTNzgoHkdNvNMMJ9SjHvOA20whraBvuub2ebd7879
9NLAURwOgRA7Ijbq0YkJYE+pH1LxWyOucVRZeXSLbComGgOTBkELAX73zSbbRjschxk21cktYgJo
yg85YU2X/sEIvUJ78EeshWCG6HjGCwXDztn3mrdA2ZCFhLQOKYUUYXg7f13P9rZ4y83fnqJzVc0+
sQler0wapAPeNv/84IZbeIaJ8Xc0M1RHWhbmu1Y8vM+SDIyUcAVSK7BJbk2AYSYoPmC6S52E4ZF0
Q2SRYwGuBbhUMG/mZxgsNfVXvOUA+k+mkogzxD1/KzshV6yMQZCif/ObkIr8OPYg6WCG2kID9Ztz
CPG6+n6sxWckJZpxkWnO4DaayZoPCLWoSGCK8mwRFrTlq05BeRqvGQY11TF5ydp1ajqQgcaLBoVT
jd4hoDJ2Gy/wHeEcyfsakYl0QNYMCYrGjSG2dFhAbRiQbEirIHT5ab4F35Kz/DeGVaXZOFwjdU+Q
9Tm7+z9sUwb72J9g1X99/B+3KRGHfk03pJ+4pt+7rhlxxSJPR2L82w72+zal8i3VBG2FbDjrJn7f
pRTM9IiqoYnDxFY1/wqTEErjr6jqH48cZeEvRMJFnKRFtMhbZEaMI+PrxMoZ4x6wNDIn6JTVUDss
CfQPWITv5gxSnLqF7wLXKngutTrtKbOolnHWwyoC07eEYR/TaXyLsuZBNy6TsgNBwjfASdRdioNY
u3xHMTdKZG4yQayD+0bPbr2/GzpbqE7VEG3Ip4WY0wcELJWVV5v2uNAuN4lBC9qGvPrilyf9YhXC
AUhhgQfoIQRqwZlt0ZMynRMBXca2VD+N/fsUYobHcAgaQz+9merTXVqbYCATnqXwxMRj0H7I9R73
F2aNCpzsdEOjpfUN7kjOHd6jsOQRRDggrYMlmdoL7LXm4LlWPikPRCVM2FFvTVfdYYoD38TEk216
oLUCvLQq3SqF3lrg23oRwQ/tAn+laMmWJ/hWwEyPpJ+5nbtHpB4w1uXTwNIXMhO0A49QV/ia5kFy
mkO+fXrsLpIjP01L39rEVgi6pRM5UHzUmznSk81Mim0ZnhJUarwqqoP5NbZLBpsLNlU4yq+wDsi/
mg6RvbDvswfNoST/rVnjkw715ECeKNrNB8lGdH0sL9OuW/NqkYpQtDAdb8WVdMXz1L7bmmPaClSC
JQEaoytuCkzdKb9lsHO7kW8jTZ0N5uzhdKIx4WXuSYuUOVn7ETzDyGJSBGkAMcGneIJ+p+3Rc0Ju
r5dIAX9YORAv8+WIVTFoFNQ401ls2rWQ2sPgZJQsb8WWfL/FF7mz0lVOV+gVEHSEzxI8aWaejTbY
/QMQHR9ijQcGIcBcqarBDNQbQfE1d+T/dc68suGwmoupx97Uw+zW2lX6GjUdBiGkeHP5wbYUDiBn
FUCwYwjO7Ni497fmI5datoLdNPHLZFD6LiNtkCsxmX9PFeDYBYpHtzSufR5SfU3i0WfIpj4ZbkK+
a/k9NCgNIPWPDB6hjJJa1M1k83jJMEx9qv+bu/NachVL9/yrzAvQgTdziQd5n8obRSozhTASIEBI
PP38qI4zp7tOd3XM7VxUxY6900gC1vrW36auI/qac6UC4vhYP+c3c938jLFizU98nWhffD0VEPK0
+Wl+8uOuoBTx79+4VL54381Pv22OKncUH8j7SfKRtBCamszg6HnkBTBqTK6Tlh7cZxFpeyszPImc
46XAfjkTsrmU7Ytd/iR7wkvL/68PLzoSczYGQrvobhjbIv7CvaZK/6NOAufbn77/v3YF6W/Iyzmi
cib6M9km/Q19uSGrdBX92eqt/c0yVP4Bi/h/NcP+17ag/c2Ea8PqTQr5H4Hi/y/bwri//LN7jVcO
BjcWDJLbqojjv/+De03NZcvqjROVYnD+2Mra1M7Xr8252FTIuKVJ7RCSnUVGpCiH95rVMBZjuZ3e
ZcRvZYz+G+nSaTnMmTJHElobFSqDW2xQtFm4mImnI1NhaU5JSogHp1hL9QRTSAh3HxQu8vLXpqxt
9N7SfAhIB13R37MetFXybbH0DR8UQ28PVD3MQC1OUXV8lp/KGWnUfWLs6PCctfvHHNWBaq6rNLSO
kuTL8N/3LHg+wzz1xeTvo873638nv+Xy77a+/3XvbssSSAT/nkq33L/4xP7hWrMt/9MnJjXlQ7kC
UgUWdIdlC5tnMnlS6wqckLBBHFQCoV11X37JEN1TzQp5+glb69aKj5JaHFlzhEBTZN9opEfKmyZd
sBUMsmxz9O9IXoatTvE4OX4ZC0P5wRk29sG+d4WfuVS3zZJXjPLs3Qc1WdHq3GqXudNgYqs9S/ay
7UgA8q3Msoyog/OI0jFMlRg3ubZpuWA4D+Xd4BrvJSdR9YImbDvAzHlr6fOFADlx9WmAZjF4TXHC
LIBh8dkg/U/W9ddjyTL8YeRO9Jr8oiOyCk+XKD+1bYyECM2AZPCiaTUR8KcZybx+Hiph4d8Xt8+K
E9g5nZlW/BSAWb9MN19VkGRZwZzNGjl/uY+I4NdzvupJQj8a8/fLN2hplVQ7icvPt2emdAh56cgT
ZbfKvc9IzXQBUH2NmYB8zUu6no0CWSK+9ZnUyza6ObtCnUWn0fP3cVNdK/oRpg9fv1HU44lfyhRV
v0O0TvaT6ofc+yB8iu1Jsy9wMwAdzs/reJ2m81MeX8fiklrbFMIRb+Y0mZv4zVZmg6d8qbligPzS
go9aP46qaleW36BjGRY3emyTSzGVPkj3pJf2XFJ4UvriQVjqKNrZy5FDopwwl4/VqEm5qDenmKuL
hlai2XDJl7rfUxEO6Tq5z7TlPfMMt1y0gWW6Aijk9+t+GbeX1L732A5HJyDSTdXM8LITDbZVCjfd
IlcqdErGGAuQoFao9B977El8qinBpyG96pP7tHVv1AUDk37ION1j3X/u0+QMT3TuJ5YLmyUdMSBc
gOGNxVjw66Bha7Vf0fl44PC3gF5fMKoOQbquilBR3p6IFpaAv+sNHlINXZaWrGiv4DS+GZgTuIxy
4lcB+DLiRTjZ5MlPeVBCrxAW+1PNm+jBHll8Zp+S7IMdRtJSCFvX2rA+nT4HKCvUraqM7JOfGr2c
Ya6gQa9bF/8twufSRsBGxmhs5cEGEi0r/YJQvozjPlrGC9q5nyNcGSweHn5XI/vTPhRKVDtIxWuH
UFU7fgbDb0J6OS0mpsspNVQPzQE5Ty2RzGIDQwPdKor7+k7W3GXN7HFnKvFncL6O4Iukm1JtUkyh
qlGrO4R6Mbywz2dugeoxYYxWjz0WAfFmMwPHN/u+fWxBZk5w/bX9nLxJ5j399OoSteIjevrJ4Ypq
WuUDXqVzYUHsVl1MCOQT5HAwbNKSU5cYY1PYPKZjicMdetnc62jF9HkpE1KbVvaJkz5ifXrdw/Jj
tIWSzEj8cJx8vHZpgt0SoybQ+M1HywT956CtfB9u/jjxhDc3JYfX/qEFObEN6cCqaedIq8MnBRMV
9Qd1EZzQQRkbIu/yAnkWclzXGFzBXKX2+RTc9lDCY/5aw9QKL3KqveQ7T6Ah1uWdFWs7yqasLVKv
h08bsbbovBs0u01dtDhsdeArzSEoOzLcYnYDCSO7ZvCuK21pTPfm7DS7YokAYB+RKre/ZFtwLwkj
dDX+twC6Apc3j7fdMDm9HOoQ4qaa3mbqsjibHO0dfhOycQp7/GyBljCkMMO7eUpYAYE1TgTF7WeS
04bvRUpT3BhYoNo5vhNtfgsGGhFAd2YtK2iySmX/eaY6J3gcYUPy1ofpuC8LCc0GP/A5l7BnWILT
fFIsS1M3EuI1Tx752JHqmUBGZ+lczzS+XywUOwfgedXeG8bX1a5PR0e6gcpdJbi8CFnLBzgXW9x3
XyB06hu5xPG0qhjxpQBbBRIZeGu76pz6omzeVFXaOSTNN3o+VkR5nrCif5mr27ycswNk1yDBN9Kt
SFHai7Nud/fLz46yMZfgT61CpanvH/iyp+9ZF7ASzrmu++byAKkEQdEAwQEOIUfQnsGMs5TYzylt
IbJ9Q666ujaexSYNW1eHHZ7It01bcMseo7s8QqOKH70N+ucR/gH+E1Q369FPh6zDLtEOFWjmEten
OVE5nDo3uCQWqXbWtXZ30NdqYq8M2in4nd2Y0yAe0JjCPBT7/oFEAhfpIbnDNEQacGTtJq2jd3P9
9nGXySP0SKbglkTGryRBIfocjGJjqs/J73t6JZrdJGRfboF3nEYgQqJcpst8KVL9hLQ1tfEjFF/5
1lpioac+aMkb0XdmjqrTIfkP/RK2hS0PuUUm/LLc5Bs5NI4JpFzpnF4/TYVa17dgVKLk5LaCfcJv
sEMxcWc1llnfXBRIGdlcTVSsC2Cjp5OhEA4AVQfCoTLTaySH90DOyrOGrHEfpGa9vOvWjOXfBg8e
iZm0dtTr9/4VcfAX8V200QkZa4iVA3dERUg+olttknoIi7YGfitaGSJho4xpPX6KSBI1MDLPfG2B
F6BL1qs5Nasq8tuP5ECs1icBHZYzFhPar19EnBRX1YGEh3yEmcg6lE9LMG8o2u0r4hjaRjBLruLu
hWkxO+H/IwLM0eLWuQeslN/qTIto94POjEtfHtNVZ9mX+VHRNA8nFKc4RKDAasJhHZSO9TXoSUnZ
azp6QQdtLaE/zRb/l09poWkDKs+v6yea1j6SfmW6Hl+xFGuxVozHsASDNVIgW/vBrXaFTV6BnKJN
5//J+b3KpnV4WveTbKUf+gP3YUMDYevLAU4eNJ5iqIbquQiaCXbi2PrNj9cJMkanQcjvPHzK27lR
T7YSN0uJM/TvEH5zgWISc/A33DYD/Y5jyky77qbih75I6Jnay369fPTu8HYsKSb7XBscc3G/vIjw
JE+alJ9RDPpyMN4JDjdKlrnPY/N2jRfdk/aTm+5Epqy1M2mBYm7AsDCo+7cYlbUzdM6Vh9fPGvDS
yjGlY2e4zVce6nEzym15IFu3vlTTbFtsMaBQxoHkk8n0YK7LwzUwtviV8RzO8s0NIzf99jayPJVQ
mVNsLNqIlHpihH5VvB2cBlzVTWghPpsuI2FpnwI8US9/9XBC5cQqyHJOD2TzinBZSsyip+TQNTB4
cRecXgSXzuvEowNTmVdg5UQuuI9DGXQrpY1I2O9ZCxcKB1bVJj/iLC+xWzzPTe7KuUv9i04rAZGc
3IQI7+x8lnwi28ebsakWaXz7Ndbt2Vqn/CaDyFaeoG5FoJH/rNxsgQ0jhGt5+frJ/8VW4anBPaqw
QlAzN2y7OZEZ921nuljJCXzR10a0Mj15zuJTnzWqI4eNNTXcflKfO+cdm8Qy2WCwC/OLuhiFFf8a
VThWhhV/1pmOE596O3j5Gp9m62cP705/SrtpIE0em0e3NJSFmAay6GdsH+DailOJQfuY5Jl7lcml
Zdexjtl7mr+2o6uWFN1r3L8poexDlZYkq//h/Cbcw47naJRHZa6FOm1wVbaV3sH3pLEC5BsNvjzS
shCjkCjZ6o8/ftQEhzDLnW8zWKyIeysd1/AByzxbSKiFr5BczyrAt8ZPejPUHE4bIVYP7MukOQgz
shJ6R1gXT98yfaPy9KPg9UtMQbQGEomPB0SOe2tnEwMSoiPUwbaIfQLaMTf9FOBfnhQ1bA3PD2Wt
RWhO6gXKa7YHv4+xnFhu5ezSpeiPMq53ODoCH8F70pzfd8LCxn2Ec4IWdUjDZR+uy4dv4qlaj0tJ
EokYgto949DrExVZRywsybwl4jROqkBgV/cju3pk/JVipF5u6yu1bsxb0jf259sXcSni7Jq4Kl0T
eqAsnhjHGo943I24kmM9vkdo4Unrf6xPV08Qwy6ZP4Pi80r+14Ko+0hGKjav1v20j3SiLKrZiUX8
k+3tNBem77UY8DD5Dcns17jYqWvwoh/WJpvkiUVFv8lHScJTs7BihrbWeU8sxgcMMJknMC2/sXA7
TdSuW+L7qxUrW30wPWUJx3Va3xZAQHcUqx5bjvX4rHLsKQRYR5YQWD/dJHeP6qIChEMxmnGJbEyL
IIDTYWV51QQHaCz7VNthAsnmt621OoWEqlST2wxCiVCMYwttCR+xgseHlySVuiUr+lc5JyulJFDG
NpfKBJYcOM4yoL1sYW14PAp0i0kuzg6ZzLh1xQHh4alR+WutnxvCfQfGW9wxXxZFyAqxEw4UJpsV
esxSm7PWSKj1hnUj+SrLk/3GMtVM0s+hDDGSJzN1IeByk7/TCCXr7M65Z/GUmbSu0F4zvPGO+cPL
QZi34eQkjALQJ2NeytyXHW/shonXhpRWEL/qNY4x0fwsCaiIcX7JqI7rOeZQv3Df5NQcus69zcCm
88DwhNntiT1Enpr+kZfvceTllvBfNpWzPjctpovObcMrE/3M+Hz7ZcTujdugejkUdrpAzpc8ajAo
TsfDXKBPKWzy3jRcvAnGedCtDBhyvMPwYf8CNPbKQAm1Ka9r/pr2l/7r5hGI1zvpr3n0OXE3szLO
FhbiGs6vP6efIcJ1QN5tOYFHvmn+Y9v/phVMpLa85XPEuWaUnbtyIeQx4HpFf8kABWfLZ/Xp53U8
Rk3Dth603Q6KsVzcZwNoRlrsamzHJSogKsucjGQWW16CnBq7Yi/iDHQQVYbPnu2OpdB5g66X+5GD
mKbxg9I4ZSFVq2T9uuHmNsLxSoHvHOoPPXGbfsLnd/fTL1Gb6IU7wB+uuS+aX3y1O4sHcnS94a1U
1uYyCap9w8nvSbewNCtWCQ1nDRfTV7AvYdY85MX+dj+Xuzb8Rr90/RrelHjVy+daPbRQzHcJyzwL
cUgSPOS6jn2SNk1X8DQvxzj5/pDiYt79mIjO7WbsBwq/elebpaM6+wYNdzoSIBMmAdvWZ86h4iv5
kHEc49pc3MkIV0JdO7RjIHa9u+db8uQVJcTn+91TYh1Iw8fAhgrl7D9Hn64e3Naz1zb3zi+Um8VM
TeJMbm3lIDLeNV59EJGKmf3++o6xLmFYu/DZ6DFlHRGHjbjePVQWbAOFDRRgxObqQZToccn6n9W7
tKWpxmb3WuW18/mctpjoqOlGeDC88Z+wrtUOoVFrEpntPdUuGXto/0Rx9CMb9uuYReYq/0IswHMw
6YKcnTRhJrh380KlwmZusohjccuIdTi58k8bC7/Xcz59ec1UCJ4rFGVYGaUxtOcCGAa9QP6b85R3
4OmyQPuF9z6y3G2MVbuvo9vy5lL5OUncW2K4Vy/GOOWz7BEO9M5cMSI9ZnpdF/N8aU5KH+euLyD8
fj5nY7FYP00jkg+0ZcNdji/zAC0yOqFo1BkXHJyMSzPb1gIr4JPYoHz2Fgmvn5BCiZvojousdx8Z
0dmXcX4uXDzfS5rAf0id+q72CsT/y3ITImhRyy44PyzwzzaIraHQGRtOAJU9p6nKz/z8V12S8D1X
Pnu/x3pbThrwGKn/qu4eybtMO9onA0/iQczogbgallr0SEL65uzXN2VXavzaPjesWG2NOZOOpDYa
T8Nti9jBsdgjOOhGwrf41ayGSa7iBsJgQKNNRBbO9m1u8QCtoPeF7zrlSnN6B6YqZrJApRxmKSYG
Be7+m006wdWNBN3BOFHKfqsS33vJnktRXw4N6ItPYP8JFOGoxdwQMs4z5mylQsgdMZYKGaY9rGEr
gyx7xs45S8HtI4meSF5AyHDwog7Xsv34aWfXGcLnL+HNzvS21yeXqD7GJN1+LHF0TurONQV7SQyJ
vEcv9/vk/dBEETfaB4pmf2zBdsvP4vxg9AkIrL3chbj56pIF5+mbgUmsYPLUCCQNe8zWRKARJ/TV
UlNANUKQMefcG4Ae3a08u/Mlgk4nTyfHgEalVH/aZ247QZTgl9M6mvdHDVFHjMBN/zUO10U5s+bI
cYRPSphNFCxX4VDsa3M35LHu9jNpKnp6neM+dcvCNhUhEFlo/OK7n6W7jHuST/bjabj69xuTQ+PX
wWNBuApXdqtRnLSlb2LTrE7L0UaMu35GZySLLV+xNS7VnINBKS5fX8/PQtiroRJD/e8ew/RxTmbF
hPWPg2kWljwMljlVvGQrBblj5l4HBl/F1WZwQWU2ncPzD9rcEUlwbwAlUDHONAP2zzddifbFWveL
iLxmz1he7jCTRLqDsaMgidAaknLQ3GgRdUCEI5EsVU51ykF/fzA5yMq8RUgTT6kwcos5Rso6mdeR
sHuES6ykl+dAofQMQfqOW9TyLC9Ip/fL/WsoeqfVfe03XTRnQokxyiHGx8ToV95LdJg3brMiX3Sz
7HgnvIyOtt+E7U9ddkgoo/e3dHkCIqaphx+DfNFDi6ND/SKFLYLUc6+LTjsIazWS1tzj6getHAWi
jx1gLMa+RbLFw+4N4HoTpFYIed5ON8XpUHhJSxOFjcodhrYMKtZzAiM8tpjLaC75Zik5Ld4Lqs/C
lCaF+K25wDXswm6jA145tx2mblZGBhfUHnY+TQSQZRy8bM0A1eruuXhtTztNOlwl9/Z1Pfaf1kQJ
y50FfYuD40qdNkYDLyXn5MXmXXqdvq1Gq3TMiY4Kp8SpeY+zZ/j+kRUGgu25VR0+ZZkXonMxVgqs
MimEu/vigaPoxU+0SaujkKWQsXM7ljDuMVrNkvASnHuPYt95YHRZKlDajIIxcZ1nKg+U0FCDROGM
EHXcZOIPAPC8AgZLplI+1hMkTBGm3YlT9DKF4TzeRy05pPI6i09zfDReexxwbF8SHX6pmfP7jUmz
IyqooBaWSJyamJIFeh+Ag0vq0+/83isMk7UthslG2F4DZcv5x8/3xLwgVWt/SJq4bhCyLYDr4nI+
+B/6Kr3wvPj4LZ3iQnzJEiMxHSArfgqdsKQIYNL8yc8aJ8MKFIUDlz39zmnE9JneTlsQOa/7OIGr
o4G4HfXwtql+sbXkaghuT6d6C8E+BFhW2F7GhcLtgjcpqgwsmW+l/m28o8WlPr3ui69yK321qwoV
kUMCT/CegqkP9vGgeUP4R0EKON1cm9YxuMvgWnNjPqbd4ulaaasyIroHQ6oxKzzmeBAJgRym+8O5
JI62hw3rnUJmcZAjvuf9Q4nC9uUhEl4wR65KzC76XAdq4WAL4n2CYzJ91W++hXafnELiLQCtunEs
o/j683TA1qWANt8mY2ySON9QYOBLHriDMpNED5Yp52vjJqLnSvltd0Bp9QEAEWZe3+NXJ9vMFWn4
PNm4jnD7LKuK+8RpVf/qisy+2JeG0Dwaa5KTf1jFiOaZZYixQNjlD1XYPj9x19klIcjlqmKQM9nZ
mYgpfphxeiV36u6N7WXmxEDRFsi+NeMODJAv9r/FWXWBZM3I7CcFE65BRIDml5xATfxWdrd9ru6r
9NxlIdi59nAFSuar7/QsT95k0i06oiJJ66P81HlNq6lFYtF3FtAb/A7zE2oEfS5Mnt/vFfdvzC63
ZDo6SgFD+VE+9ssDJEN+so/vbVytrisOYsKPsgRIGcOAfXMxBMLVh3MaXWLAUZlnwcYhBGFJY1w8
6ofMA78sU4kMhSIYOhqPF8UVUNa3qOjiqgdqnM61JkwnkDYJ8+Ud4mqTzkm2WmMkHEEwv1m01zjM
ZsOm9cHYeEn4dz6M0ICOnOTlNPM1v6cq4FjGxP+S7WXfJTcLMC2FpGyezDXas2bx/FUwN1asd6ly
bk4+HmqkaJb0iSecOg6jnFyr31ce4ikeG2cccdr7xPqA9aIXVKaaJyahyObuVB1aFQxl4VNysBCu
Uf0RoiGA2mYY331mQ/8MJGg6Atjoa6Io+/K0eZLKdGAceU3uoT7tPsyicR6MM9jPka+Y0WCfiTbU
uHM6QqX32gZNJZFbetzvn1GfRJIF1k+wVToTf04b+eNIMMDxWBFEKU8qrOWvWbbWF8+zdnhFOUTo
bcau41RhYddTggrHnrbn+jnr1FAQP/D4cUIB4KdpA7hYXfZLIq0v5rcRg9UtoB7vwH/9pYg1h4cc
gDYas00+h/DTBCVxsKfQj5TE53RddOIkycm5oDcIuga97fJlv4/4IrLdjfKU18twThJMQhKMlZhn
M26nbYJ2Ee2oiZjWPJ9hEYk+X6cgt14+9UxEOP2uUk6+/DE2Ma9/89V5TNF4nBYKsQAGa8L1S71o
4WNR74qz9XDUCOyUcK644dJICHcBTwfN78CvAQiWwO63ZRsUv0DJ0hji0i6SBU8O4RzWRraQl1JT
Mzg3UNbgxFEYS7bfA7yCcTLu+IiG2JRQoNrFIt+NJ5/eWpQMyYAi2Y6xz9Niuu0vzBIerKVbDi6J
Rj0wBUOKANVfxBVLq/qtOBtL8gXWSYYTt612IYIiLWq/kRQ7L5fSUdDq8HEWj+3jcDqSyrEq4DFO
c9wp5gtbEOwFM8sqJ/nsSNeULV7eZAlY7j24d1g4JtknmY0oQB8zcYJK1dhKi9YVY0A6WhjJwrXs
YvuAjP82EDwTytmtukn7qRGAsRO4p3ugfbgUoD/2r9saVuoUwIT9gDuSt7vavbKZ8jWM82QG1Ar1
sDLknchqAeS0lMiFsHnmXQTHcA0h/sU1cez2bi7FAGIQtC8SnvDyopZaVN+dV3/lc+P7tLr+9hMt
D8feypNnGnZ/MKavJSa/iqiNc0+Hn3RJ/+A520+A9/uuIeOAXKAP2Bh46mW7vlGetbqAcqngWyWm
T6ZPFa9+DwtIhobPcZVlRfMt++qSZUZa39QkFEacyJwQynVFQsXTRy/XIAWG5zltTXwQV2IQcNVe
57IZJTdH/lAepA2lU3WzBFFjcaRsFCnC86KzzgNX9vuSIVyagNeQ0zJ74Sl9/ug/oDU5WrRqZ1KT
fXURqAbjoKRvdNdYA1lQwBaZy3qW79g/iFelO4xo+/PJTWImd1/ymzkNrXSO9Tw/CtE525GSQ1GC
VTnudyd5IjgoFQi/NU+uKdF+aZ/oWNtQjDmDwa0P5DMIdkuE4MDMFogYl+jkuY/m1b5bWoanosZL
F+Vjkj6IfnVIDwXUxwaKenCBf/WlOiVuzW4iTMvwdqEU6KvXSZ5htEXaro/amJrUsFsRk2LFfnYD
R/khp+fqwl6IC52AKWt/daUT9GMP/MDYyJqphPyruZGBabVlT/Paob8iYFDnQ3gn92Gl0UryiNCe
56SGXLHHPPlr/033mhYUsxLzACcVyl48hBB+3Z6VJzHugQC/sOBlXTcR5/t0GmToINVvdACiry7L
sQqWSdC5R0TQPgtH48FGzv7YintlWiz6zo0E7xWqG91+vW080CAwK9LaEMRlGxAFMRrm4vjTSuD0
h3OfJyQ9s+8pM1KPgO9eW40+uv3TNQPto5uP1bxNIBg2KE5Rbb6ZrCFAefDoBggoKUGd6P4QQs9h
/vIjB+bK+HhtybD7Hia3XTImOc27LiL0D3+1YcNftF1Ico/+Sbx8bHHOTLkMGfrFJVkZlhqXCDcV
/xqRz/pWJxCUCzXGNEGEU1DPdHpxofGRG4yUimNOh4g0KaxpO2VhbTg92+yY7lPybkQw51vi12hW
EWB/cDFslHxdopIcRaGkqKwTfMqmo4GlG67B3pCMInsokHTexxh2O/QYJ0cdOYMyfANuQpJq36cZ
ugYOeOW+e6Bt4JB+RdXAH3fXoJsgWaBzGWlWxeqEoIRiOnoC7dv+upWF5ctvYmF6nTWHguxjQoTn
KBNLT6RDDGpWvkBeLhJyErn6lZ/G6PUBQ6G5E4j75Kud0lvngWv4W1SxPNaHAbxgJRxqKIDC57hL
sk6zqj+7cVAns7M5lt9Mg+AVNU10hnt/eyIU3W2aR/ofqgujnL+NsO5Qk0UvPj1Cnabp1mrQ6bQf
RbfuISGz6PaYUVijU+Gm+2Wz6qtFpdsaNxFmL4RLw+LNbj9+aR5ywn5d7srxScmx6ok42W4O/Xfm
dc2kN/Ru1wUyZeB8bdBMX+ms6+d3MP/yI6e0+Y6Tj1xlR2+Bg2i48/tikRXLzlopJtoSfXDz57xi
AQEquw+VvZJRIz85rCiRpE/fWDmxKoaGUMQZu/RCvyNYmeBsES3wHRA26jLQ+Zfkbrut7A/5PMWA
KZmeeOM0zVRiSp4KlF5h3/PLDakmNxLYxjWoa/FgGM77oHPb/ao8+rJwTKqoHPDuBCgMfsxNulT1
RUoqZ4JoRKffLxCrCEf5FbERmevPQUUhAqsssHHAvnVRbQQEcKe3aa3v6cTTNmwJFS5OEpobL/+C
kjfvAYAEVMVMsQd5TphAguqINNONIf2MQtaRDcXBKkWnL4UW6HZJgJVGyOEfxOijx/22JppY3/2D
evJfaOr+sPv+U4L+qJ60VHpTVUxgojbahb//O0G/UjI8pzfqKY27jZz8KrtjVbj0wVyH4ahzu2eY
FR/0YfJobaU6AM4zwAZZOCs6jgB85wloTBYk8EYCDOSD4Se5vK3joGx6Y/vXr9bEN/Y/FJP/+Gr/
VMQllderiQkU/R+gX47x1n6VNrfShIB96ZygL6k9VvKutpWJ+JujxG2dbtbPenZo5JJkBwiXdFcd
tPmodgLVD1HML7QJcjim5sdnTcz/smAnFVhsXYoRPOLtZYKPrvb7GxqIsJ9Gtq/oix62PtHP7ar7
QcvTrvKFsBRYS+iebhKcLnsR7u0eFk+PTIcWqbbCJ+OiFUgA1Q7GD7pnQhgGsjvyGUJJ+jP+HjH9
b8WS8lgT9FcX9k/GuEEtBk0axHfwqGboIXcdERtMaL19zR30YAKdHPCUANQYcV/xS4pFtIXx9UE8
hvviE8PxNLfKnb4Wk+P7RM9xpFyXf305tX8lgNUtZLajTFdWlT/ZInKzrupBIpVBpcD8y2i9AonI
G2DFNolK5mxzgynvV+RNkNZLj9GAOGM0SrB9PQ3U9olGzJrDRXnQhIJE63v4oq96pS+IZ6Rcpsb+
RiTdLqU4ul8ANjFByAJdOHa7fu2v6+v6EYuTfpL79/4/aFW1P0VHEyE0Plf//dZGJes/PFfpvWqS
m8GdmoqzvPFZNR4nUq886pvu8BEHbkz0kgSGmdxLmJQI92tdJPctcvKZGOkUIx0fHKU30h73skly
J2Q7onKUnI8AyKRUXb6U8DO5QHXnkK6VVY4KOsWw9YwwK2SjHRJ0GazfqRfP3Mslp0CDD/L/snXW
FtJ0lb/Lzv/tTfdvns//ftfj8/sP71p4FE9VurOaCBOUYISgIMOF4CdxFlTfBFSeVzc/q0NY/5Io
uD+maQB2YrKTim562/jI9whjaYelNpeZKfthfuPv0S0AMGnbVwc54L0wYcIrA5Z8vvO4OsExuCPV
8kcu6y/ja7bQ1TkzQ0o8MYUg9a/Wr2UiRClhZcgleZYgkrkB65g6r3ggYpnbB3D6RIs3OrlIx82g
UQTqFJwcMJ77A5SYiMfDTQBJOpeHtxT/ww1j/k8j6z/fMH8Sg9/rqlD0BzfMk2Y52c4feB7GgG+k
BJyXJ8yA52ZWLIZpOsG9j7a4FDxJckVOJykz/4oKQIThJrfMjG/pl2XNAeGYUhGPtHlym+vE3cV5
XJBG1nGIcepPUSB3wRZOXmcFvRWAFJgbPRIrzuZk4wXvn5wWCIR4xvj5aL+vXc+kxOQKnHxRPwYs
P5mP3SF72V0ZygzPj8PzHaMeS9FVoLw5p1fi881ZssgAATXnrxcP9T8tHuMH+g/32kBJYtq/udcU
HqUd1dSMBC+7/Mp+WCFaNCdJYOy6D2GmffKMqQlNYw6fKueEltzCXfIprTtATylQqnn/mKlmJEhB
zTchiYNgpGl4wWCryBwAfNwy+g69z/MU/vW7kMcl7s/LtCFSrCmTZS9i3/7nd6GnnfW0BOKtSe+M
b+EQoUVJORgSbATNepuUu9O2Q81lOlY5ES2utA+GKtaBYnh//VKUcUf4q5fypyWr0Yzr+6X1cAxI
A6kx3pPdCNi+NT5QE1K3BBL2inrO0PosucYK+hJitPH5jqoWO7fYMR3VAmPEll8GLa0lm/wDNlCV
6JHFm+ZV5rS3jk3qG8rfmw3/7bqjjLr/v3rpf1p3ivs1TUWFT1EedUziqpjKhG93nzJzdI7eIFuM
7IOxO011TlynJW8rRHY/FWZUV0wtBGogIkLgEW7oJwty8JLwhfEu1P7DACOZ//p6qwoWEoYuSf/T
BJMO96rUxg/5iX70Jm3TPL6hin8794KUK09/+OSmCOp3/vp8ZJ9ofJ5fxc3Rvh/TlgjgZPXifA1p
3fmyPpWPj4m6rOpNcS4m1/3JB8QgxVZfvoAwj9fG6Y/dh4quoKR9hzM6nMKLG6oN76iIXhMLqhcU
gXhrEwp4AORkZUQiElLNAevOyY3FY2vhQQg03OH0N8PHp9QFEQ1yIMTwCyxb2CMgv32gKBgM/oa7
IIHzuWHN+JRWzFjx6du086h3yRgM1QnK5gNqogQxZkHFmBWVZ3U91pncFZTb4dU+orS1map5K613
7DDBgfm6zTeB2zNTGzdL+JCJAtUAaPtyqtRPdgYvFiLpzq/OpxJTXa44h5Pdb4yYcw75GTGTPntJ
QO4rzUGgvM1BwHUQIxCFY4veZ2Mw/B7+5/1dD8N/WKdwMP3Lm/P/XnLjT494UtVal7y55DdiXIo2
MFFy1CvlSsKcAEe5Ur7zy7DJD1qUL8rFbUP9WvAIcj9b3WfClJ0SG4DmJD8cu1GHd4eeLKxjg2T7
TYjY4vnG4hmVDKbso7g7PHml/x/uzmxJcbNb0/eyz3FrHiJ67wM0ixmSTMgTRQ4kCA1IQmi6+n5U
/t1VLrvt9qkjKsquTAYhpO9b613vgCz//kzv6bZOcbhICOVhdQ+H7O38dq9csbQVDoFecifTk1kS
eQg7wbv5qXd+x//Srg7Nwbw70K6IO+CaaYLm6mANzq2lAnGMnbKwuS6o+KmpAAuzFxoYxPnaAr+w
pyqo59nIXKgWLFen+IVHxLjY2QTAUgPHD5fO6+6bnxj80hiZB/qup2Z9f+0SC7u9EpblUVkrn3DT
sPm+l/tesRGlg3spH/UbV9p9nhIo1C1LPGnx/gsuLpZqXL7yUtnVmaN9sLw/PVx4Seo23m8rv19n
B93JvHwVravVhS7K0t/B5JfScxmmH90T/vzmIdoQNIVkBTHegwJAn2qU8AB/pK3vLwtEgs/ZczVv
XMPJvdGOb2v614CCRLWTl1FmkoLz2H2oLJNVFaKXN156X4FhDPbbTs/UMHh+PiAfTJWNtMmQM9jJ
btjrb5KNmHBMu0mYQnNr7OQ1zeDdSQFuUKlYEbsW8Ge8bOZUkAEogTUGRSY22e245sEDYMZipYhz
MEAdJYbo1I0FwiVET9mWoTAgq7BgNjN9Vaf0tNcApdn8POv3xao8ZcXcJaCMMktJgke2o70mRxxS
CVwGP1oLR857/UU9AEItfV4FppMBBMg7fKzLMWK2+CkfOQldyr0IB9wSnjWPN8HRYSvbMIpW7ULA
wgDFC/rh6cCiM2ylVRdSjQTNWzvHy8KFaQqQlb9XL9RuTCOib4SpxlIqeGDEnSz0l2QvMQ6IdmRt
hJDAHAjzb9DnAemf4bdjpbab7LJlzXWk+sUqOQk0XrWNQjjXmZom+2htBNHnedPv79vq/K5OVkbq
3xjigcE1K+mBQtmGADumHNo1+xg8w3yV1/M7y2RrGw+v1LdVMUugA84Nf2RIX33FTZ7St+uW2Y3e
TSdM3PHPmBH0tYybabHNPh67x1qa4f3j9q4e4u0sMaQIriB0eB2G11n8QZTi7ek+ThBd6SMJ9PDi
x0/SSliJQOiVPSz1Rf6cPLUH9MXCOp4ghwXmnqI9oziuX7R1g7Jpke1jr/A5s+CzexVummHndrVO
2HExViYBayQWJvNoNTZPVuSanhmSpRViS+3Db5WXGdXg1a0Y6T0Ol2fYY9TE1fM96Ay7C2H5HCSX
jBkvDvAzWD+itzmERabFOKRgGTQu+dJnMdPgAt3m8bwgeJ7jkALqS2E9eYtPMGQ1yUXJMDnPYYBw
ExEtUn4hhR5w++C6auEPW3yBPaEr4rF9yR2Spjiz5bo7UUmWdG6fxr6lCr37wlvBsv1GxlsNWiyS
zgJcwuhfBUJlzKCBpc4YIL2fL75EDi6+9wTR6MtEd0sk4XLsGHzThT+YG51Mq+WZ6fnmzF6HTuV0
g0T4Bojwdf8w9x1CaRYqHA65C19U6uFsboYm+glPZTFRHfxRVtdtSjotOuVoPmooE2LppwrdS8Dw
P4SI2j+1O+HpfIRLcSghcm0SuI1fgriusXYHKnXV/RXf7/tc3/TMM8zwMe/eMKnAVauD9UF5zjgs
mUqNHb/PslnpEB8WAuJbyRGsxUpW/dQnzmpxfTBURzaF1zTiBfjwrzHcYbfaM85Ff5isS3mvwPoX
rDKa0UzzuQPgCrtedK/mcxWidjFZkFycvUZyLNYdNEJUwExvwg5Lwt6/OqXLxZuxr3YL83jG9HHR
+90CuXa9yBfm+hL2Qb41XBq8aW9Hu5iPzVPpBezL0lxgUwyvEidRA3789P5UPjEYe1LmEy7FKp0+
AvwgwxuKgvizxOsJFLKIucwvDpi8JPOdyMvLe4RYoaerdCLdx+P/yiwRuwLIzcDekOzR6uP+ifod
aRRWJhQi6FwUUkRbO2I6b3ha595EPL8DKlau/PsxJXSHb5hyD7JcH8qDDXaEchachCKxwJZ2F1cb
UwqbziYvQT91HSZxFBtBooIFfqS6U/oXal8TUdioOVlfNvUp9a57gdWWzWJRPvdYjN9dXsKlqtY/
fQLfoPMeU8zAy896wyAEi+rRmp8GA7L++YH+HprPmO/onZvPiDxXmuh7+zcIEbaDf1qY4H9IWrlC
0/5Ty5nFN2zi1DvROrAcrXwubc7P9QGY0vwonu7b2xb1LCaXgO1QuiD9U42JS8OOw8guXmJL9ajO
kGZyvt3rfCJOyYmm6m5WiNBwyL0PoaaMogFEdZOtwcyARoxaHJe7Z+GtFFfFMf2od+Wr+JK6xayD
QEBHD1OQvYZZ+lt7BIhjq+GPCqk1EFbGrnqunpGQMEsMb4x4qD62zAoXxAA51zf49HphMT07s3RD
59w4yRpSYjHvfa095cpOn2wZc+oBOkuI7N7jwtXIiKozHL5SRCv56Q5C+C4H9fEMyZfbIWNUSEdA
/i5a04n71w2X/q3y+0PbgvZbVEQDBEz76Qtokmgg177u4coRRRMqxhK1Vk8MHzFJ2NcxCdKluZCf
uqsxXYDmqIbXIxDRc+IiPXMyNgw3FCpuKtkSgNjAFGi4OA/VNfIZwxBGkR3sZadpiBuhObYZVGsh
r2EpqNR6B6Y/cdjTO0k8nEkWLcplvnwnUCEEXVxxmT7X02JG4BI1dwFVFNoKi51MRY6yDmrWmZ+8
DMzJ4DZlXu1nhwcGxAvB1Q7obVCquiVzqYB4ClvbDRY/dfqAle1LQZraTG/WO/TOheaNZr0I19fI
AR5v4EHpp3kgRsmwi3VFI7ySYSdWcBvISqJWs5IlJDoCgAUvDdJ1to19lVDmatHCeCANLBt7/Oua
QS2CVWJecBSiEMJw61N7GxqP3NaJ6ijP5kF4lhCiwvVmfp27d+9xgjKpfbZH5lJMM1n/QnXJ1ilA
IGHbrBnlr5nheOZynIUAOBsIWUe2Ex+NOFQTIlq3ebj5G5S1TWnr+5FfABPDH5sp06lDXLDhWY/T
1mKmLlq343lMEaclushxBAwxf1va+TO8gVBfnJ+I0bSaF8aCYWvTXeuLSWrrHvwhyCzanNuFNS/k
TYLLErf3KZUqvROtECoghXCSx5wvyc14U2lV//r1PYnWPLPOTgb7sp6ar8z/eqqtKdCIpdgkpAXc
fUiDuukH6eQ8GkINrie1VS/6F4RzNMXBzUb7MIcrBBp0LJDv3gOiZmB24rIxNb0XI/j23Cs2Mmid
YayQR/laU+JAEZw75ZwWz+Z8UesY0/V4dIOnvxpMV7bNSLCiOoclb6Wz3k0IatB8AaNgqMowxESk
SmuKOijl08apn2W8CC1l+qT6zG3B90cSmQ0BaLrmMdNoPp4I3u2AhwpqFJw73Q/ezym9iTPZDtsJ
DEiUYaRcwMZa9nbHKYiOH0O4vtoTCw6gm+GLRpSSg74BOk1nsVFlc203XgksUwziriq1nfHBAHLe
sPe2bmlXLPfCWvXYPFwKGweFj7aquCISGujHh7K6wdCa6htpBXvdprLWpidlehyYX15sIguc+JNQ
wYjpsBi+pdww8EmxaAP1RdpcwOcXbOBB+8LlCfhmnQmAsg0mN0HlbhJ7WFxCY5uGJHB/Gg7C03E4
69ycDn8AI+RoyTajtZv3FtFay+uR0S7KNgFLHVi6UxxMdkPtqaum9hBI0xhGLq7KNH6KbknecGB0
iB/cdFTJPN51GlLNaafIKxR3rXFmTxCcpw/7iIjQiVeKj379gUtDhWovtq8b1tzZiDvP79QwZzdb
jaUvZ/UZ2H9s4+diKK3A/9c499TPeNb56nihDBb8NZdT6IGIrl/W3VTaIUFaK1xR2vQlWmUsMQDg
juDn3tUbRTs6A2iu6fHnLGy2skYZ4+lb6Ulfpi/dpnfftBljS7vkSrzz0ujXg3Ft48Hu8vy0faeO
oIgeoZHOh3EcTE5xoHwUkJUKGvndeD2CfESfYCbVfUb60HUFxyIFeYUag6StWg2z2kdhbaGBXqB9
RkGCaMsT1tAtdrEzTOP9qG4hQs9tF+BjATZuiHT9iXNe3CyIBZvJsvKFgHv/Q4XrxXKJQNsaThVM
puj4uO9G0dk8ySqffPZ2ILoZQ6BQRvp+Qz5YviNPNXCTHrWt2wSzImoclPgKmMH8iqUqcwbji4rj
r/c0QkH/FO7AytjQRHIMiA2n6vgBly0nVZ/qAmfJEML84pQptEe3Ho1JkGpxrs16VjKuEx7vGWiX
GfdOPtD4rdV+dnn4DWnR+plR6vQ87Csxn/GfC4CObKDYamo301mcbqX1FM8m1CIdbiYmDN1xhW2X
6sw4pnxtFPlHlnKo+MleXTINRtBTHhKEKCY3PpupFtxZfHub+xMS7DlEbvQ5Idk5FFwcHZI1F1P4
eNHXt5cCrRMeAAQBzlF83uzWj22d9Rtfiy/yWm6B4o5Lo36bM1ymosdgwyDv/v44iPLs3A3PrRE5
k/urfK3Q1s77zNWKo9m/PoZlpaLfgyyjfhb9AHePiKjGTlDO9vuz+tUC06We3IXYHcjsN5AECZlB
CIoi60GKIi4GYNZLOLK6GMj5A08APMAxkz2pl80Z++ELAYf6NMV23xy9G9MCzdpnZyIFn+vMFSag
Brk3qMp0qkVhAt3f4LMOsm2gJbzS42JhR4mbB7fElaKwKdZi+kL3EvdhpQW3PtTUHpVrACkf9FQj
UFN7alP7nq+pdwdte7uv+85rzDX0myjx68miADBRmdEHGOoPg6u0/h33sxlc6rveIg3fIt3AyKEn
9KW1Rj9D2tcKySPTmsvHVbZzMpeuH6ClVYZYyfBuoB3yMplYOO3y0S6g1udTX9igX7LWTAVIjSSp
aZhAAmE0QfYlJ26E61Nbkw94iHq+WTJPYR9fsKtPMZasgSe71hYnkLXw7SwrOov+pRNs7TZHE1ee
0EMhJ1wwrKMJ79dlS3OFlVegs7n44uziSp+TN/EaXiBfFk9oqFrUZLvr4N9r3M6SVVJf3MktZWdv
8fVvmFTnoqMZtqm/03AzD3s5E39ZWuR4Gfgk3EX/2opT3URevDF6K9PBl4hYlk4FMl0os9hbILrr
XN1YKdW7rkU0NTatyHiPfJiATQd5pXj9l1DPk8HRD0WQvE12sFySZfl22xIbHXYzfXu6uulqdE2B
2wwBB0L1O6gwVH6XMIrEi+F8xVRAxo4m09EtA04O02MSbJNQpubYgT+E3G64HniF+1g0CTP3W3gL
mbnoyKWf1Rm3QtjMzO3wciVEcCa/lIaTnK6rq3txjYDnDn7yCuHsxA64a3zTanyUfeUeQgFGGyLy
4NxgbSxPIpgUxbGnvpAlCvWsh/IesHxAHlqrSwx6yIwA6uar2SCHUhqc8JaCOIM8xzQQ5BtJLP2g
1mGDNH6QDOrqXgliUuL5sQQg86uM+glR4aZSPeHmKqj4T7KB38zrMGaTJIvLu8j2AmVnYaChXopk
Qlox8kZxKn10F+vyDPsOEI49MfVRfYTaDDeTg0Idk63IBXWlft76JcPOgCgAOZAYufuPGWD0ld5E
Xj9miFKZVBOQgcg0AtcMIGAE8vHm32fMfuBHK1umE1cvsWEhTMeTdfakpzho1+DmFPCeQsR4MFZC
7A9H00PVONexd7vgtfGEZ8suWYEoB6jnUcxKMNzJcWnRqYzCN3QFFp5Ktjy1BbziNhFE2ZPaIbzH
ldCByPDGq9qGiy8cewg6vKvf25iJpnYyN1aSm27jw23XvgOxz7PZda548fa2zJY4TziqXbmG9TU4
aYy+GIETpUxvZ0EPulQ7SEXmH6bVUcAmT8aKLX8lUoC8Qrso5ylVvzSFshEglFECBFO0hdW7duwo
rhWbVhQcEfY0Oy+M7duo/vTBzLBcZfRnF8/sEIt8Nljc3SF2N2G2Tt+IbbK04EoaJjQxcio9SI7O
+sHwg7wzL7JzvzxIK9lTQxr1Q+3DOrpMLwAlS4aEzBzokHzzHdDJWIMbInge2wCqxGnyelmZ3CgR
OOdYxckeLYDHOng/h8an6jBfeT6vr1uJIBMHywHG4LMzqpPch1RDKURH1mC1AFPR6WxghRbJM0F5
tHXw8VLo8vEW7aJ9+XhtbHhr7ZfoCnhGlZQZLQYhzPan0harv6/RHQBNLfxOrG1wj6zmmpfDWUbJ
ZZ1f4zBxACmQY9gPxwhxvrDxY0IGAqnSaQ6TnfnByrsxA1yDJrgvqB+szs2hmhdjU4mtoQ1Zzykt
ONKJhwAToXlCihsVG9uxOEYonk/0TcDvpf3ykb9DKaV9OJ4yS8b7F/CyvzKKu+zueIFAqKJ32NLx
R3BkFhU1122Pxf4SnSza5utKfh/9zMY6XF/eby43NAGRXBoU9pZHJAk9QzxdEahLhKfixA5ghcN1
sUSicbYZGqgOc+xxNsUwlTkRjfIG6jOSgWfolhaNhegZlHtIL/Fkjp3t2UkvTMvG5anz1RdhHz1H
4CTYBQRnvq85W/k3rwkmShTeCp0oiYQkzgyzeA+WDDzbvGSn26ltg+5Faa1uloQtNK/ETvCzaB3h
toU/f11dvkEruCoUEr64CLC39NIRlwVeO5gS4G5kMe2KjTkApUnssMDFjWUVk7or3c4oxM+dwpuA
MzeeipfzJGDgAEXaUtcFN6wyT2xxbQa519OJidYj3UTtSaJ1xaCN00bsCzPzHdQGbVYzOa28Yv+Y
DXxxsGclor2fZOZ2fCs0pxXYzAR02HpAXsYALF4lK6KqUdl0KNSho8LCwLLynRdFsKN3T/dV5YEi
qvzWcMpdT9cCF3xkBlxe25m+zvc1rILuVd13C/GUv3aIuVdk0NCLvFeEvGmlg+JBeUcjgUSEG3PR
v6d76Eyra4ieflZ7/N/mvOpvNvAjoXWnYmO8V/hMLh4lilo7T5cxXfbFF9nicTl9VF4HjgXCRZkA
gMRarOS8lKS+jZ+u1TEkKnDC2pUMfgRBsbpJMy/J4nFKIIU7+SrYY8YCLi+d31Yge5ANjXH4fWHu
rIKXt41n9oeHABN8gt4UivBfl9fSn0J2OLyrBlwBiVD63xfXShK1uaAx6B4xx4eFNrg6UkwzvgHI
6bGgfqkiawSaQ3GjszO5lx6VknSIZpkW5AjkXSj7TAoZSUG6/uuDU/50Cv/Dwf00hTfupqRFI5yF
v15xMBbpUxRKbwgUNyycT4hKgVTIX+KSNzAGEJcvolc71+XtqRxNu3AXsAXwC23aHgU8Inpb3FA0
LvsAMRq474aWc/Z5e5ceaF6xqhrWZfF3n+BPT6+iks0mSJqp6iOp7ofeJcuzLn1oIKL4zbQzbDdI
a442ylfzxOy9gHitv+c71Vfe+ECNRLI3K+vCCNIZwH9r34lJPwd4eI/YADq5xD9DwgKq+SAkylNm
1X6CoRPYQm7hlwFFtKWTFqYPXwz++psYnZT/yIf44XP81IM9kpTeKuJzsD0Uoo31CwY9h8pNXpqj
GEz80pnsLmsTEvRT93nf3K2IweW+h+1fAqFR4qYQZjskKbBY3/P7jpWn8SWmrcPFQqG5j9yzpz2x
rJub+BhhkHeZ3mcFVTtokURXpe3OUNcm3rwCowkRnPQHgRHR2bu8gBEeejCIhmBh42XCfIyFn+oD
QMCYMp1vEblDrX2Sj2ob9vrfYK7mn9EisXz+7Rs2frqB7rXIva1UnBlHPkBWV2le0HJBjfJjlLVT
UpSe9Q8jTLnEcrc41uCPNXKv2fUwecmYfiyr3R1x5DtnaHTIuJJEZ9H2X0vvrIxFSYMWWIYg45yx
jWU40uzT8IGuvAy/xhws4JAjahSmtsNm8px+Feh8GZUwxEAUW4JLxjgonC3DN95x8Jf8+hRLQEjT
x3vv31lwYUPrwBuf5awgJhQnysZWFriz+O20WGTuY/cttU0mdxdfosZm9Pd3S5DyNxeX8RNqXSiR
qPUdF5cEJWMmke361t7fcTVCXIZT2nmcV1gmPUNnocxsoVhENo2EwF0h4Ss16tWXFOm05dmhrqZY
LsLaiL3rDsHVlRP2Lm9bhMfQjzfoOGKI5Dh4RP6wrGeXHeHlo4KN8DOfvIb3nMCHDhflBM48rka+
PuNVLdAYu1/IY54DezeJb0v9YK7SgLzx+E3b0AfqNDQRYTBTTV8Kr0wW22f0UblNQhHKM4aI6FKE
w2X4iK6z6Hg+GZ/nq6MFMl04W296GLBqxGoKaot0KNfKzKinCm6/YFL0kW/K3Bh/UoSCjc5Iexog
tO4GRgpfMpr7afVGKA2FenL3k6e3astmVFhNOWs2j93FubyaT9UHYWCjr2Xlg2ETokTVeez2uApV
tB3tfHDk5/v6sWMLR1Cz095hYlv5222OiQswphoeietz2A2p1UckcoQ9LpbynMywAFt1XKUvWnCe
38hBBAIp8VxkVIDSp0cf5WJGRNr7pp+Xu8qTsMzzVZxLrg63ZXqgqxQ23VGA/WVXykg3BXFCP0bs
2zvR3NCa35Mx9O2kQAhMnu5wBs8MANPnmLlNB1DVri0RyO9Uvijbb6ve//odDez+LS3k41b0VXy+
1D/9839wTOPP/x6f838f8z+//ydP+c9L2m/12+/+gdFTXPebx6nqt6f7I61/iyYZH/n/+8v/WNY/
9cXpv/+ruN3rt9S6fZ7+xMqeYBxRN3SiO0eQ7C9Mj2VlpIv+wQr/98//zfRY+EUkdYzXVU1dUzWJ
27dlcPXf/zUx+JWi85aaYpqCJCu86HcrfN5DUAwDt/vRjJkD+s30WPtFkWSJV/uPg770T0yPFe0P
y4dECsD3Q1d+okMlciskSt1hZZidGGHhOYmlCPZSNLsNMFasjZ3+ZMoeMM+xBbo7zYeGSA1H0gTt
CVS5Le74HapjFWd0B+k+f59zT6FRkqoZVk/uI6XoQQqm0R1ZTeWgEkcwRQJ8lH7yd09un9MvH50z
wRt1zgovSqiU4t5q1sWhOjYrsQqvBwl3/O2tsIagOtYAKjLuYAiJbR7HU5IZnvTvPJGGH0Ucb2TO
ssIjQossCYoYfpr5WW/z3sZJcRSnlyE65Wc8ldqtLrDTUJJWR3490lJnZwKltSDtmI2DuU+/HUuF
C176ORAUwCulNvGonVvpHs/jfyYP5BXLdjtAy58CmcF5pQOCrrTluDOfG73Cs3LAtjkhYuba8gvO
AdqvKTYpb3wYPp03BNj0NGv8Gx11ruFPYEWDt2L+wn5l3XAx+UigBkErwmrp6WJx2Or82wfPfI4C
sRaYlI8yBCtV33QzRGGiTeyAOpcAJXCthMgvm369VhyZMaZtuhMMmoNmLWJji1x2yYsYtcvpip45
fj5IKziK6eSXdXXbJDM853gcx8FZHwKOr/vsl9Fz5lfHVl5MgAY/lXGYRySHI2oO3xqP5aPyWnw5
/XVREPzM3IGtI0lQ9nQ15hoSiVI33oMd6WG8EZGF+U3QCqeagZhmk8mePQJCYFMTweazqG4uxS5m
NlCFnb4025VKclhp15u7PjrWt7ITHx6TTT0NMyTiWM0wgqvIK8E3mNBJFgbhGcMYxzzhAcbjmw3I
EyKL7Tm1otkVks9hlBWxqJ/QhCOxJ0++tkIU4GPKym3RsYNjgUesSyU44oINvcEZQOVQkaBVoQ6J
TXY6PA4ydpR9BV3ltqiecYzd0RjYiFHsEsrBScRPv/GiWfc6vGLcZQ2LHhvE0r2COjJg42CzD3kf
zaCgicMm+ej1VRESF01a+Ckko4VEbx4KdnWI0GjzPXg598Vru+Ofpcs0akH0uAHdSZw+IL9p2DVq
PgKFTcVN2Xh7cVHAvTFPnYcuYYql7XPp1jqjrGYDcwoh9IZCidMqMmjkI5N2uiejHKLKKgXKwC9A
9+pN6SoYfqrQEXmAPmyimTSeUv2ET/DB8HE2qLZySkS3VYX8ZcouGeQGILpNDDovR/tmnqpqLstb
Rlps/SIGxF0bGtWMtM0W5WPpG/XezHETv6JEdarzR6z+Srr41+5RBkb4kqRLZIDJ1Hl/vUfRTf28
R/30/O97lKBJYxamaiimJphsRD/sUZIkkHYtMz+SDJF3/WGPoitTCK7U4Urwux/3KNkUdNFQNGF0
0heMf7JHEfP9c//EHvXDof+8R+nC+XG5TJKHdw+Lj8Tvgsu6CBB/w03oX5TCU7WgdmmnEMjf7ZHH
FmOB/niGR2rEYXtzWM5VFGnzIt0WyRuPMdpt/xgIBHrHtUSL/bvAa1V42D2dNVh3IEPvBuZmBLcW
qmrj/zS5KLO+gZwGS/izEVkksJwoy9k1B+1nHJ98QczGLlO6zCVaTG6Nmuo1ln2T8Rde5ZiydttY
3l47hsQ3uyqw2sAlRbo+n5Ml6PbNauq1FESkUtBu44Hb3f2oczMqboPQLGOR5PsJFp8cezLRA618
LfxSTMk6fGGDkZNVTbIJdxaaWrg+De7Zrs6CWlrF9dAPZmi8RS7WxJiwRzdjnmefSbO7I23RhYcj
sRCX/H9EnK3uRjdoqS+tFqCuZEVkJUmIXw5Z6wx/XHNxtetZAQC7633GSEV2chJXcJd53BZ4cTSv
4xIiPBEbGLIckE3msSqJ0GW87EMF3GK9009VeK+g1Y/rsrzH+3pc6RZ34rOQz7OkwA8Em+9YzDsv
xRWH1t+pRpB/vq+E8NpjhuLosivDsUydDOUvIlPMM1jZeRuOSGMmryMPxJobR2USoYwBM2WWdqX+
vDkoPoVyapt566QFxAxP/7qHF83vHs5kNuy6lRGTjexOZlr+oeury9mRFtJrcbYp+xvmPwy07fPX
jFhgFObJV+m0YY1zHcmjyRejZxtzng+ooVOIgo9Q3hUfQPlkaO3BiDDwo6bYqJE7ijrw8qDp8URq
/y8Qqtmo0+pGCviwMv1uBXHy1E1YtMHpxR0pMvcQYjfHUrrDjscKNojLZX41p7IWgCPx0iAl2v78
QtpYNnuQ/Tg+5wr7EWj/tVvlH9Gw6Tey7Mi7CF0o7EXBg2BM/pEp2AOET6t+oCAf//DWK57GdrLQ
dxVm1+/NUDt4uXJO28o6wzEY0NVTv8CVJsSME9XkOGkFt5n0q5zkX7pIC+QYk1ClC6rCzv93jYTJ
evr7RfoPz/++SGvfU4c1+okfF+lxvM9Ka9IvjL/4vkTzHE0z6CMknVBIFvbvbcQIWmqGaqgScVtg
a791V+tfOXG/9nL/jyyQPyB17BE/fG79py4i7sW6r69158U3Y5bJ0A2uXX3GBk69zjJEtXpyw/3p
YZ4GqVznUh2YTXU8swh1KN0N3MhM3P8MqLI92o/+Dsk+ap7NTI/mon7e3CL5lAkVUqyIUURx/roP
JWbI+SV7eTTFO12kcx/ALvLzHXNS4NjoCqZVFDBgiVcOjYQCJG6YJ0dFnrvo2+nNc42JaF8my2K4
FlRzTYnpfCNl4NaaqttCj4NQKwKo/5u7YkEhFFQzwNZlotf40v+y4jBRT/10Mf/8/O8XM10xgDld
LpfNt9rhe8UhIX4XuHnGXvn7laxIijJq4mWuWlGnRPh+JUPWHC/x3zrif3Ily9oo+fodC5S3//6p
Zf0nPE2ZJL0qXgTcFlY1rgKjFZiYV/NMeOr69D1+bj4YoZP2Sb3B9khIoQH4Kh/SbtlddEenP5SY
bQ23xZkxAJE3ZIjs6UMAr0dKSLG7jBSWRJ/mWuoYe3bAbjVAkmNCqa/uocnz00PZByTimL625z/A
99k1xKwUZXoaj+7w6eGugTOaUcCWxCZQsUpDLBOuC/YAnoEj2QPfuWbGTyYTOxrebtnM9GnHatQK
+jFTb2t2ETYes1tjcMBeSTNJF0o/qzj0vOLT2GILLp05DaAhu/TaCYinEL7rlzktMr9Q53TBYwYO
XWKarXo2bboD1Pdsxksa2RTRxv4MEqZOa549M04aPiPf2kbeBrEUmDYpC1iVExX0dtfGJjSSXsVp
c1vQxsKMAeJyaNHv9b6m3qBGG9ECfTkEHGEyAw8e23UBOvrYrGtsZx2bIDYecjVr+dbOZ68n+KGx
+TvDcTefUaPp/dbEjAz1PQx66p/XNHNuTOwXzK8x2IsT1G7AHtAtzvhFDcwSIRxjg/GpxYv7+UNG
GzI6yeVuctmLGVwqyyRcryKlJJRoYDSRC2aqE8qKcK9T0b1St92Z9eA4VECoh1Z9LjZm+1oA1e5K
0NI4kAmX5jvEuJMvoA8EbNf0YU/UW8JMDI86xZaCCy1Q83qXy/WD+i7Om+PZxMwVS4xiH12KldDD
ZWsoKcVdLHyVJDl0hUNXW/cLq10N0VzeU5e1K/xRAzGajwWbvsyE5whSiUYMwtSQto0yS0jL2FPf
GWSTU9e1u9KlsDMWPCuUunVfhXgrHOj6uGwpB73J4PW72rrZPY9kkY1mZFtcphHus7lDAXez91CX
KCgpUae8JN00NSPvSDc7Nt/Uexf4OShTMHJ+E5c0k48VfeK35pLylmpveKVXp+QbO/xV6Tae4d+h
XaV290qxd6a42WvEhjxzR7Qb6iNKrI8I6/AwTVzqLIqsySyDYj6kRx0LbAG/vFMMDfKMfGaW9X6p
7zpsdvMPbhSZVrX8Ny/4tHiCobH2qsSwaeM4868WfHUc5/xuwf/j839b8CWwTk1kXVclia7wxxZT
+oXukj6SmDd+8bv6Rf9F11XRNMmMExFkiz/AoPovqqmI9Je6aara6JTyD+oXNpefV/2fDv2nVf86
TB7CQKC3Vys1DqOFuqpk1EznDF1wo2Dwk0YyuU9FHl7Fcnq7N3AWDFPcX6XrZDXoXTVAIJOuT1r5
mKzvuYa6MAKaIYaTHsRgxJsPj3ktPz4LyDLFGWF5DDkqryvSwpSI2JCMmJqHwAqaSsVMySWrBszP
+86PWkiJiVkDqeLzcq6aIM5xkk9xqIG+wIZgyfnFlo0yMEVo9MlbqWEJlo20NewsUtjVJZZlGZ4p
VXxFnJTFpS0X+NBdrn5TRfjwGxMoDnpCUkdv8OH7ProdiuujcPL88pqcY6euSVkZ80XNmE7NzBDe
ldOyR6tW4mcuHaoGpQAd63Dfpgx1imw2wAXPEU5RzoUDZuixtG4a5psKXsl5RIAD0WGIegT1dH4c
a+kaqMZL2ZZ2NnwJ8TKlAZlkx3t+iCTZ7pudbEiWhP+GLAuMKzKnwe2zlUldMg8XDbIJ/yGapZ4Q
CppH9t28hOcJ8UP5MotZLSO/amPyC87uUEfTnENLmeoMRLLpAKBYAjXiGLkKe/2xEXEBRe2V5p8i
ZMB45AAzge3zmRQ99TEa7gHlbI8Au70vEKPdCwK8IAAc8sdl+7ghebrcoxhru4H8sts9xlH41AE8
mhfsl84EzulpjPW0DvE6SjlY3MyHcRc4DziOSMOvdgb/zs5JlAWFK1TDpgW68t+uPSKL009rz8/P
/772SKoKtqWqOjWnKXDv/1ZsSr/IZBFTWUoAYKYq86K/VZz6L6wvLDksLaIO9+AHeEv/xVAB4QRg
KYwiBEX/J2sPPIY/rj0/HDqjIH7/A82hf3S8STkYXpThceliamkY8PeZiKDMVJzXLn6PsVVGiJwD
5DDLYOTAJBl4mRY/ZZpnUTrxpzpmzUfCOJIyq3gvmll8PfxaH/FS7RZ43qG6rI4UTAOiomL0vdop
KPrgMR7abUkpBZbNM4aA1zfxGKf4o2gE4+/HMQjlFjOAZt0v64ejNyM12NS/2usCp7+embIDaWeA
7lWvjbf7dMVY5v9wdx5Ljltbl36Vjp5DAW8GPSFh6E0aZiYniLQwhPfA0/8f6rZaWXXVUmiq0I2r
qlSSBEngYJ+91/oWL2oXH9FWsasXnoh4YeYBc3EHOYtWynQP070c5zBvoqIe6TdoBBLTamd8082p
SRMRrnPbpbiRto5tgl8cjv6wiOZ2nu7UNX02rm+m9SjMkKBiIp3LT+rKAlUQNp7qKExbXkkMnyiN
WzEniWHyJhSAHRJJwWtg4k8fw7STHebk88yGWXUOz1hwKvVR7J3m+BbrXmxHhbsWzI3/2tXO8Jzg
whNBLsbrjs80rRc2XRqVUHTKeCoJSuTNjGZF3tYeM2MjRa6SwxGH8mOspI5laBG2qa2o64Sl2oSA
ILu3fi/5iDyB//Vkw2uC4CbxtuvWpQK7GctlHT+wZLXIrwN5heum2tadU0wM2/ex+zaUnRMLHjX7
JD25/V3LPylzO4ro9Rt675NOB3IN7g4PCAkH/qU7ajuDdLXMfsugNzfoaDDutF7/mG4A3nk35Ijt
Y+lFTrRAmnhFJLznH49QilZdpLQB3dt1fdtI23rPxNq9OXygWMFxbvG503Xb93faznxNIBkeOFeR
BGRLEzy1VryowinsHRqwOXAr0xmIPsaLL5Dmci8us+C9EC+k4Cx0Thck8wZjIZQVVIXg7T+xbL1o
z0BguQOITuFmyJ8NB/K7tWEPY8z89nTVVDt0YMajvoMwzp/q0h4rB7JvhNcnp8hVPEFxxw8D8zpA
ADSML9CoDzysP/X5efyYkFwSx4GqEtYlIywYHapNJAxIqBzREL5knhLiE38HrIgV3hXX4ELnpx/O
4jpaYnhlbIW6cRqcttumzxiioDVy4qXPyfZUBsQzZvhJLKryE/3WU7bl1cydiWqBcnjNAdXgPMIn
QNJ3/CQM6d9CnIoEvJhzoHX9Mh14Q9NhuCP+0LJNcJ93aGtxajQ2d02QQ+wI7wngJkITeXR/wkhO
nONWfsi2HFe24hEq8FUMLyccYCgwXvUdxiX2n1tWGzBHKprb+U1lj+TCZKv5zfGWTyWIycLj2X48
pbie3zt/w7/G6gWdiVXhlQ+Fl+cL5P/5bzypgHlxlueveiJyOV4De4atORwf3wDxJfSr2fIIF3HN
x2wsedwAGoDX4LVbeH74VB84Qt9NthwrnzsfhvApoxrmxj+D/fiIlhwajyqWHj8U1/yS/CA/VHOl
NAvYKDxqzgVIp0g4PUo0ZJGHDteQvo72csOx4klKgxUmIhDaBbryhfzCX2Qsy+Ii+CzeZuthc4r2
/ge/qzLxZi9PUipaOYTTEGkZLrIekdEKWBpqKiJc/6M7IJ9EVdcUPlFsyC3VpTC+pqCItfoiASTP
8CFrbMwbNjq3l9zWLoR+Phx82Y4bhmbYP+QWXB1wYOEYr8Tr5Mj+oyGuhORJEgu7e/UrYHkvg4hh
DEAVK/S4ZyMXgx+t/WQpeGjC1wXpRVO1TLlmWhZvlS09GVREKsGyHQuPfnd/1nlFpszVM7UXq6XE
dBBmdOvQSOjO7Jdqrqr0g3Cmw3Sk6zxg99I2WbRLCyj69PEYDdK11i/ssJIknFvc1pulvMNGqUF1
VtCeAZFidak3Pk6/wk79E/uxSPXM+tSX74QsnJP9mVaCfLyFBz98Yxwhp27IG2mmF4YKjFmx/Mwd
8RybULRmYWeeLV5AQpUu7yQJarfrne4xRnbATnHLYKBu9rxTAw16ta6sTS8C11tQAvrNcwhzojaX
U72TAwffSF6jBe+fQVmn7aYy7TF06mCbY+ONjW0SPEN6iWb0vRM/GjDUGFQAx5c9xX8d43WJsjuB
x+/1qMsR+WC8Mzbw8gWKa5+y0bb8L8ikOQGs5FUNj7JtfInaxwgsGn/UtrxP72elLjRVn1q3PYFz
abW9XzxhSLhF6zjnksXYvaTLHuSrQnyWbu904Ov7mvtK8xl+yu3nNGwYWZVvxed0c3xcjUj8aT1t
wk10hHcsqYfssd/Wq/RpC/jnlJJ4u84QhPUPSP4oao2+g3jSbsPHrl8ap/5JfFKRE3+298R4LZK7
OU9wUnlNmH39g/88AMPIDsCwsJOSOsFAwh32UKyD2LDrYKdLbyiiEFZqwpwcyWskj7gVGcM/pZKj
PAxkZzlMReQzO4Kdfn6+6FcEJLa8j5pZEjvXxCxn92BbgiNDKI9EPdalK58TyRhsbkKXU99g0n+I
9/02AGgeLkRiV4SXEBUjbg3WD8Jyir28pZUSB0sdCg2ec0Sf5VuAOTDb9NhrAQkQJNFvkrXuYXoC
gQE8RT3Dx+cejoFvttzKq5srbo0XOiv/4oYwNbpiShp4Ujbdsvh3/QGJMcCvNfovj/9WozPBMAzz
P9Hw36cb1OiypbA1MCzVknEy/lSj8wgNyBN9AkbOVPa/d4Up39E10RaW6SCouvqP5hvsFv6kRv92
6L9GnbeCnw9SLphef2b9oE+7Gr0yIbxzK1+tlcDfwALJV1kF5e+wxaNIrQK7XdYbCfEHYToMTTcj
j6YtxbJFW0rsbP917i/OQ0Wmi9w2IW8RwEojiv0vaxX1o/8ZiOf+HLJFPFaueC3S4zzpwzn3yeyw
oQGmuj+e3kBu7vCUs56cJLd99syfeBgqiqxFFMT2gECdHjFQZDDfm13d16AyCW6BEyY/THczeJ+q
mubDLXuSMdKjyn+3rv17+Rzjy9Bmohc3+PlmT2/TBR53ymmq0syg4R150l2g2glYcwS6xoLbrHYQ
sLXPMXJkbYMhh0m/qV5qZT8oNtuRWcmUXUaS2u1hTeHKQfZ3TOKrnlE9zUAVEsAjZWO41GqPmu4B
8RBCIrYPHQbPw6Svp/W85aERuyVBUjC+EBiNB3YlVECFhEKnJs86uTP9deGSLmWr/RHdEv+xAt5I
9rAzhFfUTjF5gMjABXluM85SImNJHxPlTAOyCR4hoTXuLHzyd6Ss4GKaf1nyOkdyZPmApI391yh9
QMtGMUsUVXcvPJm37VgddQPwxrJj/dp3IizyE5koHU1c9G7slPg3ne1pzZ7Lv5ivbJWGFJRDZNNY
z1YGlAOO9ImyaST2sv6iXqP3nuZPw4dfHdgGtvGeD633FJtlkJQEQhKOnHWcMQnBxYMjJ9y65jOB
tJnWmUGGYv3ZsWwDIOALpQUB3ix8sMKlskmNt6bWQQaz6+iuYbrWGpRWF4oOhHvKNYPzw037cy44
f8QLyh/yR5uxBV3ljYh142qA14roL2niY07ktuop9ItC1aOwS29uyfaUXC1lCTJBL854TunXb97r
ZzpoLbpBOC2b3n0SrrS+lsj2DbDn7/1z16MtWMpkQaNKO1ps/HpbVR0Cxp5i6K3mEkm/SWRihHc/
+RHIcW823IshYy8LRL3UNdDMmJcbcCdN0n+JIca3HdjNRt+RLlM4EWwDSF1kJc9+jUf+nInnqPEC
LtSjKZwt7mZnfjOY2+XqvgGpEmD+bZR1QSpdmQMpsVUyt4wWLFaPH2gY74bbYAv1RSbrWfbxuqF4
kHvE5c5s/wfNZaAM9MJgk2I1wJ9u7Hw4Q0TloLJHY0mVHRNCSRpYc5pISnkTPm7ctkH6cT984Zfy
N9Tm/CXBMX7H70qNHZITbH2QZHSIlxopSR7jiYruGp89Zcdoq1wGcBoef2y40c8E9pZ99jzsp4k+
z/tZivihnh4QNjBqYjHi5EH8kHjZu/7IL/jRimkSqgWagPcsV8ijGcpsEsIONoU98mucgbNh16Uq
w+/Lnu7Yn60VJ+UsUaYq4pE8TkPwyFgIvO875+k8qWIdXPDf5oWx3vCHH68B3JNju3BY88Jmza/d
No+snwywnHyFeuNe2PKkxbzKvXOsqJjPAc4PYBxsYlZcBulWfxS24Ofnp6TirMnu5ix65OX7s6Tw
Dc1NBdgk9zyC4/2P7IOZ3HAUrwDNUUqEVPYNb4knRkIy3fOnp+SZD1MkDpifGOHW2PHhpFte/Olf
WxKogDNFVaNvoYgSuFSDvvlfjgwkJAjfSoI/e/zvJYH0m4WG4vdB8B8dO5QVVAIKrAM008q3asD8
jd6hRI1g6IaiIIb4oxowf9MMS0HghtxalmVd/ycdO31uyH0bEf960L9SYo3MDAtlKH1vzGm317fA
uwlWtErCCgiFMmQRCQoNS3+sSmcl6w27rLrHVtNHd+wBHDaKK3f4VabwkUrLXHa3tLCbQGWwBQLg
RhZyqz8mI4Q5qVimA5qzcqiXggQ+X27ndYB4zlAcvozAMhdBgjtrynIBZ37gNp1CDWzWeWErEUbi
ZhoKdGBGgzh4PLVD8WJG0iXU4jf9Vl6ymnZFcxGGeDkUQHZGlcAWOJN8tmsLb7OpnGS1uouNeC01
lsRw+5IU/p06dPtpxq/X9Xt6a0wu/jw9/quvAUnDTGeaTLAQUP5dWSz/LPqZT6dfH//7NSD/xtmO
sgGbgGxqP8ZWf1wIjL90hnSyomEFmCdav7euOdvpeJsmczN57lzzer+XxeZviq4iHzUkUZG5WP5R
WSwrDOB+vRK+H/qsAPneurb6UprMuOZKsEgb7gbQKJUyS3ZfBHVwSmG2HV07/csvil1Ld5vW5mfO
8EiD9Dio0YuZfsq9b/uqtKlzuhSmDzOjBzgWdt1FLOEXRNBzY5WuH32bqkFBr6R2QPO0hyIY9AH7
QdbphgRLKSEWXQ5hUAkEDwUk0yppSkl0E2jOClbgGDIuyKKdB1h0PCPNVgbpUVSgTIwoM7JcxnHc
y0259Lm1W+mEgll3h7zZ17eE3XysPRRjdpRKWtqqeB80+VNvjDszrb8CEBQi3oTBvD0ZeunlHUN6
4/YQSZ8+iBGDlA9F/Mhl7GBa77ZMnQosYQET+VBjqIhfpxmUSwm9Lh5ouiF1HGljyDdcELG0LRMi
qvwbNsv3/oaxXVLvzRjBQwvGe1gFGuiK4KtMu2Xi43WsIDGJL2n73E4EY8nBWsiuRa8uE2MbY1KO
Q8zP2ssEoogskqVMk90Cqan6aCcjgVUi4d9AnjIYEur4OKjsD3poCia31SnbDUhfsx4EY1QjaAnq
bUjPn76Ol0kGmk4IBDQVlERFgzrPQKVQZQ4PirA8S6mxYbnfZBlC9lzD/CVDUcEmrNZM+0vqPmZ8
Q64vo77ynyJ0MHbcMekf2qFfpnQd+hjbQdqgziWFpvpocpj8xsxeVmlsMHigZddRd1o3ECl0By3w
xCYNr0hgHIe9OqvVtUAzaDIUcsu3tfkUmoxSJMy5yqPSkrwq7YWOpnz33AGqhZZfduOi1h6yQHda
E3LRTXdVP2ZKqIQAkYSiJ0Nu8CnoW4LEVLPFoC4DvGzMAaiS3rbCEzPRcA6DMYQPAYiZH84lLKrV
0qQTJo9MHBU/ohhT2/tSte77PiQgSV5Fgcr4+EZ5o6GdKCoycW/a8pZ9yelY0jjTEzeMWyQxfjLZ
Ujy6aa+dVLPea4iSgwQMyKCutGZa3MiZ9CV2WrpM8hNYLnZbddV96JLOfNlnIpNbuHIEI70Tug0c
Hzu1NvB+lnrt/auXcwZ7XEaMBvFs/W2XY5ap/VLS/Pr478u5JhvcI5TZ1DX3K74v57Q/NGT4jCG/
S9/M31QaIPjSMIIhTFO+iTjN3zCCiXRA+MLmu8A/8oLJMjeqX1fz70cuUUB9X82jsZCkrKssT/Az
kiflSKVPp6sRSucwphkaNw8KC3Q2kQQFmdjobwC9LUBYJktr/WOR7VluCU8AKaTRWruxFBfzmqwk
KNyRK3SjgVzhI5wX7iDRDvMYTCLNvPOHdcUKrwTkiwt0Fcwkd61bc5kqcMKWBBJE1Pp1mokbv7fs
WvkYuXvo3EUK7iaJ7382rPUWd5mp/NKj6wiTyOcOJNYvsg5mwOQCj4uKQVjvjT3mTGvTQPGsmDgo
cnfXo6xo5+vB+HFlcIm0KQCgyljdOhqXXEIm9s8kogHJpdVL2rqJMGtyyck9NRKXoMClGP24KEtj
SlxlvlJr5TMuVcRisB8lX4Z9L+/j+dpOuMiNtt4OmkmGXf3UZuFbqbb4XGvr1OTQM9NxLck073sZ
1xC2UyMP1gEJT/mYH29tsgkmaV/e2hUiQiLPfRy4fmIxFk6w+OaZdbQqWqhND1pBGRpYumO9ljTy
a2VaEPp0qiAmBP5ZD0NQZSBlO6ZPAmpvCV9OYOJiYLYq1iQXKnsrk8laqk8CpInuRlJPPH+vcDqD
aNjJNaJ7E/CcaUHXAhwURdY2yy66Ee2UAElhGu/Vhl5NoWytduYz8YEHMJ4k/PgF4zcSUDpALNJH
Ap5Ra+g35C9jRCiP1r9OuawtJ9GphOKLvroqzh02hHx+rvOkF1h4pZV7eqLTBp7I0pXumzLdKmbH
BI1IuXD8HBtj6xO65svV6y0t96LAqVaqwXagKaI2kmu2qoyyhT7vZGgXlnRllWQmluOhfO593YbH
agcK7QFVBrUx9k9RGRNW509bhVpnqQVV7dVZybBhGLZ18jBIdIgqDCBNkKjLVJ3VxHyLYj55dSW8
SHnP2CjMGDTr/lpUCNAREu5KSruUbuwXygCyrk7+pEUEmSwyUzcZWSUTkX5aE0abJm7D9b92YQbM
ilKYUlme9WKa9Xfiek1HaPFtYf6zx39fmFWTEgNvr/6zHhnlmqWy/rK7Zen+yaVLj5mdJgZeifX8
h83p/9XZSESos9HEo00TkZ5Y/2TDOZflP63Mvx76r/p6OWyQL1mR6XU6ThPRWMYaZnl120v0/0p0
ZjlBeAPYUqoYQwFaqQGIpPM2ZrDwxp0gqm7QM5rUK/uWQ/G0bk6dTlg7CRhrE4YwF51GmGRdAhkf
/ah/JIB/biFCz6Tba929bGAtTF41VVsHDXwsXKgq4YdVFdsasS0BtZua+h++lTpVEiK4VBeJDnYo
yvaNQsOlf5pmkVr10E7RVhNunh4WC4q8TSGFCFG4QQTk6/g3RB4AguRqhKoqUNBLMaCkCM59IOTW
MvZphIq6BKlx9jQF4Gl08GODfpDjkmINOYiQhHYqCe5saLIyMPstg/Og2anKqQT2n3f6RpZpx0cT
VfWNhqiFBKA9B/VX2VfmvpgG9KdN5FmhNC0nuToZQKrLsfXiW7yN2xSCIwmSadCWmxAhQSXhAdLl
EjOuAfSsOcsCGHGwCaOENXhgZH7rQU2B/Aob189oEcdM/RCuhTAnLPimKkcB47Aw1nV9L1vZRprq
1SBUSPOQjEmZgDVyeuqlVvF8DAwCZuHpcZJ0yFcZnFFG6Op7aAg2q+Ci9r8q8ceUdRwA/WLkgptn
W3KzzytCCoEVJA1CGYPIvPb9X72MINkSTQsnAXrXvzNSanPB9csy8uvj/1hGWB9YnixJ/E8d91N9
hwBWAystgwr6sXj9vl2f5WT8yDREnd0+bYQ/tusIYCluLBELpYY/U/5HBZ42u3C+9a3mVUSUYQ3Q
PaMpoM9v7Kf6rtXDWslia/YuLKwF6hYJU7nh0ka/a0lLRo/wTIJVVTvyxt/8MJSTxnoW0ftcIYgJ
+A8mewBmVS/iLwTrYWpbXnwngaEL0Vrd5UxIyHhwUnsISCTcxZtCXybwrRzzUG5/nHE/0SX+V9am
pzzKmvr//G9zPthf3wyGEMpeoAY6FfDPb6aocTN22s0i9EKTlxoTGw57JLMsujOqPZos+VX9HD9V
/ZRiHkCvtQcq0lI9XGJlWZFV8CHexcDYGrvsd6IM1W/SV13gBBc+gjB0GnkB8tp6lp4DMGTkfGZb
LVleb3f99bbvFtJBh2MWtqyWEO9yvH1gYYK1yHbYVZAn9SyKnjau+ZgaWnI1RMpzjPIGzGC7kJDO
guX8CiY31t1bxLB+jV0cbTyB4/ITzDCm10q2iyRmdsu//uB0uj///cHhImZqOsuuzV/khlYgKmMt
cxaUTg6pjNjORYqbak1+9XZY6PY7k5/8mRGUdrjt0QiVC/XxzfeovOHP7czEM6F9xQ6rUWWTHgsz
t2MiaCMVhIuDR8W4WjDzBzKMkOQnSwrpIUHS48E+WYJDX7GmsSgH5gvL4RxC4yY7PljgXEDE2bMO
uzb4jwb//3uuzOLRP3nLuizTYVCAZ/xiT+uiLMxNk7fMmtgTwHuBeVq8oCAEqe9L68b3ynRVs12Q
6m1JYQndNFeuvUqV3J2VeKXUyV2SmF+atE7Tx4op15SsK2BqkjUraHqCiIGHtxAJ/GXDUMyiEyK0
ZB+Q72BnpHwjymwfhHb111+l9KfKUQWLH2uZqRu/vq9bpWtdlTGV3pqesDjeztwTXqXFaScx/yTO
AvHVY/k3Lzp32P/7w0T8ahjIUiHlz+fXN7mqJlXDTZ5808MUNWMrwuWxvFF9UMzaGvK6z+w47ISn
TxOYc3oa3V1tq2uPPsmufJhofRczqdKwoVEHX+nXB/7qs+n89Qej/NKh/7HSqd+OcR7nfzvGuExS
NtQcI2jt1wSwJmymqdyohQvPD1BU2sJhXmaop8DsKAft3F1IDmEEiykZRg7APLkAvXuGtZfcZpyz
8pJvSRTN9NPfHevcHv7Lz3P+kr8da2BGfu1LHGu7UY3lRTveLjPq1mbLi55yAv0eLUJyUHoX4Apb
6kXyJiw5eERM8f1to39abrANVuUrucjzog71EKFf/mzeJwtQoF/wuhdsPmnVLeqPjnEgeLfMG2K7
6BzY5IT+viGzqbf59u/y1WZ/6Z+8tXkmI829DWN+69/eGmZQTRAHy/SCQ3ZCBbDMe8o5duAMepnN
9WsTtnT0YWbTQrNeqGPLjfBEtkU8v0FmnhBJRd3Bk5Nsxq2prAJ9X8igZg7VnGptT/1a5/pSXCxL
AR641ncs85Opd/D0t5caPZg/ezN/1A3MkH56M7ku3mI9kU2vPoD5ImdqFlKw4s1C5fkHOkLW/SV4
yoc7jPeKbCcqgGlkwSdhOvS1q09XEegSfhKo9/XCCN4ShvuRI1OuIxi1PInVkbsBlFXzKkYrNuOa
Oj+PEnI/9YTQKV6g91mO9aRRhiuugLiqWAvFqi95ci/TnaM6EQNsS+2SFbVQllppJ+RToUtTlvqX
Al373RKJK1gWZBPxbZQL640Gbg3s3tgqEC6Rt6G25nZ1lexreWne5xAglLgq/7O7NzO764lOf5eK
I10iugfmVbln8Cq9a++8q+aYz1nv01bvnUmE5EaMHbdOJ4U49wqxeVN+GnfBunHyHfkwLwOKuUX/
Ep3BbUPOQlYTrYaH4kManxq5cIbq3F8Q7ak7cXKKlnvOgo6thkd+ZRq7MgTc4s1iD7o2hUxg+X0I
gpgNgnqRUWxkjN6l8ijSSniRIgIaY1SWrkX2TIwa3XADvjeICaRRdF7H3Q15tPCo6gsfeeVgw5ur
D0Vkt0TaRHZQHZRkx6/zIH4impTbjjrY3YNYfsm6K4WeNbmyw8OFBm2H13SbBvGygn5tE8lrlTT2
ZH0rPDb+D/gTbZ+NQbmytFUubsb+iLUyYe2ZpetXdeDzX05n7py02Kf8IxuuQnFv2i1Ea+JCbD24
jO0DIlcKj4KGN8LnSEaiSJFhXUtxmysH4/ZVDUftTvF3fQ0LWgJnLiDUwaLIUqKCylklARFJq4Ak
rE7FQTkH2GZvaMjTkWjTodxZ9YH0QACvC1lNz2JW87n2Ge30ZMOkAzysY8IrrDds7uLxVdgo0T19
Y40YqM8ESYCHnNF0a6ISL8WZS/duymhznxBPuYN7I2ZjnSP032svyGnG6Mi0nag3NqPGsQkA4EK+
OIQfbfWRPSRr7ciyWMi7bN37hwHCbLVOzHUkPAnH4iGquNPZFHu9Ux3T1UiyQmXD/F+iYvzkI14B
Z7D1swqHlt+z3HhOp6vhYUer3D+UgqN6IRlt1sNH/xSetfVFXCYvCeaD0Q3XYAmNBUoBapPoAGxE
gQlvUabgZ3KLTX2SZew+C/+okxEJe6myyZJQULqCljtrG9NfGHMyuUu0YH0yOTE29Q7hinWem07j
4+3UY1zQFuK7fERjjvLcvT1Mr8XBPxKjzLCYzHjCRyinoQ9Py26O2qGLmKlnk9CCu1jaR9KpezXK
Uzwt4juuqELy0MPEaE8ou8w1HnhlI5moST1Fcw300aTEN9ubucmQ4JgOm3N9ek9wCnP7drPEwaSZ
WVTtculkZyUnxc6CRZS5Y+AFp+YAAVFietStovs5i0cDtx+EdotymyiFfddfqAPVbKb3iifJO4Fq
PgvUWzSLl8pyXClEeSOYIVzJWsviovE6HJ21OZ+6K+UCLV0i12IXcrdLRAemMd6sSxBsCxI/ymU4
2PW6OiQrdQVfF1nTWfUM8iGJpnLlpfWsy97AtEOAvZIshCNMELL3ZNNV+QJt9uiMBB8jQLWxw6HY
5U7zYE87bexGzwyynOhgnhGY8Y5NN1VhDxGoQxSIfdunn7EdnCcRP4JKykT50B3qo7xlYtiuTCdw
peFMRXyI0YucjBeyCAkCFHeAMbIzb3VpvsPb3wGSPEIYrHfMRF0ii3EZBy4JX4FJrlG2bIiTRPvj
qE8knD8getvEXr9CeWoDs39snPAw7pBIH0dyGlbCi0/kIUQPV9irR/W5XpcsVry1fmWsLyMOC4J3
WMEAiotPwsk85FwDqAA9cTU80qVZqq5o50B0jXVAxgbFOGBrYyXEruY2u+mZFBXSFMTFDV3QsrpG
tmAjUdzRBA220apYm+f0ImvkQayMe+2ehXiLQtd0eRUy4yZuO/sKUiZETXPO/Vbybb9TkGPPd+uF
iAOdnddJvzPI/0QLfyeQMsFBgQi7H1lQlJPA5zeyrSRUmls5GsAX8d6AJ9696i6oEYJQ2EK0+Hnv
b+Oip9/7kL7VT/Q5hDVS67FzQ+fRh0NtXJXrCFLHICRLZfS28DTpIcAgg/DxRl9/By8iovGSEti8
G9pX6RwkboJuWXDNe+uML7PzD4Cfl9PMxMzopbhETSNZSj/YD/DpDxte4jynMOHKsNHjwYNEq7+S
AFq8gzUHtS2e/MhLtoB/0VRwGjryovCwajCWeFWqnFWKnK8lnSBiUetda+tHbc/GschtA+tCeJDw
K5HxMH4AB3hkZKfclS3ekkKE+SpcA7hb2jaon9v35BLyJrtl6w6X3g4FZ7eDe5uMpIzbPlmxIZFD
bETJQvBFm5+xL02J1qwd9b6J4aoPkMe0RbJlGSJgUjyqpU1HTxM32NTZrrYjriLPAm8/bEXX0Fzd
J+HAjiJ74lsZ1yEpCGisMw8Tzy7Odimwta/hJF/hDY0bmR16kCyqZ7F0i/aMdL4uvB6WKhfeCpUi
Kq0EAljhpcSA8aGdh2fRs0DBEz+pEf1hzecMYrLbl3jl7tBzskRvTHs0hKR0JLzsXDfLfl2TLZQ8
Eao74wb5cBVue4lPT26p35fP6Y6LqbbjAyVH/jwYlFlEsTvG4Kj5vuyeMLnIzHFlbsOcJKTjDs78
pVmINQlUqk9icNAo0srtxI/ZqjO7F4hGfaoe48/xXFvod3B+tcVytLbqYbxDT04N8k4ARMNtFBIQ
Q5P6UII5+xAZady4XsJHcznc3OZF5r5lPlFQvonXslqgprOit0JfaQ/+p4XnztrmKxaJfX0P5y3E
EcU9Y9c/R/goShBvEPeq+JlpOyT8R/kjJZuHiqx0U+sjs7Zyg1UIwBMq/Dv5IQYXzDArdBS4zoTy
+msZsS29ijcFVxTPVhmqQyDQNuFeCHUii50bjR/gE+MGS0PERuiUZTs8sRgriKMTlzh7BKinBIrz
jshJKqkl2Lk8ByeuA+yGgacQKXU3G54W/YdJ7vxefCRW5ESVv/LZoOTvJaPxD7V7MbGroUICFIPg
9n4Ex3Rphhqm06sQEbVJ3sAcgTXajdMth5WxmnY+QlaCLnw32pW7fndDMfiQ3bUP+UsBKgDb2n12
Vp9oRgl4+nQ7GTfJHqfLqt+2i/DTpJQjSHbLfRsN5uxgGXj38/kVYykU527yzgfnLi/KE2X9Kn3J
P1L8yE7vIEelhUb+DV/FFUXhnAmLhHulRme+PsTgI7fBnV+8UT1wiqcdGH28xxakDfrFloOCsAhP
031MaQH9g8+RU2Q5etge4x0oCZaEWXGIUFELDz2ECWxY8/NsKZv8Z/ydS2FCgzoLOxtpllFa+VXY
isreby5IFvEoA62KwiOtLSu40CYGCQIyikXpNeI0rE+MDXn7kEbIjCphg+DCrDeciLNksuLnHKBU
HW/KFanmrEsHL1JvOBDGXxllIG/77ceW/d/oVUawRbeWZi2J4VgSRI0d+1+KHucWyrcO8p89/o8O
8kySB+X0n1H//Mg/FAJoHhk3/d8u8XfOk8kgClosykd62rPH+Y8OsvkbD6HlDIyAYRUQqH80iPrV
B/FD+jgrx0ip1Okhq780K6pUtFJlqgXPshrbDK0trNHM/JShS6cd1p/BD0+jQUNsZD6RZaktW/lM
AFjkPjpbqdxwCRTLQu83vU75qwy1i9WVxR3GD8QmDPZ9d01Zlq3SPwrCi9h4hXRnYYJqLbYTZvna
jtdbtqvE20ff1oc6aR5RXPb3VUJzZKyDB5Mxj6ilO/U2bquUdqoJ25ydmc7CZ8nDpg4GZzR3Ib0r
5jueNUzMvH1bk25beVDfxrZ9uMXRfgoPg9GihQbFpvWQXoi4TdVhq2njasrQ14ilg0F8EQoNRl2R
WO3saRrVlxSUmpA9DHGTPCUZfNEgsRUJknl20SBHlLcVUKxLI7AhHCb2CyHDomJkrxEzxxYHX9rd
hlTA2RomNGY7gFaNGq3H4GoouWuItB2HzpVHEG9BEYPFp4xFHKGTkDB0sG1qoot1gS4qUdqieW6t
cnMLlU3ZRidL75ZKUDwoAxNpBvB5KNjwCx4VhRpcwPxmpKEnT8MuYAKe1+pLqxKhJ3frfFQe6TPu
+1s5ExVvu06wrkHaAL2xkOVb+773z0ZVrGXaxh3dP7m1Q/pnEroEVSvv8tFftVF+n+e9gNZcS+kp
C0utF3F7IG+3DNQTIHI0Ag21ol6JnX9UQjIVzPqhbroPVelfh4bUoV7YBiFC/JLasWicJoQO3wc9
ugrSR+YSJpkcwcKQLML0U5+mxiL4a3CkaHhRUgRduH7WCWkpjRG+pwrjxDQC/SA4XdQ9R/q1EIYN
eQMbEZptjufTlMi49KvEKUQCqscbtB1asFe5ekpK8rWKTWQpFLP+iJ3YYgLXT9d/85LIKA12Aypw
kwnT3xG0NZXu2s9L4n89/o8lUQJ7ig4LLITCAO2nJXHWKzFq0zXa+qJCf/H3odoPadRMs2GAZmEb
+2lJlEUDIxusbwYgM/ThH6BjdEgzPzU55yXx+1tXf+kLjklo6EokWl5Gg0TP38lpVElhEcaBi+WJ
GzwVYJ3Sv6uXMmsB/Q0qWsElxUkA7nWk4iOut8IlZWFDWhLalkhIj3aUvvlwBBJG0FpNIZ2KHv9A
2x33WCIkehsytt+F6KlXkQYDgOsvRAC4Uk2qPzp+7BtwjPFjk0OZ+yYgYaKDbx2k+H+4O68lNxFt
DT8RU+RwKxCgnNXhhupIElmA4OnPh+e4Zux96uya2ym32+5uiSaz1r/+cFGX4Bh1h4fKub+CSBYy
stV5hCwicrB5vENaWgrIYLt1gVKehCDKkh6quH2rHIlyHXlauVA1R6xmwxeJinbE/D+dC5IdGnuh
8LVsA/XlkcIYslvYVrId6EzebIxVTTBH4gFLG7FXXDxV8g6hV82CiugsZJdwROyLxsVajWAdaKW2
tVyso35J2ENorVokavwPp4VWE92YXqo4IQgz5Vc8DUjBxWts+gNMVxxQx0PusnviUdsFKCGsHYTd
D9Khspawh0ndbr0hFL+JiMQxzmpExOe5D0AOiB6SNdo4uJDBFKrpJgyC7A0PC4Nxga846KxAVdtv
Y4Udwjo1L8TWzVoVudoSBjGiqrUkLiXhWK0nROYaL9DyunR1GU7TtwUe5YRdFFVgC/0Osb50VDYD
Sji2SWneULwjXZ/EX/eNfP7AfCCkupypZCs9PQ6ReMC0tEK4b0ekeC/g4a8m5LMgdR5120D8SZOD
iPugOS2ISEj937y0L9bb42i9CW/C1Xqz3o6krW1KLLz6yu9JTSTxjzzGHksQUsUJRNnmeHoy2MT5
q99Flb1WPM6ApNkK92uk74v6MMJetvZ5zN5yYJZsyKab427bkqDJmc6dtdhgGDIFmp4YDJZYwmKb
bne2fP5hFsCiHbBlO3XBXPzqpZw32M3Rn09jRFGkFZ/trTf2AyzDmQSWdLEDnH7GWb+enmNz5Pw0
vLlfEnzmRBh9YHI+fURn03Q6/cyhA+Udt5NNwBuf6B8wkzAoSlb3wY4AKuiSdKiA1TOyRvacBITP
b3olWpSB6MtAMB/eAGBBmW+axz7attk6Q32keOoa7+69wR58yXCTx9xsXvUMQclcBkuHrQuSzdSX
BgHs/Twcw8IRj8WTtic1hOl4yvbNQEnCr5rBxoU7wWywkwUPu3PgG1OOizWxQhaGJ5EpxRQE6IWM
iOyjb+d49La9h31IhMRkNnzq68kTgpQI7BkQUp/ZDnBv4kp8fMs774LfmkM3QTIK3+AolLjBcVKg
iF9iWN5WfhbtTQoWH5UUTch4wlm3V5yxcuthg4QxFrzxFZ91jNs0i7JpgyEt/UIDPXERecNxJKv1
1NBCETuBYpXkTAfVJAjWlImcYY/uNS0Dp9tANO9smB1IMOah3HtGuLsgkU26E2L+ljA6oix89h7X
a307Bl8/+ip6ETrn8NtY01Ah18KQ+MYtdFJsjSfaLVoT3BUnPdcKFv28B8GbmABOztTC5qUNZeVg
C9WxfH4w0h4ccavbj080lwR80qaxURwLwAtxzZRJm4eTH531hfn5I9lgovBQVyVNo4bjO9YGmOTx
GS8nI1rE9O8/ZvUc/PaUxQR3HsaLqfIrZ3F3wvMO4U6IHD5gqrJnb06iNnAJNseiTC0d7uDcWDAY
xpFgASxC8bwNk1MNz8CSP9gnSHcVYKm5dMpmoCvP7E3+YDYwu0bQ9LFK9LBqiJ2HvJIl+1skvoVu
UH4Hj6gvBfHJs/Jhj9oW3TtV+UCQNGYFabhGfUzjvbSck0hmlicO8UzWNw8drO9fW7wwLUYUJv3g
FFJl/DfXXkjhvxYv/9f7fxYv4h+aiUediPTsB7mHMuRnPyf9AceczkwyVFP8k/bzs3iB9qOLJIZA
btFRsU9d2E8Bj/GHLGK8R9Fh6JOsXf0nxYsySYF+m9D+sum/pwe1qVn1ECJHL9UKTXGrogkiP4wS
NMxC/nCkh4i2o8b6LQsj69hE/SHpqrcqCe8Ls1RXt6ADIC512ZqrTdQtoyi+Ew7X9y3RveE9Rgdc
NCQ/WlmhCk7UKhqLVOTQLaUbshQxmzcB84rWopK5591nogxL00jOYSaWJ+X2GN7yOgA4rwaGSeXF
zIX6MHSCnQIO35uQaNkbl5UgSssygSoolCXcwxShiEXI/Hjz8JXfd5a1q418JBhOREsx3iYTlli/
DmFNWDcAk1GHxbxVMvWts4xxYYnBmTb7bTSYy5ki4tH4Xgg0puqx0Fu3kMqEGM8iXjVVNL+NHWue
jGdrEOdNZBGr3pEj1OfwlHMZTW3qUNE6ygRm9hKOWjfuN8qj30tRWtpFKn+1A2apVVVu+1B5TgR5
WQQij+177Er31I30/pCL5d7kQZwlkaOWNYmOpfpexaQL5s18ZOjcTwTEWPFucrYcEJpUEVNcM9Xb
mdq2B9UQnjHv6+w0VF4La1xENI+K1q/hq/ljEvuWeB5yYmZvKvGJ94cPDdlRlOSqGenTXSCoaBye
M/F2ba36XBoV/jk41Le1fLib1mus5w75AOBpIpjeSHTJo2ygXKmvtJKUAzni/Ft4uLHDIxKE05uy
uqvVfijEjSDjkTNALJMEcSPK2croC5nKBWJpKcZfukwqcQTvodEuvXKfW1a3Fgp5IjWuJH5RUY9u
DYdAS5n4yaatQ3KMOUBjzLB8BKyH7K1PJrBW9xai7Ik6tEtyuBQA+owSflPYCAtFQCMuMPKJhHgv
B6QXD+NcZGpT6X6CSebMInJKENrvIko6Zq1M0ypYb8gLtFBZCL3ldoW21RBuJpN/fB7aIhzbW8WU
KdRXj0i0Qw0GaAPTpNW3PTigWRG2JlCD3CoRExtUlfdqEnm3x5SRhFbF86EhWzai5oylelYZ4joe
T9hKfodKBTQ3PC5dRNS2XjrVoIOQZ2uzEU590DlhpRj2jeA3wZQGu9ewQchyJO+y+BqEuM/eh0te
ZyeaItcKoQlUOPNn+DdU5AY8BKDQ+I56QEDlRb4nboxR+9Kr+sEiPSzPKdBGhpwTzFKY9bco6WTf
xC+dJjmVoH2o1bcoio4aMVxSBtfCxVasMNKvcqhulSMgV4rLccdteEM75QYA+PcRTwMoX32nP7Dk
CQ9V1R+bdvTVu+X22m1etBhxRZ5wn6y4g1UV1y8Ky2s0pPcxA6xi8PQws0Fs/VxOcWzTZ2FRre6M
1x6DdNEj2PMCxUZhjs4oZcjHwoXRMLG4EYKqoX1QcFIYAtIStFZqfSUZTSrZuhcWA6fkQkJ5t6ru
qmkb1shlmeGCYdZmfLgDBvhGrDWH2xBmbqV08se/+emJKbeE0hSNErxS47+goVDif2n9eXr+x/t/
Pj2lP8zJLdYglgS/8N9cY0X8HCEViQo2jb/xaUFyJm6aKP8wheGZ99fTE/afiakjFrdQYf8ZGDrB
C789PH9Z89+ZlLLRWsiqLdXrFGl76+BmQxanI7q5qpQtAlUJ9nmQbfX20jcfw1B52oO5MxJPtaPR
K/W5zAMwqc1FpLzHnUjvf7NDS3lrVLI6hhDtSOx3XXAKMtKlc2k1IgmZBJ4h7g53zfATRqhKJfpJ
wsVpIA2krh2Ibe3ywm06vJwG6n26mzDnCRNojqqdqx5hAPygLDIwJK/8MTa5U2HDLG0taVyOcIoK
PMywTs0f+5QnpFQxLiF7VqC5uiuf+LNURQwLtOa01xC/ZHP9kYRYXn+MxrlFAG/LAZReW2xaZSd3
64cCyEGXPRjAcaIU7rI2+WFwktzr9GJIRdrZYnRBxfuUiIuoqntHp7W8izCk0pOsY7WgCiS+iFgM
CgiIW8WJK+ty6yhi0d/OxDh5q3smQBHji9c7c/kMoZPcyeumvO2kIF4HWXxJ82SrCHQtME2ix8lC
oNbFPI0fVeaZmbgQ8chVrcdK0Gqvj9LLOFYWtC2m08AQRGGXikqmc5UWGWnZaQYT4N710jzpH0Sg
Bwa5TwPc6Nt7rQyXITKV2b/5doBwYbrEyLaTZHIwfmzqn1zdKbjvf2G/7VtGIJ8yVbG/3w7+4/0/
bwfyH1OsBkbQog6A+OOa/1lM8yOI9dhF4PiEUfRvJlGU3sB9aOUJ5piQx79uB5Duua8glseZWkVR
9A+QQKYfVPO/3RB+WXeK818oghhIPzIthk5cO52brHVsToVkh5+R9FR5VeQnjqV5Cs+Yg1UutcZu
0lVZOg1WbwWowXt84Ct+MhDRDE2vmnFdYel3x0jutbrwLRazGdJrtemMJQuEeq0AtfDT+MBSe3N+
LxYNuc9oD7+aCzHd/Noa5WPi9ti2fY1PCQ/vTdpCrjlJfo+TnUPdB6w+r7wy3ZGJDle+Vrnp7Pk/
44Xai3H4FNpt9ZW+1sWCNQupLZvN6J9Z5NA6QgdRY47JarYp+vm0SELI+zk0WyV4wSYUlXoMibX5
wiGnwU+UncGqVvwPf8A4ATYERoIWh5kTIDp3ImAmbmM6rLiVgWETAeyJDTMO4hwWhvlVziHdOXJE
Og/bZbPVe6SkngwhDHdPCBCkvmMNRB5szgcSpBUSJTJh6YNTh5XBrXTTXtJDxao9yPDePCqyRx1K
U9ywMDeVTRKFZnrk16fcXFrvxUFblSCty8lq9L6vZuncABTaZUS5l7v+YWMo0HpaBTSz5LNI6DMu
hxVgE4iQ3djvsTabcg6w6jC/sOoVxuvtA8Twnaw8/J5GfT68Wi4tAN/D7fdi4qz6AZq0G8G3QBcO
yTPYMD/kM+a6l0a0S9fw7zv9K3oWN6RNW6sSuT0QkEOooAMumWHnGdoZC1a/kg/NnAnvBMw/MEtF
Y4WutzkQ7nBivcSN4TfjQb0UxuT9FVwlVgFjYKYa2OZjOWVHmt1vpXO3rwz38Um+4ZkQQSyDQUkB
Qn0OzQ4ol2PHe35kN3L0WmXz+ATD5b2lTFqDsLq7HSNpw0k8iDIL46RvRE8BccFw6CQjQzAe69Fp
mquG9+0BHzM1c8CjILIqfvMKQWmreo60C6/5s7C6LQy2lLPHu52groZHUDqAbvA7hFee5EQv5Y5D
tAXewcocTpU3ug90CmLjMoBXkXKIC/l7IHodVNGGxvCdYG+gwgc5oQ6p3pKXco8X8jJbFnbtN67w
Wn2oGtlOxhUbVpDHZbPQroXi4AGAFvoxh9kyJ8zpOAAlEVgP6RNG6ZRXjErtrbpaJxJO5Z0Iuekh
b8uPCEoMcE/kJlDpyFJa6h7zSrtbd5mrLoMNIguMuGRvfO7nz7qtPN2IZsIrc8l1C/CHkALzitx9
sDyFMWuHizzQZva8n6+hjgCkiu4HFqwApR5yXJIvs3wp2s+p6I2f/azYfY6fshxeAKBUz5oFSxqZ
p8rY30FRoWps1AoSKvg+NA05W+OnOiVUBq8m4hmoeC5uFF+P0Sku53OL3Vrsc3iqmby8P+fP4z76
Ep+gqezAydSnBIbMPnQ/p7CFXqjm5EntFIx7IbtwyXO0zl/Ru9k/A2liBwtpsPOxVH9lVHxrPPOx
6CE4+US6EQYtXunczsoH9vpLqLWCNk/x9syeJEYVpHNyr+la6Cl2ApUVuWK8q5K91pLbMYAXlodW
s4VrugFRxkahij1oMIwGwl0i+wDFgfvR/TC7Lm6+sg75iWrrb+YbJZo6D/ojHnUvw3ZK05zs4qCq
4Nd2W2HSBviszamm7jYmucwTuJi3GjDiZJEnn9km9h5KKUxvIV1NLr2AsyLX15xqSJvzxfTC8Si9
sjYcLo4iaHY22yvNZDB8zX19TaDcWYc9yEADf6EfC61LzgL5DEgO04YzEtroHp9gunQ8fBlp3CZz
X4BsiFC88369rfDkbUD/VUdihuwBExs2E4YS82Hhyu9j2TgBT7QdLGjh8xgzKGuPI5T1yUGYtZ88
iPFzuTYv2BW/MWZo5K2+hirGm3/gz6zF9IE6onjie2wLv3zaAAYy0xY1eNNOG/048gV7hNMTQuQZ
9h2cHKOa5cuAYfGlVYiLg+sPtYoIEGMZrKwJXDe+RhI1C2fKpHTvkzufQZcKsZ1wM4FpiGd9aZfT
9O0vvgW4/fAerz8Qa3N6RmDitew/AbFDMuowvOWFmrokySRKvwtrebNWOP2B6iIhwOaNFM1PIiq7
Q3dgYdSLm+5AwFz6zHrVZG8Sh9fvQNP5DuOVemnCOmOBBduGcguKA98FKOaz9aVcqheZtREW0zq0
O1JzZH6NP5y0i7RJnysDbD3LCDVha8CaKwg52oUNqJfp8xTNBrIz1js+yBbK2wXOafpFfAXHJtKt
P8ANAgPnOrb8iT4N2cImeLXhRuoXK7QJpMVtDSdQfHLOE3uif0JoMr5kp9iDp4Swit1yjbUKwHrh
14dleagYlp0y/N/qZbWHrLhmTABklNjf/mMTB6+qj/1qdrfbE7I2S7fhMZlzzo+J9sjU0ofE6DAm
wvt7r5t440XbTmS2A9CCjoMcUI4F9GUGBuSyBFfcBme37gT6kDsDnCs5WGP1IPhUA+DfRO8R5htO
bvDsNYgT1sOOP2ICeGY/dmZ3AKvnTKmXwyknZ4ZbzvgKY3bHrn94eIWTYscLeQLz8PzsP+Fz1i6W
Fc4NAuYnlEYo5Q53YOcd4u4Zj4AdjF3usuNsB6eDhyfGkjifM9kkTzdeoXEaz9hu4ukJE5Ep0GQR
xxhX3lLC3J77A0ZyLDLUfXh3H6wDd2kuKcJr1uWSgaQnGjdb901XdxGswNG304X4wehuVjV45+K5
uDwb9pM+e2qhkC+3HiXaTHYERrYvTbh9wFrOXqZBzXjuDlwUnKq4BDGsuR8l29ro68b84hrEHlua
wl+hnfACBj9sPef2n6ML6wtXaKJy8cqB01DaKgXUYF/IbHtOcbbz4JdxIoVPw7GmABDdkBlZhiN7
voxT9GSC1+BQMNHEzNzhxzoKALtm6IjdH/o2XJg4VhAv1vwYPpqvo9ymh8tnRraGjhPkDo6BvOD+
wuwMs/I9D6kFx7Zt9uxD9mpykJmPSYPnZyfQo4FQErfmmVe69wrIaYaMQPPqi/jepXMfnPjE1KIO
F7fQhuaHsjBaQizy1BG/XwyPUztPHWzQBr/cIOESfXHFP9FrvFMDJ3nlJ0zfeEbdSaEMJ0iLtbVr
/ENIhOs3ebiQOddT+4Y8jQG25sQuLy43vl+Dj/fyj1cTQrXBcgQyu/iUnnj1PTyJ7322AQMffNYE
yvXgQYeODskBQ+ea9bqd6wtWz2S5J5tsB0BeXsQnpjQDo7jZN7/0lOLCSgfOejEoXCGOWEYHNjLL
Z9GSf6NlpfrJK6bIpVdeeJNPz8vm+PVX/ZWeEhjbgbqI2JmsV7nhiYyfxejwdof918muzQ64kfl+
gR+FNZN4ZFYU+Wzi953gE/bRcuz99BSzHzkMeuGL/r+2m/2T3CHBFIGDoqGdBkv6f6l+k/T0P3gt
v77/r24WrgzKZWAzUfzTvPivblaGXYjWjE/mb2ZAsiXpEGHorqG2TB4YP5tZ8w/iSnAK+kEvxDfx
H3kcSuJE2fl7M/vrpuNuMY2O/ibeCwOzH6tWQ5dmbrTb/bU03jSkGnJyowWJ9sZgPN+JySs4zdq+
3OqXuvPG0c3vfphD+yOTN1xV2+xIiWbq1LhX4VmqC1dPF7G80RJUv2690MhdGChZVvWif2MB1iQr
oyKubtROvr6MCUUwsU9H6kSC/AwBXXyMjw8nSP32+lDWSb1Jtz3QLhAxjsXyEnGRymPvUMbHfm59
GB98+0GuEODazPT4aR3NeXEjLhxTXw2aO7ZeLjt84EyrLhVz0d7v0GhcnQ4hle6ePhZecDsl5Pm8
IYUzFDuMbYHG6Vo36MU9oXgZH6txUjWZXOrhOMfTiFdhwYAmydlgms96f4/iXh1mzbWf8/Z0K8sH
lsjytGdhFx6bq3IOryVurpjAmfuWzPEZDhlNZ8yyhxPpxzEaTrcHhsRQnL9riiwGvsS5Q4eWV6Vl
P8nu0M0wcKMZbt2np5fb9QmuCBzqZEWqhZY7Wv7RMF0OrWPebSsKXlxw1rr6TvgG1aDBM4K7CPXe
g7tc6VHqFs1eW1suNsUZ6eILaBxAciIY3iW/HeHAdCf8mGnZaWKT1DWjKTOGlo9YPz6bb7Exm+yR
rRVsuvudO+IMUZ7MiI6g5inxZEuLhPoaI2QK3xgSX2dnH3fEGuXgYEViER14pK6Gpg8Rhhqb7Af4
2z/6fdURIblAm8HcmVryR2VJuU0sBC9tXNX5mPypiw82B6pJ88KDePhEwU11q/CU9yfuT0zD60Tl
iZCO967eiYpHOM3DOVKH4+uvTEoxtBCBl0PFoo2CzgV7exwcUkE6ihVEd4+jcpuPR9qJRVotDEjU
40EitiBEUmdDazLfyKHRs30zYOfrhuSu1CR0gPLi1EEEjeJkzb5sfahNuynIRJl1e/yuUW2zsxUC
VHY5LO/33ttN3xgXjEh4luoXvIom73Ecg6imNsEXVQiosTIjSaElvuQxp02/zzR0+GRX0vnmCxIP
8OOu5rp+htx4Fa+KhwAPzCS7ADE14Ve1kaZDoQLTdO/6vnySjlHhjEdKdPsDZNmiTpiZ92nn1VLu
DYpHC57MgvpbfusYV3Ge9Fsh8ALUk91arbeQspLWBzAuIGpJZ/kNjhvuwuUHBR4G/2wHna/+qsG+
6cB3qDMi6huqdYetgZjBpgVvfELDOJmc261+bhhJRmfoOHxUuxD5bSFDS68dWDBzw4XTUWw7xDm1
TWkZCZ4Oa4iv848rpTAMe2qTUSEuGg7d3dXfAC/mN7ew4VFAladlJ5rzUjvoNyC7h5NRMDSOfE4p
Rax1NA/BT9w7HLlZMhW8G2XWMCyj8Y0PJAGp8iHW9zDvodZTXSWL5zspAvsgQuRYchA58Tm8rJad
rjBiRMpRTleC5WI4BnQyXTcQVRzp/AMF098sV1tzFlpuKy+gUPFqJBF7nMElWhAkNky3Pt2S7Zxw
e5bJiSXfPLACB4QKCTt6kJd0hW86gSj6mbynH99W7ud+q86h2cUrdte0D+h0U0rb8gXqnALss8dZ
ZyQSpl2Yb2JO5BOEmyOHlPJYiecFotkc65puOf2veMoV9CPPgEQy8lsNn/WXbs/NYAoajwz6n5pj
EjpQn/NmP2Y+bBsuxIbScLwALUy0aWOiZOGgKL3Ss3IlVxYQ2kpKJDuKF3whRBR+7B08tqfLFb+s
xuVCJyfTetNu3ZzbRiHyu7Nt2i4er5pKRgZ+7OaGjPHY58ShGOeU2gerpF9zZILVwHleyVuSyem/
yEdFRoeTZuMlCc0dnU3lSxs1cAX879HkQikO4bz9+TdSCQInRDJC1kmc+8T3yyny9nhkHModsBqH
GfSAjPlBxf1zJa0CBwF0RS4KAvEq/ECMk3ch0q4LnC3FKBbS4bFMUl8okdxh9KUNdv7NzVACtegH
xNslt9CYxTeNLYaXeyO5D4iLbpM8SyNkBhndCpr4CkXf84MMDh6NL7djtI3e8nJbFh4PogUpnERX
qPD8pkPxmMhhRb+l/n+MXkB5aOsSGiSvmEhhouVPzRLW+YjPiLKCKP0meGVF4x6d1FVnrWX1kh9u
yMTuUCCrpZINq/sK5va7+Zk/KUfzUzmK++kv8VQ9lENzPR7lcwt2QETRjJwjpsaz8dAt43WJUSxt
lsKT1DbRBoVOHDkz/iaZk0WkFDoVaFrkNJGjK/a8jxzya2yFCEDTjjltuRHM4Kf06xpVlj57MAgf
bauyUwyiAsrh2f2o69itpIBPBpYA8wzCpXEd70y+iUjhjsUJK9qcowNRLqCduGnSEEaz8GMclx2x
i1y5qf3YSBduA2Cjq74YbIZN5NdT5rzSstNV9Ts6LXh1kDPy+WMbrOplsprYdwSfVi+QwfpPlHYf
tKdcPqAGdruDHkfnisRo1h05JsXtqBKRQIx9tzJo7jqnJL3HWnKn4ijxK6x4ic8Veadov7SLP9DV
Io4IQZlnCg8vvi4cZU7mvavZOkbzuiu7zaLcCsYzl0a5tZbtgkGVr7v9QkaedT+YyImPw7njbs7l
c7J4XNwg3d7dIfB68Yl8gf0NkVu0Ut7E+iXmIaoXeD/evPuWXatci/34cB5v2WfWAXSTniI6w2hR
BJB6gUfBVmVHf8OxELBHvc3UZ2mYJeh0P7pO9zKDEJi3wLzEwe72xrMM33lzPERC72PyPilA/82t
BkWxNM22TF0XoX79t1bj18HZj7L/t/f/1Wow9rY0cXLAmczoeOdfrYY6xb1ibPdL8io+0dKU88Jo
FktaaPe/9Rk0LMzMkEGZ8j+ykDb/kz0/bTWuWJNZtQxF5NcuQzOY6EYpXupGj5y9Fq3XmxmSEdVm
T4WMDrvWGlhCN3JVjPM9TwhJDqx9E9907BOMnSBmEfU4lBzFGFdyTxDpI2lJ4xgPRd/hkdAdy2or
hl+hvh8xBgkSiJS9oD3XGWMsZEExjsXdV3CL7UTXSAkAxR9vUrGIYnLp4nKBH4IztNYwq/L40imV
OU8FlRAkWF+CdtsKg/UsmMa1rmCp3fHWaAWld+UK2roq0luoIXRyI1/Kt+SI/fKiy9QAN1+y+/JM
ZFCgvoniRXhsTLGFrg9eJiPd2eeAguEuvPHkacT1QHjWmLxqQW93GphAk+ko/wMyk3ePgejq5CyS
S4aX6EEf799QcBUeTD2BTmNa21LZxadqxC/lX3thQTDBvpFIUeKA8GrkbP5vF9avcr3/6/1/XVgq
trympGP1+L8ClL8uLBgmWN4wWOZMhCHzd20KA2ocLOG0wAyFpvL3i4tpNDZxmiLqivUPY4tY5q89
/J+rLrPZUEzhvBi/DaSVXhtFcUoqUGbgoj0pmtSS/SabtwzQADmdaYw5DTPLKTfdQcjqTzGhWJlQ
VBsusltfc1MfqYYfrjo6+9ruFob5UeO1TgO6wkgbq69zj1yBIZQf5E+qRa2KXi6TaVzw55XO2C/R
wpwfn0Mzo3doGSLedvxOv9sx9qTDaV9LolVK20RMHMAwmwnwH1+G9/wyPA1YGJT8K76XF/AoBmcz
+Rtb2zpRl6oU2FOAXLIkFZ42a4rDmcZR94XCWMOvV+oi9Axo3RbjGWbFt0kAcVthnUJ8MBC0a6xQ
o4yC050YSU3WUHMolii6DizLeCqWZuoYqR19NNnVyDeCQPPBiHjdAA/zxtiwG/7hRSwi1KHB+slj
z+zM6l39C5tzOkiaSiOYfaQ4ZEzNRoNFzo4GbqYuJXeYvyOJsQRb5FGOa86Z5lq5Lxp1aZCEvoMX
QKUfhATB4nvx9IWogCfxHDWObjo7ptG7xCVIFGeKxKWVYczCgJkuqzO8Wls38XOpXzWYhZk4b47N
rEX1d9Ov1h3cpHgrqMdPnfFVFC2cX6x1BkyHJIdHNq+ZzoRz4mDLvy6OIeISF08envy0MvdzfSbU
lYQ6I3QUqvYyW+vw4aOnc0ziKnpJRD6X3M3Hz5b5jvaE8Z7wuNJPPdjOYIBmyAATgQGVRKWduGGq
LbS8Q4j9s7Z4lE4MB0meJyJGmW5aret8Y1VzzddWxVIjnZTYoq5cJB+5vtBKOKgkQPtaR28XusF7
vU1jcjDxwZzdsc/qIEeAS8D85+sRIz0mvuGhaUKo9+t0n+6DZ6JZw+eA+Z7TitsIoSjezAK841n8
CZsYpi3EUDF+q2WPfG8WI9abUF3rjX9/K8VXA8rmPuD0Yt4np3YcrswBp1TMaPgqnYa7LLCe0hzF
rVCs6nQBNbS7KrmXw1HoZvdr8JGdb4QndhixY3/g5cE2qBfxWf8oxL38nJN4uqCuR/lEsD0pAMJc
uR+1YY7Naiw7PRYOJewGTG9up9vbOMzWvCg+T9PqjtnaTP8YvzFSHe1k+9JhZ/KBhQOaTBNwKnPi
eqMto2OMBn9aFVZJ5dl4n8xWirN0W7Ym1y2V+DbNXL0HK+ccYr6cweEdVoJnPo+ib/bQWI/dlZ1Q
SFT9z/e3gQHTWWaKLZg2PjX5lqMRPKuys7W+00++CCl3rwZrwyxopGWJIBQgtLzGgB6KR/1e585b
SL9MCxJ5IeUtoBKQGUlSLqU4LhiUjD6TvShZTi0e2VLML7qDduF7KaaEulODdOxp4OqltBGjLWMQ
ej8AFOrtaaTVT8IX66sAcmGwwsWHlOXhKTc0Rug1ptnNBB2Mp2ySlfjSoljJW71fFyuddr61W21V
8R/NCeaTEwsRBvWXSDzg3bt7hSs73bGNKcnhwrq3Y7MoFpZ3e5NRpvS5J5fLR7lJx/cw3yYROEiL
BdS5w9nnh5j3BJaqxtik4zQ910Qmce4A1DrY2kv7JCSrdmUsiHta9xhQrNnQTrm7/anZMTzcqfeT
rL3dlqmLFtUz57ULr6d6VzcZ/IYPusQW8zhngHYRoEx6GIjY4B1eb9FcVJl4QqUQDyWk2IBBaTtP
URwK5GC07WtjzDpGww5WY8COvkYjlVLel+BL8BCAR8J5s6zd6/Xzej1cTRuaAQtzvr+RkaH5SQ7i
Kt0Ji3DX+9yCvMYHP1kILnGpLaKBCe/BhKAmpE47CCspBzqA883tL+ORRXql/Ul8+qJdWfveF99r
W11lDgaUS35DYmO85VeJf5tjjWNwS9YXlrLqdSjlW5ObXXGS9+KJHNJ5vCeEow1m4/FuOdYF8PD2
FG9mZLvnIXnSEIe0ORjOOd48jqBdxuvgPr7DvbWs3OTAZMlD8W0b9FJ0arvMAXg5Fu5tqb5bkJXk
+AjDEjo/PRihF0t1VmcryzZBBb2U0eW2XinasjLgiQjVKvY6X6tmfYOLzNqibNSZRs46/C1opdJN
6982uee37xhvKItwmueCXsPCJqRrc3dRyTvTKTv2eJ6u5MKxPsd9jbvT7P4cvjXfwaEp93E+x1J5
B9vEiy4EcA4rzlLY3tHr7WK8YE+FYx3P930DoQSDEnuyo6DWVPb3ZY8Z1sE6PIBcYk9fCDDOV9Od
3CsWj6u1VN1Ww6MIFzWaWOE7WEnA3rtuWV7HZbyAB7NCqeoBudsYPzIVxICethknNu6mRFjM8m3J
/Q5jNH/UHF9/ith7nLARIV7NEwlhYzsnWit8AkojtwKhHvGpcyRefyvp9n+6xP7dPPY3D0uqocnp
WzGnVAUZE9nJMOHvs42gasJEt2Rya0Y7AnmmflkYi/bQUbQEV4vShzJlkb+Y13hloZMlP/hcfyqg
dy/9HoGdAw+Ho6lWOx4+2I4USGOBCNt99YJg5d/bxFLy8gcXChWHCIpY6/+tten2pi73b/Oy/+v9
P2tt8Q9EWiqt8V8RGT9rbfEPMjBogCcZ1d99MfQ/dFOB30lxjoRc1pFm/5yW6X9g2W4w0NNl1F/0
zf+E+mn+h7Pyb5v9W50ttFKmjXHy8DJFlpfDKKbQIRQxwrNwtMZ7+NTcHzrTsfG+6IRcwPUWHc1q
0PVFEcjxWiD095KnRoG6KLegIBFSkINoGRROhZrKLwmm5fPaUrnvknvGgyHvJR6GKS3woxwVeRZL
mq8U2vtDJiO+u+Giawht6YRDIG+j1KIICjMcd6WOIHkRXmFgyJkjtBGQ2C3y9C6qqVHb4FnO6hzN
ppUFXLCijuNE/bhGtXYwJOFcPfp20yR5861lMkPkSIRfY2EXmbRtcE4rnVXKmv/h7ryWW7eybv1E
6EIOt0QgwBwkiuINSpEIJBKRn/7/IB8fe7e7usu3rtrl7S0xAgsLc445AndPpSCsvlQ8fRABdsdH
7apVBSO0Ee5PZoZODFFvCT/AAmCP7leMJvtyYDrWRrcns0awmD169amU+aCPUL1B5RPhy4pa/CyM
qrRPayhyqWTcFpUcWsZSLa/p5qbqiXG5DnL8gS0SfDl8zvMbEpB/eOOrWioXpKZiG8Mu99+H1zzg
l4txapx/ff7vF6P8L6SLhmRJBKJwgf1qysBFaimqPLW25JJxhf+ua2REbUkk/Bpc+Jihy/zq9+vR
/BfTbrZksCCsanR64r9Bxcbf4T81vv//ozMr/3WDR+SJo+49C/Eek440iY8FJR2lBne6cgjM2Kce
k9cI3nL3R05s+eEX/mTiBeaWP0VAJqvay1bG1tiKtnYu4IyWb2v5W/IkrlE2++Q5mTd++RLaP6Gc
D8wAyyXRHbv7S/oiHsZi8tXbKE/jUV4LS0xhYLgQnX7hLbFZYha1nGZOTGbQRxc2ZC4CMWEQ/Uif
jX7HZ+E5fHDssanoaD3wDvCJe2WORIXG+I3JUNfSsaOw9/AebQ5MaaxZ+9l/MvmhOMMcoW1c8y1l
9CHaUKlzQHtkyoFZbWD6PjF2emc2NQXQMrDtP3kQ0QwraF02JlgIIvf0lNWrtoKKOYeszGyj/+R9
GY7S1QIMDzaDpXaXLqUnKL+x+ARHGNIkhkDVay1AsAYTWIQnnqoxGYQqHJ7G+4rYWh01COGbQXeg
gcuiiW7bu3huP2gxGyakXmSbJwKSp+FLgyocyqhGbo1n1E96StgberqqYI6yxKMgshu8I3aKgnON
NlOd+Y2hYoKHRWjvY8c/grjneA/6uFfsMPsajwSSNvuKWojPxVcx3xjOxsZvH68kD/yg23g//By5
HpEOeBtzuj3oRo8hwOZ9OmSEoR7SJZM2nn/338sDJSCjOr6ZZfmxifCNsGVgkHpteZZ+wu+Bybn5
BoXUsqUnvvo0pGPYIgecV47hGLQ78ihmZDJfTzKDZM8yD9MPmKACoyQCOyWxtoTDQUNNMPvk0ArQ
nsmNnHwqeEFO4H3AQnca3DGa33L43Im4q0p+Va+nQx/DocAZF04BZrpKPEMdNLIAr6YDq+Ie2z2N
3wr4XT5lu9EBuXTkk3rS7vBOZ2j7Yx+codrdczccURgycrPVU7MhYwN0aHqvdJlaS5w8Rs7CDRc1
xuCMuLHQ4CDyY607y/TFD6bB2DexzLBX3E0HBbc5j4Xb42+2hM3xijWH1E+MBIZ8dcbywEB094Dw
rzjyE9YHan6BVntbItmBX0LhDgdAXwHqGF63g6zKTJFB4jRW9BhXTzxd6KiEKE8sXBCfGXzdJ+O5
wKLFgSyXxAEJxYwUw4dD8PGj8TEJuQvzkvkac0nmlRk02WxprsxVsSx8en33A/fppbEJn9RXY9O0
rpb5wE0mU90l3kk3pAY6g0sPk6JodGoYfzt+JyU2YFVJ06b41YsG/ASN7zW9LtTaifOVSStq7HmQ
4H7dBf+h4iuLA3aFfaGjbXRxeU8ceTfXNgpxwbtmStdWA/oIiDfkcnt4ZRuzykeGVULG8DEHZOSD
IR9oiIfcGBFqe8VvxpFX5U47JdAg3uoDM7IeQC4Qn4yT6Tc7TCw8DcOIZsuIKJDmjAAl6IetrYKC
60H80RRBSPAVnVC2UJeqbyI4y9ZJubrjosoMSHajcdGhStXQxQbDfY/RKaVKoR0H0B4d1Af7pxEM
iL+gZoT9iZJAfanpLu7jJxlKzxL0GYTEvXuMIB1HgWUuRxObTJC3TrbbfXYoDtO8S9Nn0hvGTV2Q
76yV5cTOMXfwr6lPXBUVbGuBGOYhdq9J7RnVF8G/4Vw933HH8HlMqKWM7NAoN24tM36vT6b4orSr
BFvNL+OLnZWS3ou9gXBrpDrenR1kUSqOAZ1ZdCfzjs/05R5t7mRR4Z/FkppcRjZiy9AuwAOiPTAv
HHG6EWwrt58Hh1CbgIn/bPHYVrTE2Q/QCUDCzHJyqJrdS0f7MnH/bWZxvwsLX9Acxg4oZivwRYR6
dLY3l3iIaGVhZSrYerau7qfrBwNKHpQtWuOlX4vh/gZ6mfBuXo8m5Ti9RInv+zAnXhk6CNzpZfaR
9oQbQlnFFQgKp+ApAXYevswq8d+YBzrtHOeP3tiArnC5KazatkeTHoMhoI4hJX5dPkvv40v5jCvu
y/iSPwNmXCrihwAM7AnoxGsxJ43jgv0IQ8qGEWmzTbegIjtcUkq8fT5aziL9JkToGkZ3U22vZJlv
r5ot66d+DmMAU68a9s+sC3B4bxnqB0r9kfiY1xo37Gp0aLSmR6oIf0+zT8pOTv/9AxdanG2hA+Mp
02xvLr06UMGEy9yYgwNdox9kOvNYqvUulMmpxNw16DFpwTplP1wgL7CRsvVjl3R8l2YJFjlxgwMj
HORhoSwfl6ridxIuiovqKevPKr1siSZ4/XBv5J25Oj5MYG/fEuiFfBkJjUYfznEENRJsiWhLwSlA
NFxK5EGAN51vgWUkG+gNIJUvESGDcLKRjc9lEETV3I4u65+BaumbNslJd9lHREKKHEuIbEyozz80
XusLIGvyfPyJpu63laPVWDYuIHzNHkBtqTGP8zJARvlProUVmdEPQTo/M1L5f8gSNZMW7tda+C/P
/6MWlpmRigyYpImSOWkPf29M5X/ReGIRKWqSjI3Hr0MgmmTkiiQ3/t62/l4LkyvGjFZCUo2pIwPW
v2VQNg1kfyFyMgT65aMbjJv+DHbkd6svrwIpIQMoWTVRpcivVwo/x8HVGgSvhQPgddWbSSLrgos8
8bBUhZTnToOFlAERGiGvU/C7wyladiXmADCvISLNKNJsAx4/mqVzcgYeeUwGAi/hlxEG1Hw9w4E3
NG/oFCLdRy6QU0pM5JPS67ASmvcZTCf4gZOjaolZAX4XxkwFo16QU43xu1ew7RhOfKiCqy+6I288
VRzQnqiNIXDzanWoYP9BhmRQ/RjoUxJW4hcjoWtuunm90z4bTJQRRkCqqp/C+4nPrSEJ5JaJvrqi
GbBljVp90Sy67mLoz5HSO5X0qfW7yphTxaA67A7dAX5Tqb/K47MUBtRTWGRleK8BfOEs3XghIa7z
x82uVS8mEnMvGi3sKbSCtnpUUaRYL1JhY707BH226T+3DyiE7DZUstci3AQaIbvMktxiGa9abXL+
wqRqSaT9F34eN1ctlwkzcUZmUCAl5tIcdrddGTNmvGQohD6SEGOk3L5d4j5E5R0eSmrd1tiScNNC
bvLglrgEsGHGm69vqAf7llwmysqhXBqiQ+FmU5nN0HAodnuzNdh79vXEwCiXFuZFI0QWlo3CYAtV
nrIFLX6Yx9bD2W568OzMb+LOGcIzb8fIiqKeToBug800u35MQscIPzBu/3PDZ+IHa/6VZiOlzkVM
OA0COSeUhvfBYc0Ur0QpLW9XB61QybcuOclgHyNFYUjdd22ekG1R9KEuGfATu+Gix32Cyl4h4Ww/
cQewAck1yp1ZTav1YrFKH8v+q93E4v7+PhlCvbfN0rwtSnZM8pTHBzyktVC4hrZugYerFvYVpFRr
dZ+4r/MBYV44FL6hBHVqrIxePkSmuUfUUVM8KDLxP4P0RFbTbaYdBV+8iHuBwpqD84HCbmvOFQ96
52e8bCNK6MJwhuyjmxSWQdi8FO0HjNyrHs7bjMDlYmagVKRiZklyOER+wELEhkYMVyK0MJ0YVaaK
Ftwz/oLo10eXsn+/V4Det3AuR9qBkUhVrSQoaAw5UIxk92UrmThX0l90ZyJViQZBHjCIq4ibvhTv
hfwYdwsq5tT6xDUarzxZD/hQsGUpAOACy7oLtVUMJmng49V4fN05yNTZiLpIir6GfliRi4pTMSkC
xvFmvNEWcf1bHjMUroCP8gPuHgVfp+xKgeYDQ6zHG7wlSHjSGkVWd/0QJqpwlqwzEgVMkGpte73v
sb3yhC22V8vkUgYRLDaNS3qLYZ7fQZ5L5+1U9AQ3yFYYkRBwjNymiRhejwMDyNQg5O81FQ9WnMwf
4kcUHZUJ7c/YZlBZDwM15EjfG/vEM1jV22BdFONFeebtxe5SFWupdBBZYQgiU0e30XMisbQwFdvq
y2nOQ+Gl4MzwgQXBtYch+hy9X58ZPeEYfycL5EOVPwzOPBb6xZpmy+pxNEHtia1LUc9HTCAX+CBg
FSlnO6StYwAxJQrwhFRpsfmnwL8n6TcbBVvlxC/D+9mhnTqgREP0hoQz/ZhYZLjSetBtXQIVbPmH
WmY5zUTjm2i2DU+3xdY2H/aguPiuXaHNdU6L6sObAninb1PPqtQVX4YZ85EjRnsWh3TwBWMzVgdU
VPIQ4dZIoDVkL8z7Sl805rrmh4nHBQqlUdcwr9ywbFl4nR8Nvo4yF5P+KzkDCXjGUl6NLrnXsDb9
Fl+evV6VMwWmcr7PKNwUQnNciJaLZkclHFp+uwcTZHWwdNEkkXLrkQ5rNi+8fMQ4YKLOxZOdW3az
zWGdnfF+4ZiyBU37ExAPOiJuWtL8fuodrfIF4mmogRxomARQthhfzCyQesG1JNp/29yn5L2Hbo7H
i+RM8xMAUgnT/MJ2xg840fNsRTKJrC1T5AOAQ7dVEggDd6s9e6UJd7F1kPPKpTdhS+pcruGB8qQO
mfFzxL1Bl6GVF5esJlAh88lMkz6lT8zglad+ywQ5mkGJJp6i+mCXJWunR1UgntD3hfLlqrBWZGN+
Lz8q7Io5Ikf6LwZ1oXKGAE52pZF+mVA7OYLT4cWCfgYHvgMvafY0wROndkPfC6W0omlq5w9jLmsr
qK4QZu8fffRSoXxkkiV+h0QoIfaaJp8F+63lc5NmWNrhhs9QdbwwW2UR+VjawZiFrMhYFeYsM4/n
odlVpi+sGvgHsEnvu7DbGukyfMEWz6Oehp2BZ94X/EWs9CR5A7JAsEqeg2v7kav6I6q/LxCukDxf
MoYWrDRuryBEQAdI0m/hZXpsTNInNQPjK1f0Q4A2PiiDX6XbAhTMAHiSxb06aHQOBs/mlwpogvSp
XlkQotv8k+cxQLg6cOwUEy4xAgEn/a8QsPYfuE//9vw/yt4peBHTX4IE/19k+R9lL5RCEGcMyyEy
ggH/CgFjEmRRMlswnZi7/AkCliaGokUMryTy678HAf/M8H4NiPzlq0/Dnz+XveZVl8Q0ZMZnfLTE
oahzIpy80q3O+tpcZyuxQkmTsVecjCP0Gx1PA4ave8pPfY6fWmb4ReTcksLuZ6OfLhQnX2Ccib3M
F8E4W8j/t+2Y2k8GRh3rEkxLWSaeskJdPRvswWYb6W+eubeOACI+ezecAd71fF+OO3aBpHYa2OVU
sz4F2qOkmHL1dps44hetI0z4n6CUiXkuEAQAEYFu+UDWEr9im4tdMiQMHTSTX8sk7E5AsjByQ3Tv
1Us07HrwTbLQAuzIeryyvq2t5JmwD77z2fDNNzQE/A4mH4L+nMRvMepPp13X6KZzcA/uHz6KYK/6
kPAFGWbKuWUHJOVm8JN9gu4BYCnI8IVr3pNdHUDvUjxsybkc9SnXQKyfaxA6HDK71aAuSQcjWI59
hM00xzz486aS/10fOkw/Dad7ETEDoSvZs50llqM81+wM0awa5jC9rp0HRCTSrBCZeWSznG5EA5sZ
lhqijTBKXhsrLTByYIfQzkLDbnEnxgd/pk03GaN3UxEeDbVQTvFbZB7Aq/lGqQkoCbiN7AZQGzAV
GY6qLvjnJF9ooCyQQmEDkw+bdBnLfnPAmJjE48ePNXF46g7Va/X6mz0wnQYvijEHgVUawLnlVZjv
ss1PyLxt5nOiMFVQApzcnceDdmU+mE7ymo+cRULRDDyOCQ3j3v+qZu4DOPNbi2cXgkebN/6V7Ey0
ZHAyYO90p9h0OHzNubvuw2xunAucUMiFMv3HWxU8DATkFN9pQLVRMp3H8CLZ6Xen4YgWdDcni5vf
iJSFdAtUZ+ZA/I19e6oJGV1LhN2bSBpsfJGGb+RxORlKrYMCruVTflsWAAhi7Vl54u9zhuTiQ8JF
SXVL9KKsp8FwtIfLv0ft0N48HpTzXKdn3SxG3vatE3bDd3nCacnIYf35Kn+GGVKK5iR/a2eytfhQ
RsOXinunfQQJYt9wc9vV6umKV+uNyOUGL4emJv/wGGPyyL8KK+AwpAdFP0jxW/Q5iL4arUVpnSMJ
0FzFmqc9VHPWxYR269/Y5PfVE14zUC3CcDO4ofJaNOd21bylh/QQqasU7Xr02Ndgpr3m8jKpxK15
9Dp5rsnOdHbAUnAQ3gnvwh0hASIq3UdJPcJS0N+aQ+QRoUfpos9QH3XSVnMQSaM577A1KQ/N5kZh
fPckWARo3/wcGTVIOxTKTRsggp8kf/D5oL1wN3+FiBw+kfJYz3TkdEHUAiTruAcGcjfDN7F4H7j0
ofwH4vRAHp29IBZ81ODD/X2GTiFhMkXg6kt/0FfRiwr9iJshWocrgW20qCHUFhYpfX5+1i7K+roa
pNkPZK7jIoFldGbzh85Uo8UHQIbZjMmMbSGBk1w1cVXsKh52+qx2dpcscbdU+0VouPFXRpYCuPVr
KRDyhFoIRRsSAqIcc89MXCV3SH/U8dE2Zok4fVs1qJbiTtvIQbGU+K8cSJtJ3zdh/PXiukJC4NQL
4Vmaj/t0dQ3SVbrqF7eZtUb3fuzO2l7fRm86vryVlwtI6rF4watDXl2f2m8tRczsMI5mDdntd5ND
Vrk+hcdV8kbxftS34od5rL7BLvWtsn+JAzbCapZ9WwB/9FEzlhlHiz/aut/nZ4SJsT0Zb7M9rJAR
Pg27Oek1H+on3imVjaHRHDge8+b8WXxVMH72Iul5yGDSJIWrf8YIVJSDKi4VJgaca2R5GYTXjqgV
JjQO2ihYqpypiIQpqp4CCwgDhc4ny1JFARm9oIYkD6omgYKGp/xIVI8ziiV46JrCHutqWnNpWN/P
IRImyx2xJfJi7BnLIJucG6cspOtKGnwZuu3DraRFBhr9bV0eTrrqPppzchIuwiUx7Svoo8LMEIjB
nMfYaqJQuq7jm6eFrnDppdcedtllxcP0Btf6S3cuRl/bd2ch8e8rZhD7jDTL2JVpYQxxQDqG0Mm5
Czbyc8SlMSfKziRAz/qSsCFFVIRZh+/Lc32vZ2L9YvYT/PmSg8RbkT8wbFpCZHW4RbgNlAOw9XfY
bB1kV6ifz9cP5YugOkDvvHIxR6DxBVsfEZ4xcgtnFLHlTnoDPLZGu2nnWNcqoy2yQyCDjdbtW6gf
LPw7LVsXN6bmxlC4iLUqd+3m/qqdhqDd9BvC35fdVlpTDuObwM0KgH/siZ6wG3kC4dPK5X/aCxaY
7YUWjRZsxJv9HuDVwxyT9tiMltPFuLPsXvZpTOBNn1SUh1w5rypXyLv+asB924C7fTUKLGYmRXVn
V+8En8yjKSul8cZ0HTKI6l51R3uWKXXxMr1kbW9r9FWIE4nIwiwjltgIyQ8jZnn0SMWGUS0ulg8X
hc9vPtqTroAtLuntgrzI5tMcpxnf/b1+jXRxTTNQgKLBK/uMVvi82wWXYCCMbzltxeL61FVMJ9jM
BttU30FiwAFCgBu+JT2IopyN+lPFn51Ytw/Ip3Wi47v71USmX+U4vHK0nspl+t5ixTM4lWexd/Ex
0OFNyADwd+9Wi6ttnunDgPWvZ4l5akQwIBqlfsN5Zb/lZJNOjQnfOjQXuYc4LgPKhIzCiigulAnT
6XFT2Xlp8OBu4xT5BkkEE25hpMrmdpV8Mq9+qpXJ5yJCkgxeBonuvsp9GcZby/h44sjlRLn8w/kj
cOQkzKjxhIUo97+ah//AH/m35//RPCi6BXVERpSh/Tjv/QkzVxWymyVdRXsEs4MX/YM/QnsATwSd
kDSh6X/hjyCcsCai18Q6+Rv8EaKJ/4KZT4Kk37+6Iv9b8/AwuzKr5TScY0I377fYs1GOwh3BUvg5
/BqPP/Yvk075C3KiNRWW4jpdvgN/1jjGgZLm38A9JKSHtVf6RDnMJpucyn5m90AO6EPmxBFLXker
yUh/ikG4e6A4Pw2Kk6zUi0p81w8v0+nBXFD/eJBsqX7nYLDZBz750hHqykQiocKm+J7kAdzgv0Cd
bx/19fmKerRRtWXYs1Phn9fD5Iwk0E8C7OP0VRcyZ6IL1B4iYKpqlLxt23pFJDq1cRC0udy9Xofc
jvvDA8aBRUED5FcvCvACqkIkFJjrJy4Kgc6WdxhIxQRTW/TbclBh9pXcg07dWYckRM75wItef7kJ
OiEemXcrX8dyal+62rlZ+jGWqf4KYm8j4bksv/TwvrhbyaIXN1VzLkjwqwttXmCor0tXpvWBAJGn
jBpPGDA6pAlSCVrvmsNw8ykX2/ld2EgxQ+THWgfZgVwfxRhu42YAiLDAisIAsLXw7TY/mltnx9H+
egWlQ7orr0sTkouKNbbbY/aQHWsQO+FM5df1qFP3TEBGYStY847+grJ4dGO8i9nd8nlq2Tcc1Ppn
UdwqCDuuvmwsq75k1bjCw1ceAXizSFOposqyb6rdGUuqeYHlYU5Z0I+35o06t5Z2cmfMKFRvO+pa
dJQP3xLeqGpv1yVtAI+Py00ubsdHgDHGOqNQFZh7iLdFXa2TXUeb8AAgkRcSEcqPoJVo9dD5bIqI
KTPa0HwZ7RiRgwr2wjoDIqTPQ2Z7ykxf/n7cXhqIxlNCyYrT5FzdyEnnhCLcvfvNMWV4Po9soRN5
OsPLxynDY8n4HKLCVfBl1gdCE1TsGmEtE4i/lPBVfEHlbq2NGc0WB39aqh+R6Lf1LCSSMFviwQbT
oyIXOZ4r+EJTl37fg94uV/23eMYei4RPxim0HiX3Glc2/PYbKr0CwccmzYvfqQ8XqcNd3OnWrDih
iQgJlcS/en61pmfzvHvk3gOEFMWpNxyJmBNkzRSJb3cw2XTR5K+xcqqQHGl41GNFQueIVQGAKaa1
6I9dzXBedW5llXN/0s8hYV1IJLrhSCaVUmzScBY1IAlkzSxDWGMQwjGdc8qgMpYRXQonmsV0ssIN
xuE3ZRFBqFReOxPIHENIRDRYvbUo4puDdHup++cC50qsUngkSpPboWkWxgIVym/PjD/Dc/xwBJJ3
+bzfbUy0BdpbipruqTpA/pAdhAf1dcsY3/jGMAFz3KcwnOIi47O5NFP7ei4WVAaQCErCMmEdzGEP
kbaKFttmC2JVoPsNpQ1DehUZcRkoC4vRzZM+eN3KFRbRMkfloC6Tvb4c1w2xMdVbRwd7TBaPnTUl
by6K3ObOf3sTKLk5vten+IkCfPCyU17ht23X7rXBQXgGV3xb391+0Zzriac0Q6+BKUWFKSWWVRbG
ciNdgHBl7rjjD42Jou0LOFHW2/AJvvlb2k0YBvxPLW/xA8BcQyCYlqv7utVXGS4iUIEwqkv6AxMV
5g/8iD9iwGtlyTnzeQMIXrTDVF3Is5hMbgxclmw6rsndjh/wS3Y21DGzD+WULInWYQ8FMUCH8pvZ
WAG+XS36y3AEmOZPWJwB5jGMA5wEwCYypaAUMsEr+LE5TvJwzpKJkgWuw6p7YubJJdy0dsPbbCCc
6B6lYHRlLsNJbZ6mGoh82U3zxCm3FlB+4eUO8qyD71BQDYN3fos444MOPMGZ4GRjb9cm6yvuG5RI
siM+LaZ0kotwC+7M+1DPgN4KUZBwJEdwEetLAO/AAqyfTAEA5B+ofKotJhs623zUH0oPq1VthBc0
/aDbslGQh86Irgnofak5eb3hCHWj510QvIPgl+IJrDZf80MM2gaSASPZB3suhgDDhnKH4xh5MDy1
WrT7giAU+/mZeJ3uCHyb7ZlATbVo72HFV00fFb39Xg8D7ZmvxlIGBx4vPH9y6RNpePO9cOoPRLmC
es0CYGav3XpPQeIc6Db6B7pYYUZqJrOeWW3MT7WIa8cMiwelXN5gEeL9UKv4K2Av6dZUmBOYTuKP
aHxDuXySCaaH1J87CTdtu+hdWFvGlgq03ZsE/boMJfhiZrT6+XThqE/+E1Tm1cL6wpwwPWNDwStY
iheJT029Ho6YEW45gowy0jPsH74IFyQOATDN+ELzmx8uf6wF6z22AJkL25ElNoCH2PcPzt4PEM8B
i2/2ZCOIuMn0jXGPdknhfj5Mo7+f4zbApJTYHef3D+MNK1ZqgZ3sUGVMXnmYDNAcTBsB1oXP01fr
55wpziqD+n84Q4TqkQA7A0bzVFz+V6icEvOvDJFfn/9HtStO+ZuarCFgILMFbskfUDnuYJS0ijmR
U3D7+nO1C0NEVyFXQ9+mEv6TTBiGiKkRaqEbqkKhLP4try/D/Gu1C0Pkj49u/JsIP8waQ+6N3iT+
4+kW7SCaMsovurke70/kydpMiQx8gXFlJOWEmGboywxZbsI8/CqZcGISQ5ULmQzC077bPwwPULqZ
YQgBgbkgDSMwujNl23gMe6Lddg2KLF8HUN5Tvgq8EPau1rqwZoq5hT4qeNc7BklkQiUaCrI9IVON
OMc0eG+1L/IQyGvicCmzechkFnSMXlvBAbmPAnGtlGCVKXxZKlHFqyu33TFIp8CF1hWeSIOEjdCI
LqAvDq8NmSL+GFSv4UnGljTaMEODFfkJJ5d/Q7CGt3sHOYYyM1F68a0pcQzbbyf6NCwHXpUsOua1
WOKMj8aBiYL1CCQsC7tDBo5J5JbsswasB7BdfZmBoDKrtKKlnOzVpJxJqrAbFfikozdqLkOHm/bd
c0NIKiTGxHazP00kA7FdNh/WDT2xE0urmDobf+x4Uyx7yrHVZDXFfUv1InDiu2+ECFQxQwUSJ36F
5BlYDwQQClDFDaD2BfA0iSJom67wrQ1YAcDWHI2MqeHgdAci5cSJMIyW2+Sz0drwH6i9nbqsS1/B
vZuncmekzuurreJUcC6kY1I4Cmf/NUYfPdEwoFhb8gF6C7ZgHKX0MbkXDdwVWgeUHc9rNMOFspPr
TygtVn1K7gozW4w3Yb7kL/ITlmX9QPbdLTkXWOZgY/sb42NiGli3uaB4kC5xBwOhxaWL86K7Rnvh
xs0thMmn+hQlJKbAC0iOOXeSZA3bdwX+GZO7h56tI1muVGb9gYmp+S6m9oDR40J/wco1ZyUhLZ3p
LDTOf3001nKcHBS6qRjGifTSkHYHsjIf1oU3kU9IjiHq5zSR5DlD3qQN603tolOpTSYw3l1/Bpjx
ryUOXju6QAa3mNTgMNc64FVunBwf4Dcx1Q9VAsxlrhWOReqxG3NH5npRmPDoDP7X+CQ9j/FCmfLd
MIZhpPpo3BJ6xZVySvBkXMysucYJdhPNxvWKdwDosQJjFyHcxhyVWakjzt6up2ftGTwKrDGkx8CE
ArF16lD72WP6WA41BIOBATPBDGSwkNPX4d4aECwTexpWbLhQOGnEEsCS97UR/PpFcNXmiN8TFkrt
XmQuPtVSB3S5zT5iTM9JwJl4yNeYieyLLto3pgUCeh4ZQBeTHzOPE6UXtVCWyjPfXJnMSfs5huFv
CrfQB0Sz/DjdJa8f3NMoISqC6ii5fix6ZXjHQQuwM2ByOTNQ3/PlgW6z5w41QrSDLtkk58aOm5OF
e8ESwClaiuQybbrbKy/NWwnmrt+YS2ltLqFMbh/HDgXTWn9hdnXMj0dxiXeoD6QkviSXdCuGDsOt
HXlCGdpbe1K6pti+X9dROo8j4tJxkbdlcYbDJiGgPab3Kbgr4tBsn28VUthVlEsTdDghlhcjPvbt
dEM2l/LEO2ZIjo/weDH99IxVcLUgFX4GlWf2iQQWpT/03+mUhjbpc5tkbeKxHILOHpN56BJoD6i1
0XH9nbQoyo9u+b7E1WjPZsx22wr7axwgKGFX/QE0yNJjc2cPLXqPMD320zuUe4Z2/BSEgRkebsaK
JynuNJFcsm1HFgGHARAE+pRHdmqNeU6wFOhjB6HEPj4vKGF9fNUZEUGzYICapy/dt2G8d99i5zxI
BHTSDSZZAS6rAS5C8qyVHQsLt8ElRf7hiCfNU+1x1QbVDucBuw/eZZcJI+M++Mt8UlT1MCbqEhhm
8o9FrLpCzPxqOI60a3C44AAo6MWFAIw6makbwcMMeUYMOgxBjkLB1APKLOTrJUeDPqf71J7VlfLM
5RbKB8oiijlAawrNwoFyO1EdFOJJFywV6DIhLLspTZG6D2oMBWBSHX58mfTltHhs1Ze+oGOv2zW7
CdHzS9m/7Vk5vvpSraG6ux1qHkxdk0VrujGRwe7gx0DhTJRz25Ro0J08ZCvFwpJVYms7c2PQix0w
kngVVlgtKb91ZuhoZy9zfJuW7GDCW9fN2dJgXp+gx0G20uI99RyrKj2TmoSZRkxbH+CDr32A9qbq
WmmCfLr/fDTZ4rEAP22nJQJdyaesV1fVBlurOfMCe9wO84zX+idXhZiqUp8ZRKhD4zX+e7oR1SNV
2q+84b88//eqUPqXNEUfTSQK8d9cmaR/KYhWdRR0U6wSj/hzVUgVaSCu/Q0CnYjMv/OG0dBNbGIL
/BNHJdR5fwcDxRrqLxjorx8dIPbPBAopDMnmzkHfHqWZX+6mBbvokcWMdCSuryqv3dQoNE8Q4Ahk
wj5vw7NJ6joqfGAE7cH2dBUWphBhL3Ko+56hw2gtCDaMKnuUUuRbj2zV3ahgcuEkqefU7BAmdOo8
lXtfuiNN6Ji+ZgKTkyfrfkyyV0U21m00Msw1hnUitNwz69pp2RZKyxWtz4p45K7Fqk5MLTzNJFtI
LHof0D/F4o47Qkvo6p08fF2VdC+zP5TqaOeMJwe6wjoswFbuQWqZFGtvmcIWpm40ZpZ1v36E2+iK
NUX10U4Sm7HEG3rJlSbdirXSBzKKCP22fnDhwDJLhk+ZAU5s9XOd6SDg275ML0Z2Kgb9fI2IyQ2X
qnhqWgQmrfL56DpH7mAm3HZVDYxy95SWu5lCw3p7ChkZPlAHimrpjLB2ryphxPogubd6WGZduu8g
d2a4ZEufVbMV4iMkDBrlx0Ohao9BW7hflypz+2JRpVnuGOC+cR65upzjv0D0xmCsanaKnKQF7XYN
oHxSsdQZ+c3sq/0xi5Zty8ATkrHlPtp33UCDweDqfu6nogv9kaJMVljMYSZvSFrpDFvf+yKlec+G
k9IzPirgnVloJgc/bFtbYerfRqTe1t9KLc9GvBNayrDGedBfUzKLIID3U4izqmrYPdmk2akj5jD/
tKraT7Nt1pSAw+SeRJ3kGe11ccXWTo1kWx/wox/3Q8yeqjTzWoQAnSmKeoi75FLcjEC5xbtUxO4f
EijvWKoHo64Tp+mjt8HorW2n9ehSeurG21gtcWh6vMlVLdm61uY0CPN7skvERX0bU8x2GwgOIdnW
8W2c5QwC1BC+RQykCg+jes+62zIpMhVwJ/+OQA+7BzVRC0YWqxSqsjWeJaGG6dnHc6s0g7rrIZ7+
k3dZGlD8qTTUC2Q0/e/em73q1132L8//fZeV/0VQHEbZsjIpKaZN7o/Wm6YXQbJs/iTI/TkzavLS
ZjhFf20oOvZeNOx/2mRJtRItC38uLOsgzP2NQRPEt79ssr98cm0SMv/JZVuJGO0qfWjCtGY/6AT4
ZGVRQS7usCWJ6mUtTJIiWcbkByF8HmK+8vhIFREDyMjDgZjG6g5XQI7po++KtLdqaKoV4K9KAXOX
vnmdTZhIKbr60yCQDoTdp2mO647mcoT5d5qUwS01lfTou9c4EzOvGdsLwxZbenT+/V7OHx061xsZ
0Somy1pyMiVtPRbte/9ol9dM9/u8WQ1X6zPvGdgUON+o2byNjKP5YNaSmyDBRRoeuxFH+6I9SFeG
+DLtcSH/H3dnstw2unXZd6k5stA3EVX/gATBXiIpUZQ0Qagz+r7H09eCM/2nrFRJlVGzG/b1TcsS
AYLA15yz99rp7SDRoRkahaaCr6wV2AgkIQctKiyd2msonOpG9VHABmRh1dJJwSQhRms1UJ9TGbwK
bkq51qqdEibDnWrl2n0TZeXtWJJYGqbjVtHvazL0VII5LBk/dlfTslcIuCxyp5IEDLngNAsWaK3l
FExLcSutpYCRizJrGBuD7afpQpPhpgrBj5D1mR87g0YwiNpGW6FVjJM6nso+BFWUAqGVaSQY7FRz
3dvrcY+ySl50NG2SOHF8M+0p5DOKy8wzsMOG/Kbs8Kih/LGM5iazXgSZan5lXIKMUCiXtpHULTRy
gBDR1ujuJqlI4kHwrpnrFMRIhbdJGmEgTc9b5Z1OuyK8Da30xgr1t8qQnocqXkS+tM36QsTB7B78
sXkOmAZmogogy238lTgU68ozDqPfr5MR0w7apd5/y4UC/pN5DOXWcfNwJ3Xesk77t65vHEVHINM/
Z2J33/SEf/K57Ab2juU4HirvUR+m9edoB5jYQV9gx6tG8IXV7j96cJNIgTZpa+MRM1SGoC8Li1P5
7cPg9vHn/x7coHZqpqHqwExMizrgu9GN2iESVxrmP/GeDGG/2uhTvLROrLQqEj79p2Ht1+hm/MEg
bMkiAtyfOJV/tYSUpsHrdwkuq1FVg3Y41RdRCv8+uKmt0VquW1hLpbo3laaY5Zp7nYP8jSx2vcFe
0h+8YMkpPqhF5P+ptPgzSfATyM8kJf54dGky0UE/ZB39cxB/P7SOBVcgInZy2VPSEKWV71qXoWw3
XagQuDa1A4H0USXbqU0110nkbXVyN+HNVZpG9TJT2ZKP6psb1ft3n+gnZ/bZiWHsE5liAGgQwP37
ZRnqLOti9AfLkkVmEz67PViX8FrPqmurFpdfH+znq334EKT3R6Ns/f4ylK0bj4HA0fwmXTbTW6XL
WLN8lcll6ZDb3xlJB2t80WAPbPS7TqMlwJJMMuHDbzwPB0x31VSbgckIt4uZS999UP+g50iKxEys
IVHX2db8nCPfzYGBZpZCqjIHary+xpiijcx55blLr00a/wOMKZ1mesNJfX1t/rnDmQ7ML5IhIQhp
H+reuWh0wwAohI4kcTs+E4GCyWc8fn0UebrC//gE3h3mwxyvJX5SqSmfgIpaQsFELo4w/IDZhpW/
LsSS/6Y+UlvgOYOZjOCpJZhq3PaeOrOyXd11UHCQq0YPgnGnuwjPutuK2L0cyMjXZyp9/klANBWl
ybCqfLggJiGZdVlOq5HgWe7bpeayifKetTbf+Pkwc9mVhbQIe5SlXx/5E48qn8TfB/5wiUa/8XTL
4hLJ+anFSeZTaWnRKHtoIK3oOPbh/+cBPzyDsaoMVVRNHz2m+Uopb9KEPlh+b5XDOYnoopLU8PVb
/GSl99tbnO6Sd3d5JsFBivTpLi/2mYW0xDsHCVJhlLRNDtWvhO0CBOnrg3461Ly7rswC7w86KhGr
NQBoSze8NNrBMpZSwcKSpyrsv717Phnuf3uH0+P27h1GUjv2+sA7bEsfrSJ1b3GrxY8aWkcBdWTe
vSXtiD+VXEVh+/X7lCZB1j+fsb9voA+CrdDopXKYRjkZMW9Kn8APDPj+r/2EIx/pdQZXVt0vzXLb
iWSe5f5CnrpGnsE/4xhNmnrx9Rkpn116RjPGNDzn8IE/3GF5GRiB6nJG2ky6r3cDpc1+N0xpNBpo
DSe8BU6E9jWwhWo9wO/B1hxtYHpciLra4TmMvKuJv9nTb9jnT/EKxSv9W9BDzTc35rS7+se1g54F
g1LUqUf9o/0HnNuVBZ2nvgcrIqACi0kHMxaVv5MT2c7plXRoO0uKGqZWrhNzI5i9883l+uzmeX8S
H0YAg1aoyARsktBBSKi+LNfjjn3HQlq123p10HfytbEvFwGKlafzeQPZYa9OJfCrcK7ZX5+L/Nkw
+P5cPnx0ZqHESudxQRDWgc+Ym8t6TRzL2lybOFl26VbZuyvE47AmzJN/Nm6/Pv6nw/D7438YKsg8
r5OmM01yKYh02Wta7sgxRAejX6cZhXJmaBkOMbWbrw88jQYfHyJmYRAGoqJyM3z4DBRLqHzuAXOp
yyJUGyTWZfjdgzpdu6+O8eHatnUryBFN8iUwukUTNwhT2GPVVE4gFNTFOYxw7IkkBFmOK138xLr/
+j1+Nue/f48fRkQrc/VRcrnPFAX9H00VNThn1jd38+fP/q8LKYkfLmSQF4Jb5hwkiC8xKu5AjJYJ
CXDTlGaO4zdDzf/lfvn7cB+uadJVSStPh9Ozu7YiZVriASYiCXVbEC4koiH7DDOD2q6/vpbSpzcM
+QEaUzM6BuPD+4wSOcmCig/T08RDRCuj1+pZWpAbc9HEl669ETp2jFY495hShSFcxmDDQ+u7B/bT
y60A9qB+pCLf+PD+5aTTcnka/KXJC5yfsuyuEeNlkg6LLpFmX7/pz2Ya7d3BPtxAQlp0chkwy3ng
KTQBM5RMkxNzWJl/cxd9tmJ4f6QP82nbRo1RjNMM0m0l+v6sIbmIuxbdDgvCWYFFPf1+Fv/u/X3Y
tNWZYhj1tFodkQ0bAU3LN2M4RmhAcsw8YmjORuwrLlo4D5UT6lqLWFAoT5U5OqUqfHOLfXqHYRWl
1QBjky00w8m7NYVpFaHVN1ztATqeKd1UXvLN5yl9OiLQUTEkTTEwrH4YbUuNNUKe8IZ1EB4J5ifJ
W7pySxMZN9WANkK9qOIhKRxBuY9cYBfkDI8jJeXnr2+sTzes2rsTmT6Zd+/VSz09DXxOBCHONX65
q9TBn1UssyXBqI/sjdIT6OE9XPzT10f+9Pl5d+Dp398duEuM2isGDhzHZ1M6mylJ2GQTIZB2aYZ+
fayf0vl/TADvDvbh/hLGNDfbgclNPOIBJPfZ0V5EjJNEgjV2eg0TbRKn7nwARvKlXiqLZtfZ+ZM2
p264+vpcPr25/j4V9cN2p86qtAmn941TkFgqQA7fvNnPKiCUtf/73lI/3FspFPzY0ziCIJByvEmG
68BwKmMtsd9uwXDAetII+/vuIn86crw77IenJjb0OPd7Dqt14QJoEUIlxI209YUa/5EC7gSCAr7b
ry/nNw/SVOh6fxsVXU+thGLQ0kVLXIoPorqjKfjNQaTp/vji/tE+HIXieJoWLkepJzkIavNQfaIZ
Rje+H9BZvtbDVYyDGY59J95IBMnhHvUiGWCW7AjVgx9/s6L55uGZerXv37Xna0OvCAa7ezDefgHZ
u99UMhegAcL57T7n06Xp35+s9uFRHWs9kNSM8VDUq0WI4Cr3AiIrnmSgM0aGPrlHOIdTe/71R/v5
EuPdcT8+tUGXKeX0LntEbqwm5kX7bKQeDkl0JSxs3LsUa+xYfLMi/eZG1qZ/fzcyKWHbDG7Mjazk
6LBROtUmqvtj4J/G4ilzyWtov72Lfy4X/nGHvSvYfjioWRdZrxeKuew8DwF8QzHVLrvwNJjivRgF
+aIMF4Fa7FstWQVNaRdGNVcw4bobGcRMSJgIUXRLUcISkry1wW2hQGz2QyfV6kWlJHMxaZbi+JYQ
NDFgSbFqn6qKcjOaHb1VkhRlNs/9poyRy3Q0tiXi4/Gb9ykW14euAVaP6qMf0gV73rmbWHNfFBap
3zGWoJi8T5ByjMFVOv4Y6tKui3s/gkCqPI5uQc1P2baaikILMiD27LrBy4Inb6CHHiYYIyNc1HkX
rwJVuUr9+CZPg01UYllPoK6oWoaOMo1WUThuA9267lna2Ykq4bCR9GNl/mh9cgybK0G2DjU+SgOX
SuJV565XnRrZHJoFvqIPbbtTSEUa5MHB5mWbENRbTd4Yvr6pCtfRLTBd3NU+aKjy1PiXVOowwlwQ
ByAuGOZGyKBWZ48tQcopshi8zhCJFAB74jns9q10HZX9ZrQQGKazYMAgQ1c+muJV3JuYCFnFw+9D
8Erc3LUDJp0Rc+Ww56i0kGcCu12VFV0r7dPmKir3vYLyDstMhYFTeIROWXYRjWq005hw024jIemp
aXIkEVe6nBHDPebXUuOI7rkTT4L5Iw6w5+ziAHVggxMkylZR1JENNW+jDvtPBIQ/v5Osey2D70il
IieL1r9OrGc1XTcFoKlYBUShX3cxFpMMi3mfXgfhbhTu0rDdkBBVWL4jG1ByfayugkvooHi24tDx
VWRrHqIk42xCrqjBbfEYo2pdRK55lwbKsqxeUhc3cJLbKhe2FtVtVU8oLmlRw3NBUkCLgVyOU9Q+
t9bRDG9LILFlVc0yWZ93bTXPhw61ISQMub3tAvLkCdnBZeKeuhyJvGhuy0Z0ouzZd0+qYNpJtxM7
lCDZMfQNYhCwxub9Oqe8J1nPMizWVHjWu5soJtFqKLdpGj/KeHO0ur3OGzbjY7sl8xDrKo41BBpd
Ma8bba5oO6261iZRABbvIOdOUA6N5AzFlQWpR3xLyrWkJZgRNgKwCFmW0URhvobYnOdg1FeNjnjM
eI5RdQ0agoRlY/3w84NVEjJ+H7j11Zg/9tjBanELqqoeNla3QPso0rSXamJTqgcgSElx9ttdFlZO
UbdOFXPt07vUx2oExEOdOpsU1pXnUrvtyE2uW3LBcfCLRbLUhudeU3YBtRefoOUYxhChhqM47OpJ
cSfASY0D8stRLXjNZvCr1UAXsFRMXBnWTSkH5CH1DEMQ6PDyyl63EHvSZCRp2dYqNS/sT3KC/5W8
HE1cD8TT+ANZMv6qScyFJ0FqvR8wwBMNmz7G45FED6O6F6VrsyFG9MHL7yv867Fx0wPqbJuDqx71
WsAk9aNWi6uI/EpJUJeiqW0GQ98ZWr/MaRl7+I2rrS/eNE2ybFvXacyTkLLOk9uVKvBpOT0J8mqt
L9XutUrOISQIyK5MM/OwfbVqrPedjr+idPTmbqj3SomBbMQ+KT8pCKpLUB9Wt1KEZl0ESB4ZwTz/
tkWlQySAbZDgXHbuYsgFWx9vuuFkgkqAACO91OEmFa8Cw7DzYKd1B5l0V5diZRbtw2GiK/l2CS2z
bbTramRRGlbbon+LLWlTetFRyadIX7Rzvbfsx/ygTS5w61ZGfVp0MBXLoxA8l+RCKxrYh7ZYjjBm
pOI15lmJcExG2TUdOUfKJAfNVO/RAZZbIpBGW0EGXxF/Ik/LCNJqSss6WFLCaTK9qMZw5UY7WrRS
7s/L1g75YoNkWAHg56U0dpj/iUhYNJ3mKCIjbuX0HfA2/xWFgy0V+snl4vbT9s1DbGQF8M+Ui1tK
lzSt1n7x4grFg9YOSKqrfa0321TDAqjvq54qF4O2K74OprU0hWDVhMJe6H3sXN5jmrYO/mGnq6DF
BPPKu+/UejWQblR5oG0YRtsrC0qJ2d2r+qtRPVWWd5Pk7ZIsvUUx5AuJ4qZ6IxTOoAO91mR670Tm
EURVSk+Nh2B6BPZx6PWbmhDo3MrXlsEohv64iC4ujaGyIVfWEuwQDElq3gRk/yYYeMIs3xjQhzt4
DwmSS52QlR6DFuSJGOCfjO5HrLBlSVsBJf8YHrWKZoNkx0h6SmSgfjmhoQG3tBjLAybHYecJ40oI
Q8A+EmJ9E89oI+wTlu5eDunRkoCiD3Bea9pt9iCi/E1yAA0/l2H/87emZvVTUPKS5UMZeH794a//
dZsl/P5f08/89/f81+9/5Uf+ekn7qX767S+LtA7q4di8lcPprWri+pd6ZfrO/9d//Ks9fTvkb//7
f+RZVT/Bgnx9+61tPXVzoK1iXPnZoSaY/t2KczrYXy9y9ZTwIkRMmizk37W9P/v5X21vCUCqQpKA
+jNY73dNj0RbVTHpbv/FpPrV9Db/oI+sYw/Hd/4nXeqdpIfWNCkGpkUiyL9OtPywZP143sqH/YCS
FlGKpsJdenKQ23kPEbwn3c6XULX30LvTOzFKmAIHtvUwn7xSQiCB6x11sX+WWhN7h+oMcfbSoHV0
9LE/jwhC7YDgi06gT04Bse+OQTE5TFSz3gZSjxVAMdRV6wOIUft7eTDPo1DLcybqY5vRXU618RI2
RYfVWB2Duaz4UzRZcJJU8OJFu25aOIjY2ALzqibiZuJ8e3ThMotWsWuRsSftWiE+R3HW3qmNCduo
llXIOgIFqHImWdkmIbK3TxEXKqy5Ris4xC2LDwn331i9YYOzfGtrWjULgPFRpdBsR2nXnoj78cmr
HGvDMYNLZ3r4onPTGXnw66HdRDmrDZX2/bzKWsa6lg5w3RXdYmz7+EdH6ttAPXwlRCJlec9iaBP7
H93Qw52Mjcf/6EePbTblLJPcS1Br3z16FrvID4/ex59//+ipFLQ1/ffHjjXTxGYAFIEGmSf578du
aunTSjbkX9Gzv7QmZMxO0hTKxkghKN7+K94b0OTf6wLTc/f+pD92scbcbNysIEgvNdsXGdSjJbrL
IPWcPi6dFKeL5MkkP0tH1XOfkimmVTQVw65drEpJ3IOC1bLRVRZC3iHwbCz46DKLtzhLrgXABFE0
7obJTAwOJdPqfVAKJ9O703IFj24WrxujPhnKwWXaH1NhXYQBWw/VdyypnXkwTiT9rhRqACSk3VTJ
c1Urd22fP4TDcGhNg62XxN6xFR/Umh8IosLYqwNo/Fwgdxqs6QQp9Xa+Gs6VAOgXqt8KfazbR2vT
KreBiqK2EvP7Tsk2Sii9hDF2CZIn8lqdF8RwZh3m1ETwxHkngyeLio6MtCQsnSaG1BQ6pdDglU9K
xF1W6bYzWfTKjVJDMzbTbFzEGfwrSce4koGbiA1kzfSK7sVetse+drz2RwjXTMiJpawIjQvITlEd
Q3YX6vgjCtOlaJ01wHGh5F/lJIYqmrCou8EONba2Ayv2Sndq9HdR8WxheUo1w4mra5H6ujmwWcVJ
3IBmE/pmPg4oH1PMedhJlOzJS9+MkRZOAlgJiF82hI5K6SWQhLlm3Y8S5BqfXYRVEa0ROH11Turw
lETiauix9VXUakg4YQDySrzQsO48CO+lsFfxgHXK2agQYw7mHHcSFvzBoOtX1Xu0HGs5aRdUYWLb
Yk1dqvo8jUAh1OuGTS5XEioCl7BRoU/ifvYSlEWkZUMnmO5GSDQxWsiu6TvQ71Gx8i0vBJ9sWZcu
A60N0kkpOjtSboeygRTBiK+WZCkp+jpBsCQVCvpnbRPIxyjyN1orb7pUJ18gVkFbJ9nKFEBiSsZG
CHEk8b70qth6OXtY2WxmtWCyG95ZJuV8E+9+p4KtUoezqYSbHJyvPiQsy7yN4pKnYPa2rmKIJNRi
wGMopY+GCre+rueDiAF5/KERoFGP8PCN+z54TMqWjWUzHwQQyt6PzkQx3q/QVc6MUEdZLt+0PGQG
SeBB4uiEPvohCXZKvO3bblEmkNo6zUaozU8pd7klgQppNt7EBRAzO2GrFGmdk8oNKYmvJnF+1sDL
RD/06DZtMX6lYbW00vRiegV6dVySCTRXY9gJVXbJVOCpKGaBMrk3dRRz+bPpESY1XRD3wyRN7Qrw
se0YSY7SJ+p0/ZNrdKJUCiISp3phWfbqQsC91+sjl6leSgRM0fo6cCMTZK+uBrBsLZGWoUHMRflY
5JjeNJokomzrVrKe4NkW1qga+GKMtT9XN3o58lPrjhzFAm/UkI5L9r93YpNE80LQDn79n55ehZ6D
ZR7pbawOmaO+kk2yqPttEmPWQUL3+8//msRIr5IIG0fxZXDXf5BNqnxZeq+N/HsqozeEQoI4LROx
hMKs+msqw48NeWg6nKwROUeZ8tey+vBnYfHPRbz3lv319/fphIRS/z6VfTh1/Dy/Vz1zmv2FzPND
ckdDiJmNhnliDSlOMqzSFyKk1OSAlU+6sW6SYcJhQoAnP6q4iI938T3WPRxu/DlcqYsJJ11OACCc
zTTbdax6mPm8CckyaEc5IHr3hC0aZ+6U1AONRTiSEgURk3wo/jpBMQlJksoNL0TSUAUK8EB4UVSe
Clxm9a03zKvHDCSGt6BVRPYHIS5yjVbPqcivPGi3QNFvlPzW77fenQBZHA4iQcOXSJ0lRwoaXQrP
Hi76tWrcG6WdWutEfHSznYfztZ3BLUW+Pc8dkmhmj3swMhOacubaZCnz/5Vpi4CKYQp3kBnx/iJs
lGc15RBqMuyD1UXzQ1EA7ryZx4Aw4KN3le7kI07zND+KRx0uLPKf2RRiUABzOJuP7l67lu6pwOnD
gnoEW8RAfuh+MPNIAMZrbwEX1vT2DMzJHTtGpduWOWlOxhrImhJjlGefaR1zqV2Gyn0SP6Fqm6vN
ZYh3Y28raN3d5zZeiQjjjeQG0NwozwUQHXa3FmEDERs8+X0xKOFjxdAZ7kefylz7mhhHM5nlklMR
LEqp6gBruoKD3j/zxrXLaM5CLCgFHvYZefIXcd9eTyEmBFORQIimm647eEn5icLdRJoEDkJaguJ4
9UFx+ATKQ+o9l5UNJPKp3A2bfjfuqJPGMU5YUEhXebZhOZLeFvqtt1P29YxXeMYcL0+lQhtLOQ4E
iEBLQgQVyhKYVvu5tGIujDZ8cAuSwmegZGesiGbRgrCoFQUpB7wAd6i4r5bKvXlQVsmGmY7fbNfT
G8i3NojDt4b61Ca/zm+0LQShG+sCI3RbX3ePmPwpAGXDmhNgVcHNy4ddzqkuz2HQ7mHKkDneHtpX
6Vb7CXRt1jgdpFtM6eoUhzVt1x+4p/tTbNk51xb69VxcdwfhDk+5QrP3zpizBWoIh8hnQXqmPzj5
0OtbAqX60/IF6y3W5uk3VMbhtYIoAlMdfgz143RrPdFp8ufSFYAjAwmlAwcQ0AzAdJKq+JkqdfCv
kzmVWuB8FvyMcTaseSQsOToV8B3QTlIi8TW/yv6VtqBkI99OGzdbuINJw/ePyEhvhgMurD+P2Z/G
cv4C3R5QLSFF+Yw/dTtfocdYlcBup6zumbYg1qo7EKHFm1LCvetoVwBEswVxZBugwLP7+/3jAFCL
y8DiViF0jriilvneUfWFfItbm0MTfIryCRL4HvAAkcFieY1aUsMrTmOiiErSJrSfvwA8FeRD67e8
h3TLSxkpVaMDXxYC0oruuTgpGTqpeBvmN0YD+qYh/Ua/reIn1lxym+OOXZvNAu+g+ppvYcawkwSs
g9uY+wRfCUSajNAuwc6sDSTyjXamSDSs+yVw8uHmjI8V9kx76pfaGVfXqhU5a3kGn2V87JfhtnDc
Lc7e7hXrNbFEx5HiKXuEDtnOvD0ONzjpitSBMs7LghaI7vkCkBzuFtLqV/LO304QJO/B+GFCbTqN
C+y5xCCRukMiOLkk66tqXdyifNlIC7JK5ljkjzAKb+aTRdh9TjeWPqcYa2TTb53I43qe2HytuMaD
3nvzxBHtzYbvSBzzQnpRv+/3jJfLcsOb6x/LTQbpbEGQNl9rj7gKfaSdIGM4vXIjsuZqFkBhupvY
2mJwnuKttXOT7bEvsygjPWjBm+qXANiZQbyJGMN3VY0jRdmUKscUMYGkc9iKU5AAbvFUWPJNXPE2
72ZEaeClFh/rufLmXoqb7Do8JtessdJl/mY9eISM0pV5qy74mRW6tOfiIj2ESzzaxHBc0FUEF5HM
wUtHR8WzY8BdiO9n4U5eMncswnVAxtGCuO15fwj5E1oBv6A9r91Tc+m2zWinZ6LUixnxwXCGnsVn
8aftnjxHpsy7iRoyz18Ucy8+CluFhBo2O0hIrAXQEegllr+jtu6+wTBrO9yCd1jaORXFO08cE6Zb
8CYsklvs0/wdwDZeUgizWOGJcyJGjvCPe75KT12tZkd7xH4+PUb/yUUHQ9QxubBIklhefVN0UA0V
sdjvRYd//Pyv9dpkh5bwBapk9RoUF345+KQ/VE3VZCjy6IM+oiIV+JFTQUKnQcpP/r1YM//AIE2h
j5Xaz6LEv4LnQNH/fbFG3eG389Y40vsWtagYbVrmig6ksJJmQ2RuU2CMDBrRQyvPsxrdlneJ3F23
VELuq5zd4Io9qvogzIkQPJmv2kk+KFdsFdC8K1fuLlhOTGTtyoDCQzMLksLMe+hwW0uHVlgIR5Pb
Frqa6QTDUpHPlrb3WRMEDcQ7dW6wUnHEubXwFtWyuWov1KH3/O8cdCscYIdu4S6xv8yFmeGwDJTs
578WduWcmZKYTUI+mNVjxlgaRNMMr9S34HTAs9otUZ2E0XhggSfBjrhnYXjr3mWGE2xhgRPswsqT
fnz/Wh/aQ30YrvAzO+Ro3FG3kxfyk24iZt7KCSIM4idnlUOszilEkF7UnT2aDumb8Fkg5jJZKTMa
JsbcurCskUkT6RkDRANqPIvQm5S1y00HJUc8st+cQ9gnyDyHws3DjQtthtWbsRzMV3eU3Z0Gxobg
C6RUtBtJ9+6UPS/PaqF8SFZkO+04yTUFBiTOYNhthaoOUCIY1bdcm/JhJMumPaCrYOXMi+jzcZ2s
eG9UQxS2dliHKJ8c2wPjJQgcmjdzy+G6EX1Kcql7Vz7wQyRQ8Vrazr1DMgBLhoyAK0JfGEW3xF+2
B/6LXNXbaGuspnQtFuvq4vmZl58/P0+Eomldw2twkpx8W5Lr2tb7+LrX12ikIQ6WO045qw4cl6UQ
L8l/QOO1jZV0y7vmW3jHrOfbA38jrAAey4KkVY7TDHvgRv1NPf0L38QlwJ8ye+5fp+1DtO1ORDkR
fnoGbU+BgYGTCvU22g7Bqlta29pJFrGLHnBl4Sr1BvWxGZR5JGqzhmrDAJOCxYsfXWXMFUpV7Eq1
vGdbTJH7KSfAiXxFrI22dJeeoNlZ5Uy+n7Dcxj7a0Z1eXBaV3fFLtIklYro17oAcruOTfg/oBsJd
PQ+BpiyjG/HCn7bqUP27koH+ltP8zHb/bJkQYuaVtmYWFfDTYCPqiJs+puND1TlwdHRhLk6ZC6vK
tXWm6WFZd6tYn4ITtGiRtU5sLmT0HW+iQLTMQiFzQNpb+QFOYwTsTltlAksGaaK3kFkYzCiqjFMp
fCFSF/GfjfpFtNYDpMearYGjsnSyKOGDar0e7MRm7yIs64fxYKzFbbphaYH4YzNeBRPkcp3VS8re
3UsFNYq2mF4ctYEaw7LxlmH5gnU2BBJLolF5BUCPVBcr3rZ7EIz1uT3zUtkhPtH7VX4od/Wpf8yX
A3UwdRZuoHjvPFs6Zw2pE0uBncm5PJr4Dm6lfXBvqbOhWsbubkzupqDPENPp+CI+uxFhA3b3KmFk
XUDoU/U1qUKYVs3CJIDhYrI02/Xqlq0g9Xuwlqv8hWeWJGMgexB92lPGhycsBXOOOIvUw2JNn7DU
7OqVbVP+VN2yyoDiPPqr6kI7ZJ9cKc2cpI5ldMmeq02zUG54KWE3JX5G93VqL+BXZercc7s55c0a
kmtl5ycxmJH51hq2XK7x2aD5+NEdlBMdV8BEobtgVStfR2uu2Ea6C6k6ijYxE2qy13vdKWEpKOhr
o7nmrfNxmbJe0K/yeClFNjcPy6vigf1aRVhnr5JIWm4MiknRPEMWi5Tk53d4FBRp4NJusXuKcdVB
C9NNDkRRgXW0APD1FK4AIyTJvCmPsvaWvSrnsGSv5SYvUmiT+7lMnFFaDdv4zKNVVdtm5e/BCEu2
dJPeWzsdvQdD2ZNBC5z1Fi3Je8M8pzvk3329rKwr8cgKB+kbj3OLBHpGzqaNRMU/yOm2vZeuk+RV
I5zHsKFrtneGDbCfBRYbr/uejvfZmPDCxloDjn0pWEZVixYJIb/Yls65gOpVMdplS/aHnUo2nVfp
BW1KiFslu0ZtR7qDx2bcltAokMrlbAm/2lCSUIEGDfOgmMTpdvnSP0C0IdLrggzjigo5PVmJedF/
kMF0XpW0sR33KbiTl+GaoKKrhJgEdrOTbtI70eKXypVZ7Rhowp1y47G2FB5ybx2+JZPY6hppAblK
LdGf9yUmR+aS0Uas1Fwm78SeXby/M0+gv2RtPSlqPQKlD5wO61qpoMO90iIHfLOxnmz1F6mbqcpK
ZRbLqODflpJTAOj5mTTkPlLoV5NlZhAfVfxoShp7U0WmNSqZ5SBrw0g8/8cuCqlkKaJsaCoNo4nB
YLLm+7KIJ/++KPzs538tCini6fiXDVkl2R4b9N/LQvkPhNx/cnPet6KMP3BI4HWDZW4YU//47yUh
/zSxyC3KesZUwPtXS0JD/EQS+tu7/iCWxGFTWrWVW0thRQjj2l9TZiJMxyWQBvWa6Ojh3u945Myc
fHcmYhJkhGPAAiFbEQZBbuzEJVDmGDo65EfBRIxmNdbO+opI+IUHPdtfErVZHqJi269d2LAkMcQr
JiWicYO9OoeBYqKVg0gHtIYxdudrC7+dtzuazj6AAuoiLKtSyHeAb17R6Pa0iU4JwQHjvKLqX9A6
tkdrLaNCgiCc01BY8VJo1kiwaZiJdKQUTgcBDUYdiomG5UpGbwn43Zp6mEL7hSI48++0CSQWh1VV
Ni45pcJfC9rag5/FcECa8FJ5RsiitY7v7Yp8F+r76E2/jUl72JMpkjV2Yu56YZsMEGXW5bCz0rVv
K9W2vejtwsoXJouqdJ1KgP3scpu1q8BbaUAHeNjdbX1ppXnGs+1IzxWpxFA1Lr3l6B3RTlQflV15
CFYp9aldDMSMGiNRy/vuAEPmxSodYW/N3wy2jsRmY4ja8RpnqpjRItfJ5sy3FrEewinSbE3YxiZE
bQ5A9WOZ+Jsk35kQflkrsu81Z1K+WY/k/JoUtKR8QcQCNY8HBvz6wrn2JPERcRZR08z2A6kGaEi4
RIoT9CvtWSdqVV4Ue81ymLwjBF6si8VFBxONQtu4opxCRSnajmveoa5QO8qBKAKq9VESkVAa0F5k
t1rPI8BsmO4nQs8AwfcEL8wlEXXcQiELQSmxy3/Bv0P8zBzDcf5cPotMRUDqLpQgs2hJ151jl8yV
4Pw2bBPQAaOM7F+nJU12P1LgoaY0Vc3IuduU3AzgLqF2Q9orbmvt3spuUiamfkt/fuYthbtOvhop
1TbNCo6luJ4KUlQUb3UYbAQuPmMxJoNk2qszb3U72MbpfiABjshB3BBgpjohJOFCnEpCc+0uOlS7
BhyRaq6L3eBU99TuOEJNrOZ4Jiw0p1tKhoV+MPto7pabfNGYZI0c5JgUTHqK/UkgQEQ8hNdxufQC
XgsiCjcy6qcpOLVstv0Qz5VYd6gpkRdx7V+p9zC8g1flR7hVL8Kr9OBdcMkD451rL2EyL2i4ckvd
4OkNd8JOfTaGuUZxxvc39J/8jbobKJ0p88YeyYbNV/oaf6HgzXxzZj7UVIx0FH/ABIet7hC/uhyu
p4SeY+fQ/7t7khaJ86PZ1g/Sa7Et32KwgD88VFEs6G+9135Ri+ue/ml2aG7ZlbKc0Uv3yAONmO3y
f7g7syYF0awJ/yIjAFlv2QUU9+3GsCwLNxRBAfn13/NWx0Qv30RMzO1EV/dMLaJsL+dk5snURzyW
lCGhUFE2uu7PahadW1rV60pn8KRLDW457Kvm5nWinZdoNxeIi9tTSHC7RPdmE20fPLwmssIlMEi+
IkzkJPv8qVVPLpS9dzk+Qa1+FYpvjfvjT4B5ytluU3X0qj1+U5398+wWdGN9eAKr998xkA1PbdNH
7OaSaosCMMj84vhMCeRylvfkNnj89GKGzwNtkzFXvD3Pntg4yht99FGHQEIytD0FD9XJqDe4+tag
P6BAJcttonuIELev4WsBoIb0L2p1fJDPqTWuVpfhZSiS2dQAEWKkI/Vmn/rjzKcEG5134IuZQ9k3
QF64RS2tR0okuBYHbWIvJJZywUVlJE1Mg5QNeuN3SKVGh9oxDzZEUVgG1YyuZ9ClLg5Wu4iLGWfV
s98YqOPs8pCtisZ5QaV/v8MP3mSQ1KSNw5o8AbKGVYh54c8HH74TrUUdNhN1+Jk+VpmbpY8vkSFp
v0OcHkN9Qfk9kEhD7+hI0XM7Bl/jM5UnHamPsYaRmKPe+F5CSN+XVo/QJekBLeF379p+NCz9SNrx
CWNh50WP+GNRyPlnY6K2U23Tw3bQ8O4LWB2yHiJSKSl+6LVvETkUrgl2aasfh5TMU5/njq1uzxW1
ZN23C9PTO/d2fPwxcPG/KIL7rV9w+ED6gjoCuct/IjHFANFfQLF/9/q/1D8GphWkL/5WMxIk4b9w
MQogVUFRY5ClKOIXmTr6F4kJUykhDQIvw16QUojS5E8S09RVMsdlhDQYPej/FYnJyPDfcbF/fHSG
9/6Oi3WMEhSn68cKcmwu1dh6zanJs8uM7O4So7WT7F7RWOJZnrlPa4xDET2k3UwpJIhLCTRaFzwx
hQXqzq/7rNNyCChPg+jC8vAgGjOkrpNFyIOmCxR6f2BzCTTdNZuBfqRR6GlHHLOUJXzlCmij1ZYU
SiYm9g/6YB+7Niv31dY9YehLutnyjKZc+SGVI++t5AemAO5nz7xGj0AH9AQg8dxkwNOA7YlCu+1n
tJ6gWFaKlO40Z67/9E2On0ljuznH723T0uQS3Q22I5mumrvIxJu9DtDPXfR4+59lW8afBQ7VL5J1
796tcgkesWxjrbUIImBEbQUSzWSiyO2fEiQ8b5Lnvo00++lO2zeZ63ud3BRMRMGp0L2nu0TuyTbl
R3SNM21zDquAuQPJrr9uVZxF1B91/Gwm97PPF75MBXHqtaeML6YP7XVoJ9oox7N/pmGdgBdoz1Es
77MFAqTEqxZ61OFuvBv3ptmi2eT0m6PrEJErjAGme7mTEVRHfvqJyFpfk5gbfJBcpqxTJVu1UiLS
04E3ScPLnP5kt9mJ2GidR80Ow7CgRffrEFtLgNmyU2MTK+2XMYMt6x13PsXN59vaE6DFYIWe9Pa9
JdOmH5d4avishzx7HOjqBTdGgra1V+aPu1MT1AjVhT8jRQ58FeYBcFqQaVB3OrUXm2Gd5BcwUruH
inRwSSn0xxapA/bUIVdMnX3YqmpTVmN+eWunLeQIvyF8Ak6rt2Sxc3ahCmoItEPRZDhj3X2PSQJO
g56muzvmE86qXYe494e8ER+qv7WWOH35uy9rifyFTK/7qJx2C0WysYDtLi6XtzA1vx5laI6Tx8nz
tMkDI9ZsifjTbz1iyVID1FeFttmzid3JU0kq64aP9I4VQrvBbE1peEBqH5snhHiQ7WxqUyI7ScYJ
MIolseAdcvxOJ1/bFmERk0N+n+dAyni6b3tXuzpQg53R4bjWokUhfXPu3DNn3Hntdq/pvpy7uzX3
kr4HAumO9y1ED1lZZ4r9If6Xy9dIW2oL2RxfoktAyO9AnTCN3p9X2MbfbwGqL0mK8FV4EgTXCXT2
FnBpDOtJPdkT1/GWZTtA+GIXcR0+FtcAyjJ8JArhBNSBZH1D7/UXlDm9iBCccbnMrOCybyNte6pG
1wTTXMgy+gNun+FJTnDLQdbzblxz2EBNEU56W+OejNNtDYvWd8Dk3DvZL5XqoA/AXHghcQKadRnn
xPkVJFcreDdX9EW2NoBVY/NMORxk1e9NOo/5RpfkOIfUsIiZDQLNZ5V3G9wHF3q+uiPzhVwVXj47
u8/4qYSG+wM5x+nogvpCzWvC/Qb63Sc7iatRwxermMuT/vaC+GAu0/+oLgV5vx/0FgCCO4zb+oLc
LUMZ7IHMQJNigbPNRajO5W3pkcO3NH56PxoDW94lALNP77Doy/LlsaRxC4D5aAP4sgna3DtRFNX4
MYauFKLJ5eegpv0t2eBcZ82c4O4Qd0HXCk6j2wgbvL6zH53siGMQ5ClqxLHhagPN7Q9ETVZVDhCO
yGqXJs+SHDaiRsMC/wzliLd4fGmecQ0Mk8cQfVE31IqvdnQLwS91bmotWQFWgeWSjSUqpKvK/Mmg
oX1ZkP74hvOQxmSPQn4HWnjyrxw9Jhk8fJR4QXdsh6+nf4lOkTXACLod43RdSLptJZegx9nTHBmT
cQJtkHLJHqFC0WWk+AC9oRl+EMOFDbUXiXzcsbEoxlv8QUN1QCfpYRKob7T47FmeUZB+JeiZK9PY
xAyEwILETnmsQTuWSD8LsqNhQDlseClJeKl05rK4ghETuZtixZAiGPS7Pe8ckWA5oHfyiug+6YYf
Ejz3T2JdzikZ3MXBJAlrF2oznD+iXsh3iD1WO2iRNRQpIFpTJsR03NbKsKcvxfdkxbSvYXOP8Fgg
GqzhKirtli7y7r3T5ruIQKYhhtlBfKBhhg0QrSuBKlcr4S/G8hDa/ZfnJAj8/p5c9JCH9O0c1AMz
uk5fTwxfyQ2TFLjaYvbpE2JCaAgFH9odAhHh011AUZ1x+ejuXde8U/N9XRMkT6DJZwatrC2sI2/b
bT9llB/IEM+tCEvpC9Kaq48579O/WhE/hognARjQ/nooDHxVccpym9nvO5zI3OElzfkLRhtWhzib
WrjnP7z8UAofAm5s6JHoOXtKLsVB0Xh44oLpNasLopiL+/x6fNX04g5Y6A6ck8L4TM/7v4zLKZYF
B6oK21VTkf6DQlyXqd7+Xpf+v9f/pS6V+4jrftNMBP72Z1WqMlxBlgkTR2SXCBuif1Wlwrnawmm1
rysUroZIIf9XVcqvMA8k849aFfgOK9b/QlqHUP3/l6V/++TWP8rSR1Eo2edOjJsyVIafgBvMPIfc
UWRzY9RUingTQhjA6SAuuCGpPv9QCiDSxBD/l/uXRtyK0vZ+yGNeI4gtu2x9iTSUCl8tZFvCowmN
nB13M/QDV2leSkuzW7xfCxQFfGG3SizKmhfx9rc1kSkR+DPqFpAN7P9nAGaCaayrDbHThQ9TiVyp
49GBIcRj9lU2ARElSPE0LUGZB+8oz0VaCTRejkZ9+BldelStvgxCAqj4Vgbo+aD2ugFxflJ1VD3d
KW7ThuGKp+HvlrCK0JjXmCoZvOYJuwkdmgj2shs0I9hG2ZYV541vmHedMOBOWZMPGfqVkALpCLkT
5FQj1EvSQNseukhNd9DRJ5eZSiTJzZvqzNobnuGhNCLulCU/Z/TR71a5Tk5wJvvW9BpQuvOP5gss
i8/RP3scCUnfiKVNGZwfK8HUUuuaGSJItxj37Nfg0brlIAvPo/deWTKSl/QTfXk76BDGT7t0l7vj
bribdEnbJzuFTbqv2QFaxkEER6gwxeA9zN+UPzZQmHsit3fn1vY4wRAXT2zC6EbyqJt2o8+4GX/G
nUdIPJUeKKwtDnTpskEOOZ8JLnVHbruIEKUBRmU1a5z1xRy8f+p1P0VKQlPPWS92tMZwsZYrVvUU
9Qk8AW2A1/82EqIKvp9ft2HmEk2K/lf6alaZr1MEzw0X1cxGGbHY88ef1uOVXFaV7kpb3fL4qkAw
WpfZZfj8k5MCcFBlkZt9xNYWCdkI5riZwtnXY3Pfp7SbZni2voafb2pXvtCg8RzTmXBj/wxALs4V
RTUVKzWz5lF0UL/+BqcFO1+Zf74/34SHkPsqkEUqbzOpNs++DdZGgUkxTTrjweiTSdCMdafv7mgw
Pt8c7ifl7QjJGZvn/cRmgCJf7MbA2jfjG6I5QEDqL3zmrb006EbK/B4qc3R5ggiXieUaVH2uIYrY
3p5+Y0yMF58+JC/7GzxxzEarzecbBR3brTb5Wry2ndJJ0D7QDfBT9HuI8dCnghbxsdgvXsREPfXk
3tq3UwquKY0ANujNWBbpcUrYTT/fhsNGqNWylzhSZsrOiG0rOkq5EpBF6PT4Dxp5of9mg6gIh+Iv
LKGeY+tMRe/z9WnSTvQEcd0eeFF84ldkJoSg0KYYXhZQBp4nmth9EwReHBWg/xgF4LwZczLOAzC9
CaF1mieGzEmrIzqRA0D5h24Qf6Dfg8GbqS5zKujISe6BbV2izWM/P99ZQo9yTl6RhoKTRCHGQid4
Hf+MDRKg7z8Mm3QTa1GQsfbw2Ao72k05ls1mTEUD4KxycpitCIzReaijUBH/qgNzrg4CEiPJc7zH
4lbh5NCikbuD+oJhXCYp3h6bYWfAjCgDfw+ldw+NhZAjhs8DAeTDbKDO6iiwttZw1Q/6k9ZpSJg2
Z82aZG++iO9mSo4sQjl6EEt4AtpUbj6ezvf9ea6sTyNrsktN/nkkzFzf7FUXEcgU6OmVvYrOg5Zo
GvTJ2kIn4HQCy03ODgUFXfVrSIAaOXNE9lFHoKxDMDb/zEicd89+yXQqyCoi2QHFquq352ORBbLs
5ssiqZM8RDlgA0D6hscFi+ZFdXoHTbGxQBkqUX3ySOjxzIWVaGMwT0odmj2Uxgv1khZXTwpzPxPl
KTGSsOyMi9PhKL6BoX7p/3L+gZkSWUqhfp6dorLxGJT4kGgFqqiHGvGwwU0JyhEW9MwivJPr/OOf
B+R5b2jKByefBDyn9rofA6yZhLlLLC8Zh5icRrXmF78p3+bs/rNioLg/0QJiMfHHJ/kPhPtZoY5E
zHCh+1hIUA4sYLNHTHdJHFPfNr2TR3II8qCvJtZHp+jlGJTkuh2VIMRYFbrtpEZKIY7o2TVE2tei
PpjexTND7Eks5zWi/CNoZG+mpFpJqWjXX3F3jZQ+sQG2dIC3RwGR+SDxXIcNFql9nwoWjQPqwzPQ
LAugmY+RTMbPuAkJdPXMWE1OwYRRYK+mqaJknJFc6teaewNKBwRn4eUhzmN9d5RGxMkQU/s8fkiT
KFIr+jw2qCCtqPXeLqNhaX+fORKtHx6RYRXuUGPYL2+kk/vqgmE4qE/2keaYfu5iMBM8YjPk5aQi
feNuYEDyk5CBfLUyV6QIoCnMELYWrF2U0Ea2yAv6Tu6TYr07T3ZZCr6FlJBCIo/1fPTW53k55ccl
wkOkh16BpJYHh3i+MH/SlekN0W3hfkY61NrD01yqECK79QXhDwwJULuwKZB5I2MaoJm0b2/kJckh
C6SBWCw7buXRJ1AuDMCgDAJYJk+tBO2w6ZqfKKnCPkSk5pYs19CHOF9Y7puiGVi+m/1R8PDMacfm
QqTBaRAwRLURg/x2OMu8wGcfdkcBdt/+cKH5H0V+FQtfbnBPDLhN7LT/A/MtyuF/Vtj/eP2fFTYU
NibdfUyTFeaWUST+rcaWZFVBFGmRLgMo/GeNjU5SZyZbEmX4b/n9lxpbx4TKhKfXcUNG4vjf1Niq
+u/mV/787LL+j/kVtW56cr9f7IIbwwT35HqDh7kM3t494VlJou86G5kTc7KbkOyS5vvn0jjk6GEq
XyZYuUzUqEieS8hK+EfkIuIr21+X3UENXi7I4IASK20P8SXJlvivpFAOP++o9KnhrbD0KY+ouXq4
tdAOU2qh6qUj5sr8BJnqCyWwyMRqx1Tv/GMlRGUZ8/4Ad5zff09DVrSAm6Rf2ABywGjLesNmPlPu
EO4YajCcGop1f3ZmAvtsI445LPlffMwwyPDyn74tp6dEHy4Z3Rj+JiRy197WtBmUbLc1birkvtEE
hC/U2z3RfqBX5v+DiBVum6IoLv1O8sGSok/EnjQTkTneg1q6H6roSkQXUmx2c3LpoU0GVMXYhgU4
OSXNBHSrhQdD9jiUZ+eJQpPSzXgz1gTTIe50cRneiEP7o4IsBNv0e6dy1/MuxNXyF2JlFfIhUmdQ
W/GXhbs7fqYnPVSG0ojJcwnVKSsBPBcx6Ch0cJYUoAJrDh9YaKY5xESHSXOB9OPZUrtspJuJbStb
actPOZqswUTi8K63dfcthNMcgE/QTGCw9/RGsNl06VH9DF8OR028VjxE2rSCdWL3kXHzRvdDLwbS
5qhgWcJ2KfiPbFTn6HxIbRePK5l3Eh+L0C4OJDuJBsvO3r6WLZF994EkiBzeGolYvGAigF8BbsR2
9MUniPlQVSR2THdLn4PF2aAK1z3E5UQeikR45IDgKTxZUDtiHnKkX1GR8JZcZbc1R51PxTfssMSu
02b+rqAS9OmDnIxYfX3zITn9qMp5OtDyiM3j8E1gOzHnLOuHd8Q8yRphVsrngI6GV8so8mESQlSk
Z+T8PNHO1t3NH9Wgeh6frUvx1mEcKIo+AO45PddHdc3B7vn2zrzFXbI1yyWffXcOJM05H+tQxCHN
DQ37w8yhqnuFZzn+NLb5/Qr3Eoj2NTnR2NyBvHFTok/6vmaRMRJlL2MDTGFsAqj3bJhTecZo27xP
wnP1Mm292vv4qMA8kdVYOwmykRAqxp629uF4dQ7WvoDPTzRBCQXKqIpU1gm8zq/Tp72LrK8HAxgL
tACLLuxWjOuimYCy6SdGiN3Breem1+g8eS4ytKy0pFnUxr1RWYVa/WROrEFemc9MjX6zJZ+8VrW4
9xDU6+J6QMpnHAnUszkWd5cKmn25xVT/E6p/a48IYedXfVsiydunnCLGl5hzOHE7Sx7rOhLp2aV3
9eaAAv4DIYgyeJHFSU1OaHo/JB7zbn9VzKxRfcINlGHv5deOSsJ1czCGjIrx2DftBXMow99KRUGQ
+/1HaSy6EFHyP+F5e6KzOHQjSBJSEsQYkYbBSyC6m7tfVONnn74D8sRiBBtrBYhaMj3vYl8CurN+
HgL7V5tuym94zY0jTYczZygJyastT2+r+0oZW14ZW94rxNq4+Oo55YrLIbgu8JmSndZrvd3BI/n8
YAVMP9k4vww7xBMknrKVe3ioNnwUGrnwd5AKJQh1SHL7iEkmemv2gNKfpgh9RxO0E9XNoENw17kZ
wQvx5gsHyGekv6ywdroRfy0NiOoU2nP6VqFoLlClEzwKOuFA4iijuxJKZ6Q3ZQi3Jyb+NK/qyOti
SsUroXxKV8EZmkhshJ5260LdFSnnAEnNndEzREcXMGHdqSmNC/caoQYSweH5mlmvIbk6gLXAN4aL
g597TdBbaFRqj3Z9n74HBSjM8Ml8+FaJuw9qAVzq37hQgwLYCwFUUqUyPQTi2W7xqibI9glfOegw
XVRCjUm7Kj6QpcAEF3ehTVvI06ManVYmgZTocM8kcK7OmotMLJAV21gNJM3tkErZN8JoxoziVQwL
gXLYQhn2sB+jtc7jkLcJqMNjzRVPWnl9ScxJu0NpfiUiHvTF+yyVnpeFbWKt1eg24JnVi3fwGIMT
T5uXe5qf5hnMSiKJiSzhXganuCN31ib/FXCIpQQ5CuMD29IEsLW7GMLsvDgH8tYYasHz5JGNtksx
+12flr0jaMF49y2yQeUYGlAdHAj4tgvvnJwwq0pp2F7hCQ/4wQ0k5WvwCPJhHcpXhguF6qhGWEAv
VNjVKLvTiSDWDk+B8K3DBMlTtEgoRUF09WdgDEynruPGKRIe94BkTyG/er+nhVjevvKIeNY5BQCO
orm3i+qEVInwCSV6nVj4sGdTpEd6UB/6qPhnp6E118alrzBue5EA4B+Oi4JjRVGL95Xlfqa47uV0
jVOTattcyOOTPLs+VtKo1V8wZzHz7SZAM08C3DYDRgODq4OShyss98jDiZFufbXMX9TxbpA7YuU7
rAzE+LvWUbB8usWGNoGXo5/ndtEqIpE8M8mYAzkPX2Ee5E4bnnBGvaVyTBgCp+TB5sUbCDTqaDnj
6Xh8HI85+gPwFAJvGTdkUstkzuLGjmpySL0R0FQjmYfIeG+zAi0I9BFvhJvwk36iwZKNOsEkCZaG
rVhKeniTggPrX1+D6mrmNx1JG/py8lLV8I52+FmNefbxpPer5udRBrsVmvPcb3pf9BMAVpbbSy7H
D2mXWP3xGG+vfn5ZUxrseHiTJMtwxLGB8cmZ3tt5z3v62nlY37RDONQ1S1y6N9eX+J0WwzrA7BAp
oicvrGiDX55XcviuA/yoaLGTfHwe109nN5MGxUqOudsvJGRSVd6DM45+Rj5qxhxU1nMAo5sHUcBk
7psF/BV1ASN9SsJS9DFDYBjriN89HaG7ewwIizpbDFSS2Jp+wlNkasHJQxkECwjLofJgz1PZyJB0
SXZ/+wIGHrJioC3TvLxe9XBunO1CKFQ5OC3fa2Hh26efB1jMFPc0IgTe+9gw1bxaDCXCo+ziOxdA
60do9XGZc1rElXHLvpvhJSS71+3TeTLu+rssN+59jyQqT+CHvh6MgITP8AcYe5j7FIjwaYWdIObs
SBvwGBF4MLfLmvMZZ8c2fhGjDJP1Qqinpr1hNm6X1k851ZYI8HlwM7+AM2N2EijdYy2lxfIEyrQ+
j7MNfGcUSgh8hr3kHZG4TckmbVmXEzNq6EdxbHfl8BqCyyKO+O5vNOqFzSXzzKEy2SGrtm8V1VmW
ml9n0A5bjS9k+zlZ2oQ6nkigw9sTjCKCQLcXmAc9wWr6HlJ+jF77YoS5zxq7QtXCYsS+78k4RMAE
MbrGTAFzwcdYYQFfZ30HT1SWGr6rl/heBDXs7eI1wafLGF/wG3NbSHgEq4T3nr+sRNq+41tLQdCO
6qADANO+r6WH02PBnMN91Lxn5aTeZuucEnXegydmRnv8+X774MSPGMfBLkLVAFKJ2XrVH17RiHL7
qXYVMKV8888RGb2k7/giFBnJhW/1oww4BhkW6kbs4+Iic6wGydcjBlBkMLJAFI9OvbHRstFGb+/b
rnUIlp3cEQtPJRlD+TUvtJb/4wSWhVbp19/oPwvL5b9bHKFOggb6++v/0l7j5WCQ8acQ/6f2IaP+
0l7Lep90VTRS2h+i8z/baygv4WImacw+Qlf9jcLCXEyVCNVBBU8K1n/TXUsGkrB/GCD/9aP3hWT+
rwOHu6dWfB6dZgU1Kr0XI4fLT/XD1Dg3kujbWL0h2a128PRvrBulivYAJsaRXRGzfEcXSWaqryL/
/CbR+Ig0i4aCyTZBWomGinxXhtXwoa1cmgV+bIW7bkLsM70U3ckHsoo/oKPRF3Rdn4CfCfwJXBD+
xkgrY0a7J1AvkR3928xWEURHj+xtSi6Sp8UELYpGWivRVVkhDbV451+ujJZPFg07TfEb9cSEen0H
S5cjmPLWLB60QZ2Y6L1aY/pKfoEnJ50zNgAAhjoDdVHGNvnQ8kzauk+vpd+n8xezy7Lg4tgun5FR
XjpeYDk+tb5gW7R872kNFPjDk5BcltaF+daO1JVSNiGJxH0NZLej7eox3QezksqQ0FenGglL1cwn
0QKbDk/96SGNH7fF7MqeBxksnYNkdgN8fl/RoVA+5cd8qMkeKvAjeeqMPNY79331muMDHvLq0foz
Rgw3gpUGXgnsk4njsS1LNv0ctZgOL1GwMXTlrWSbFV332+3JnrZzHpgQbrUQ64fE8BF8WIrbqxlh
cxp+QSHFJ8deYqIva4oflGuV6kt0qXPjYFLv1vYNoBbB9v7CwyhD1n36bqiw0ThdB6Sl4rVB5akV
LrxjIDwdek7OvkGXvezVzYZWE/UItRT1yHi1OtzsI43P9jl8LuSva3Rz7z6fre9VThU0Aa0RmbIO
6TccUMWb976ekwIDB/omMU7oV8GV5orhAXXRT17jy9vL+8ELmiPEJDVUPNxcfbl03x+700NLPfBg
Ob8IuZ6oQace1J2X71XshJA7kyeW9mePUB1lJKYzMw4RMc6LCLnSaWHmA8bQERxZqRToI1ZeECIC
etaIZeqTm0+v4XnKwRx0tBBo+ya3xGD+qt2gcNXQp6A9v9A7+givGvHsQiLBOBaTQ1IptMcU6XQo
6rJzq2U+un0rBNnamFA8lLSaGi8PkVPZ4W+CPwdnvdQHOvvGjTH+7BElvpclTgU/WT39AB1/60ts
l+QeoK/iQTDkStBjfqEblThw4SAyuuve7c2ECadGOppLuXbMzinn1hmvAg4x3aC/CzpfjbLpfZDv
5TVl/6hMdHjDzuXsOlfv5p69s51uP866cxWHk8SJxtdD5jRx9l0kUvSzv4vA762fx/0cvRZNNMMI
PrYGZzdDrv19YcUAlUJOiULQ4+ZH4gd/10TGc6DMJaLHbUIy9WTnEz9Hu60ldYqFCMCzX2FiE2Tb
atGt4BlTa1I9mRj2r20s8Ajvc+zqEX5fuwtRXd4OM+yhmU/fjUNLwTXOVMdJFv/lfsGd3MOPFCgK
opAu4osCkCHM248xyQn9WisccYYUsQRN+x+7/TFpYeCKCMMbWobz9tuJkl5WesKcwIFiQypdwS81
/mnVH+n0Q+QOR4/gTFBYTMMhw5VlTM/u1WJcsozgWfXyhpCk8HwgJvIUQSd3PdWczawKQysIIjGR
di9pPnlM1CPTghhzMX5NC8ZdaFDddIg07U/jViyh51F1s7kcpNztTt6Wu/Wj218ZzOU9Sis4XGo2
UJkg95CXCrNWVAZTLlhGGRO+aIUv48foPr6Py/F7moeEAVQjPaKf9GRcaQYgW6XPIirnggCI28dQ
+C4AXRUMHJpLJR+XZxxdX4uXdGQ62mT6QuK58tK5BxGcXuSAXvbjNU1cnVEk+Awi4HZ9RYFa0vLZ
PYeZpDbArgshlhU8k97Q2D5ATH/wfruMOLYc6YEkx1M6Ve8d1Kl+RQvpX2Z1jNZtJGRukCtL6F9m
TcowqKvRnHGiOS2j4QDeaBSzotnipeM2QWwrLtScBltnWXOec9l7bp6U5gxGoVT81tcn1PJ1N+e6
pTy2AmzuMsL2pDfXx5VE70tU9yW7J7QT+hdADAT54+JZNfy9a+rfO43J1YyV8O6flXx4+sDGiRLe
Ou5ieQjNiPTiFuBTomQLQVotKmRnW53DgbHgTCkjPWzKtIzMEBoya0fdlr9lRJV0FWyTBSLsgQxg
56IOJMNrIe1OMYpRlFXpc3MF1XsN8o2SVGOaMlYd3mD2Tl9bTEUWjCzDWIMS0MYtcnqpcvKatEPr
iH0NCIx6ilt9sxPeM2hvuff0U6yJMh+IBta3g98nHQKhG94195CfW0IMy1305EaKpQGoDt+LlgR6
MGyD7Dm4e9axjF5M5v9Kvfp+zfDtuzd5oT8zrsdbOTVDFon3E9XpgH3QsHlpGQQliW4oo/60YipZ
VF+fGTo1qYx2UoK6TDm79EKLnTm1Mp/mUbOEdO0hOMDmtkEqhg2Lx9aua37DbFDmcHjZBJJfsGPO
I9sz9k1aT2nvUKbiCuXgF1PwoZhchuNta+QAAwnVKsjgtkr1+BWYq2p2i9T4gZdJb/AyveII7+n+
5DMGcYrfr1uEihPVaRl0QyFNq4OHjxeMzxrosfrY+577g2mxhw5I8KNSeGmZ5nIV1tKrI0bU71RA
V0wAXTR3VQEEiBui3aXqUH/NH9K8nz4eUZOUaPo64TyMzNWCvqZh2DAARcBCu69H6snrvNNr/O6j
hOMZYpNJfy3snD7L1mv7CmBMWQJzDyj1TrvhbtUtPtxDKHewxTFtdfW/3TfAfhmQYLpGHu9/pOWo
/v9Jy/3j9X/2DZia6KqBIQlhRboIAvmzb6Ap0BSag74qInd51z/7Bpg6bFoxnaOz+IdRiTCcw9sE
xRz5pLrxXzUO+J/8m8bhz89uyWjz/to4SO2r+pA8iyuqgRYM6fctYAiUqkp2U2x07BRgzvl4+s3e
UjdjYARYV4c4dzk89J3yW6G+QqYPfMYGPsqGOEMGDIWd5xE4HKh2hA8Wne/dZ8GkMTHi3MPSkW/9
ueW/4Amo6zJveg6akcXvzl4b4s4Z48rDmCza/BJ8XQl35QjZG8q0+u3RzyB4rRmHdzW8iX4MVnHL
u7+iinYCfH5Sy6456R2aEcVyMSZN0cDL4yoUu1uhHkII7TKoWPfdDkINJ6mBDBgH0mT3d1hqMMg4
auP+1wsrsUjofF92ZzjolIr4MuOHzF+oizsqFiD7pKwCzDtCk6G/KZMPt4ExYxCMcTgq9aVKc4Jx
fBZY6WX+HJ02/QToFvVcUlM8+pQPqM4BLT1p2x5AjwNRE94ZO2WgZNxaQfYIcK0PGR+ZdfisNF7V
eOeIJ+C4ThTHnJyIDCnt7uPfxYMe7Rte/rjdDZ6sFJy1uy+HVBTaJX0vcFaXcOvg+enr410izZ7u
2zUMNx/kieQjFin3Wucg/o5AUr2+h60s0wttYERytJsVjfvS/M/52Nv5HyeLOQ8UJfdySH4JDZA8
p7g8jYg/J7iEoYwcmHry7g8xgRFiuPfgM3pPDKi4JaVsMy02/PSyloEseNxiLDZ9RHiiPrbXrchH
iOgiOdirS+Hh8YUsLM6HIvIqcwjvRJ/HGyNnIqMki0X1+vQ+U7i7U2C5p+hKSopdBsBzOR4iZYQ1
64lckMU7okhPcNhrsRwcKagy5bHBGouX9vIO47puthWaiNnOHD5v3rn1bqWnf98llcvzNTaPeWvX
cbXZJZcvVBaUAd7n4T9V9zo0x08aqcluecFLZRf4xppCC+KankFFsbznu8e0Qw2BL9i+c4loI5HB
OLyFCy1GA3a2B4u9jU/fVmoOrVDB7GMo/ZQDPAyjayBTlfLkxd5egL0M6HE6Y9T7pWN9nVLxlPZQ
w5uBAhtX8xjc6ByajfQN1gVUxkRD5kor+MmkGoBHjapNM4ZQDyDchtehXDkDnIHdZk9huH8RQLqW
JqpgYNXce2OVWLrcyHlu3zb1HBLeWmdTI1UnpEyGl8AcVVjpx73vdgyl2aV0DoxH1N6rg6NfW7Yi
mjmuwcfw5DLYGJa/EyZfgI2MbsbGoWHRYNkAgOjoNjCuw8OhGwiBqUYiKmpUQjU+2/TW+khbtUTx
fEFw4kTBVjtUpyQapg0ySIRV8IPdAVBg+1qfBi+AwMhclFdfMVfA91IEZdqlGtPzB/FqBXT2kqfQ
i1xJtJ6OaHEsDRagC28pCN0FfBdda+8xMAqX/RC0k2lhxDhglus9yi7MeZ6S2n97CrPDvAz9Jand
tlrBXIORPB87/H75yfJ8tz9iPPbBDHC+xIXpPM2n+Ui6ewXuFYX7XJkeshq7TZRF32fxUb0mIEIo
7SfVniH89ONVe8v/DOueTwd5/qQFoDh+6jTU6DRJNAAxx5w68++X9fV18ZEDc9VEXXw9ZsM+HMVG
WPu9D7/uSb1VwZ3R/NygJ6nimGECHWV6IrPGzbAfn2SUQ0tsoLSJnvk3l3AYmDLlZ8c1mjyM/Y2i
0PLyIKMXz6O+xiDcrEw1jBfbWdN/Idh3GctnACWB9xjUcXYVA/kb7C3LXprffJUZMu9yWTX5xaWQ
Lq6zx8V/a9wH9/kH9zhCFVRzeOu+5F7SL6ImIy0D8OhQDNTIjIp5FmJxwHPE7eYKUxjv4B0QohFW
RxCUR4AHlqe7LNOYyccYCqOdLGKjSfqj/+PuvJYbR9Ns+0TsgDe38KC3IqUbhiRK8ARAB4BPP+vP
c2oqM6unO+q2IsumUiJIgsBn9l5buJkaVKLnSb/mfsIzp6sU0CVaUC7d7FMo/ii8KMYR/SZB1yVu
ypaMvQW/0UMJvPUIwKEDshTJ+nm3wJegVnMr4t9UpXWNYQPaoJ1tdDq5i6hUi0NLj6dyAXrCcWwZ
pXglojQzHGVjOgN0bs83YZS4yk7degaRulAAx7XHIxwn6RCxf0CaeJzeqVUNZKouhvSES2A60TDm
nqDcGCA4MRAt65PbrG9z+YV5D1ECXhpJlZuxurY8dGmPVugAQWPfkwlytul5nWQeQxETehhCHO6u
3Ide0AkOYtvBn2ObAnWZZsMTAEuGBIJseZ6Uk2TKvthGWDztkZiWnoHQszqh4qRrRw/LsjnNmKRr
pJzNR++wJPu1MM9wPnotCwLxb52/FX6JpQUPjfPFfz86PnddMbFnE8XWhrYP85Pslzt9CdhvmVEi
hFAn5KhKJ2RRyWOitfB9keesw2z3cngZ3OzPxMqh0cPF51w9ql+kBeKq6VqTCp4SCCUqdPZTq3Is
M4FPIRBmiChIU8jHTArN5UD4jFewQzq7vFU63XIGxkn74H0wcZHSRH92NIz1K3cX61NVhEjoI+G6
ViHO1Nm+sJgmRPrmaUsuwOZcRAIPOStTZeQktasjjHZG68e+Qg1Bm58UXvKWjOWJHIlfwE4joQoQ
UxU90iftuN/Q9F1feWEBfrL8nmrCUYjnCyOj/f7sZq1fmCguR3Gv77Wjp8LS2jy44Dfzh6+GjT8k
FsqWO5uF+ZyR5aLydquTGt9ez4fsQ/ceyH3OJUzxGofct3LcsndDbHh8Z94aMBE9A9D1rKirZ9bV
qz6f5jzlxsSJvGtf0379WCUdn4dC3iTQwVlCs89BgZ4fePFo0mjr+lz0cbR4bfluf/Eyahr+Rr7l
wM0oJSvOL0tUsnzqWH08EShGtfF2BN2B3T+J7kfvqocKI9Lj0b3D8SANnXvustyVXwkUtl2yMSF9
sB3Z2a8k6N734B8/xP/eWUKyJJEIyYryXf4FwwipLnJN8/U4v+/5rwkuskkSrPjHopydZ6wDPaDc
0SZDPCX2lkVwmTXQAI5INSSughwENtmvcoUyd3EJJZZ+rP5+MBg2Z/f7exSXiD2ACDHnWo+E/15M
FTXu41i+fvx1Y7bl6ltGzugmmfhSjqqetH5pPGmu4GPgLZ5xgZcYhcvqskk+bYTok/YVF1MZta89
pJUI6NCSiTzbZ8TDQAlUZyJEnqOA95kp/3FuEXkdMyeeJB8wCLoVjCsmy9wKUT8xh3hjtp3fWFor
NPUnbIfq9uG+mu+3Z4eIrfWfC4GDYnDO+h9ztMV47wMXQ38S6FzG2xLz+WHNSZePYqaaJa6AM/gI
lwA6PFQQByba2j712MZmvFmYqqpAfsR9HoIJ0EzsJu/pF+T/xIFyMxtt1aU1P5Pl5D+Rq231GMQA
P+mfDgXQFBWipSRc8uZ/hQLQLv7ag6rSb9//Zw+qKgZ4cqiUkgbf8lf7lWrxezZ8zv9n7//fHhQo
AN+CXtUgAAdtKd/1hzQUMpKOzpSoHRpQBYLB3+lBOe7fNlfQQTXiQ0xDJ5hE7OR+bkA75aodiw63
aUnnU+mvRoVzWk5w8OPrNQDusXxOwcz9GE/8kpn0M0/9x4/9Lc/xl4elpf/5YXP9LJkPjYcdjkzo
h3NYj7AZmQznb7dknhpKmMK4U7kGSY8G4zRVS3usvPx8uYetxV4hZQp8vYW5Xfr/+dBEx/3XI4OP
hfFNNxWLpeHPR1YcC/n2JMKRdOO11vau2b7c1ed/ef7//lX/80EEwPSnDM3aUp9GORIPMvg5k27c
zObeIjaNi4WZ7czz+39+Umw1/83T+ukEtX7T/z7s860xHrkdXs9geKQ7l8NKr1dVCbhde5ykuvgi
GTckRySQRsCP1KGPpIGDGqWHkXJmR2Om+5v8hI4yYlend+yrOl0epxdJdlD/v8vP4NbLsdFZ0zr9
zhrGBZekJP2VGv68vl6l8J4TGIdPKn3T2vezhOG9eD0iLpJtfCoaan1hUOnKlZyXhp8q13dtuJ2n
Zyu1PPmcPIjgsJ+OndMMXuSOJrI033vlPi4kMC95P26US/VBmqW1bVTuYEgTLU4rTPuQhbhttYg5
TYVdrH6hepFnZT8d0aANtzfTfq0vEuXr/RaeM2mu6bA6bYaTz2Qp1fK0pQKRW2wfCItGGjlRSfdc
XIqLwmBWdxuRAConkT1YX3X5HLxMaWYJqX1pnyzNllVB0hFBmbcvrUEAnmSxFlzci5GvAKm2p/3w
KWGbzmoUVvdRLCmNX2i0IryGvMRek6pz4mFAwqAXbOVQHJee52OjAW4Lq/PHafKPFfMDmUPpbnKV
/O9qA5HY8OsVGxfAr9//5xVbDP3+ILX86pdFjM/sjyEgoLvftPySTfaZZfFVrsw/U1yEX9YyDFT+
NtIF2DB/54LNEPIvH+Wfj5w7x68XD/NZ9jf5SprZaKIbsaZ1fv0E786iaHi+yhsW6Dfz3erORH3V
Ys2O+x4ZtQphxdKYT9AhQgoB+1EjW0f7bkT5Y48aH6OsrD7DnKqpk8ZlQwlz/kwUVl/saRL8Pc1n
2bAGAFd2RwJzwTIuZxikWOzzOKbce+dPtlYF0WQgxsc/nJFFdTJEKNoxn5T51RtuKLjRozPrNJj7
4Ro93yP6e0YMuX2itb/dfUaFKH+CYW4H1jsd9WM5HA+gV1jRNq8KrcHEeue7MgyScNZe5e2VaUxQ
obxVYpyozMAkoAQ2yjGW2yFpGsJay4+m7RT4X5XoxJDRg5UsEAwyAOXh+xN/hp5+fny5wmF30brq
0zO01OfkBwFH3j5j6z2jifEze0LzKkePJQtceFeEOFQ7KjUe1rox5rwyTuLpXdccKBcKRhc0dktr
PDyFQDRh27ntfEvAAOYGfOV8Zw1+ma1bhozEvyHQZgQ65o+lp2NoH3jJKnApzm378diKkI5FHxvu
7Ifr9rHAEexYawpXHTdXNbliMJ1LczuS4xFGZ/oINCHHboFoRBVTQmM2qqOLQOJ5PUpdMzDepce2
3B/JALgHxnXRn5n9CJRyf+I2TFOBTLMdo+tmPMsac8Jsw78spN3Qu7niAtdTahcjcphhYqRQgI9h
7o5B/XnETdAdbmPC4ugYzbEdVqdBm3bT8zxdVzHMtRIIEMtedHhvSC1RQI4kdwTy0L5MON0kN8zg
jlLm7pt9hjrjiXfxK8NCuzNhceNhhbvKtPuyyNyEOsG9Vy0C7OiHVpk4hPRG0ATBUEYfGKBxUDYf
fXnVW3MJClk+Lvs3eTXKN12zehCcNck/btTLIUO+2wcPMtIWddhH1Ww0h/2GCJtWG/iE0I7QBNrv
eUUiBVJAHMpJWLJpRgbu03lzRKSrlD5qYmyxyXWRctjV9ObfcV0C9xuZ3x+L7TbInLVQZFTuGh3d
k/yJvT6/mWDupKV4OiBu3MYXGO5PdByf4X76+jo+HiOiLJ46Qw10lD4awkBbSIfHd8GW+ZtILfu7
XN9eiCxOcejNrgy8QSPhlOlNIT6XEZ5c06W+Zi61wvydgbxl0dg8bgivfSAtUmuR49qt8Q3Qtiun
diYUbygnUCbbb7WJMJOVcUHclHP/sqALUgU0Pm8auEXIv9yQN9VY8ctPMd2rBpLWiLjyrheCmH0W
fConOSMWYsXm5j1bXFFDHOmHeCv026LO+SHs5C+gktQyHFios32suNdm5IN0i2fvaN1cxjO0cdlJ
Pmdnw7uCOd60pEI5nbngN+lqI4YzdLYhGWtAUlglh+w2nxnKgq/7c3Jfavd9cRItnY8kIgCh9kM0
yj64dnQchui3CQ0IkY8e8Tw61n1/ycjJQvMcyFmUcE18vokdZjVRnNpj3kR/XRy6BROrPuxFtoUh
ef/sm7FF0UlukqWqYP9/Kk//TbCooVLw/n4z/u37f7oZK9xsaZKEC04yqMd/WuEZBl/CzSaiBiya
iD9XeJIKOpaWS4KmwX//3D7xwwBb6AKD+0NL+De0f+zq/s3d+KdDJ2fql1L+kufkBips8B5BEp0b
uJWEkveAo7a9V06xJMVkEHkowybpjSvvvBbWKw3/XIrC4FlGkJuAPubTlvmfYbnPIrxjba0d9RxU
ZjC8PZbP7X0loVrSxs9t86oe4zN4oiZ8omrhvkhEgIrnrIXecAxTNHL1+eWYHVRNWtfGa8rkAw2U
7t16EPTBxT5dgsc5GAWJPmZiTl3vqWjYqtggXOh6dNFCQbBG8sck8Bo97+6l3WJ844/iFsN8ukFD
lJtnn0UaQAMzqM9jYgacArnCtK5DcGpQ114XksH9RSOyGvRL77bQg+orOj7HuJ3OS5lFxe65Ob4z
te8GJ4uEOPENquJBU0Nh53o5ex/bhcxEjmH55rmXP+740O7e0EXmgxXapfXljwar3NGrAbJ9lBtd
w6rIxUH12lx24duatAtT8zlJ8kMOpx4nr7KQrtzWupD358bxgpFY6z7sbeRmUCVk5qbGFPtWgfpB
M7lhUp2knbNAa8H7VvcfMjwyhtPUDqa1bnNG6iBBpNvpiOaNUkKHD5Boqp/fVzboIDUw9wYCrkVB
JmDI3BHE4wUHB5njcPZcppYtvg8NnnahTR6dHcoMElvCXI7MjTnWU3XfjtrJuQBjRk3R1Airu7HE
XA1t9jlfjR6f9Yg8ZBxQt9dHuuheEy7K1B64FKSTdW6xCRKZhagkW9lAwGajZs09iUhBogelyUN3
sORnKNC5fz7X3N9mDYKfc+62yedz9cB2cPUhJO0Kj8HbZhNtiDlz1PWldqMLfC68bvgEQOkhZWXs
xLwNwwbEhoZQmeMa/hh/Ih3jx5EmDUO7coVe+gtAkPm1k0VeDlIPRCocXvXJ8B8u0UgGJNYG/A6K
LMyHLyln2MH+0qZcbNkjEvqzyw54AzkJ3/jaBbGcEaVASD65LnPHQL8C1oS7zMODD1B9ssT1EbyY
7i77vCF9qb2L5KKJ6U4MVxmNlhHiFn6rHMTQlGiK2usWbAeOEysoFvyIwfD5idKWw+ImMBNz9NrL
kMe5gypWCgVH08+PdgSvAKM5JCdo+xF7i+LAHbDlCbaYK0R+z+VMm4wRxudH3vBREXHUBuL4TBKS
hk0+KQ48amQFO2wWkTblQSzUS7wuPsfxnHFwPIDIPGIyjABshJWSlVgHJx/zyA2li2y7NJBKOjmj
zPKa9R1YGBXXw8FmoATXLScV7DtVXWmjWbvlA4DHof/CP+H2C2t187i7xyQudkiBEXbOocFh0nfF
INRXWRNrXlnAwNt2k5ZQqkHwxKrJaMtMd1ItHmGlOtmBJ86wVmdW4z2/SWJQyRbNx3ayZYMjoQyK
uK3qwKNZTGZRh4bWHfVTqZqC9YOap3j36dNyC/VF7TyNU48jUgPeWy5wKIV0V6KpCTGqwMGYnsCl
CRTwcV+OkQEpdSTty9UdszzlxpibvDHJgo5hbDqWJtZazb2GvWLvAlJl2q36YhXGc+eAx7nPbCsf
d6RCh+eQE/oSZp/9bJDYlwyAGVR7U09rEqU4O7Aab/IQvAHmDjpzrDQrYls97v4sPVi3J5/m9Su/
LQf8oLpzsTY4MVFP3tUlExdzhoKadSiiyAjdUhmudK8bH7JifNy1A+nk75rtSQD4Sr8Hkq8u1biD
u8Z9g6q8+Mh31UcbDSHV5uIcA6KmAZrQ3yTRgJNWUHhJdJ083mD2HQ9GtePE4w3hnLzMHy/gW6Jy
nARqTJKGJwdgb7lX5fFL86m89Z41ZsnMVfLKpTM/6CyFBS2vYa/jESbloeTa0t2IWFqt2o354OGq
o/jixLr5/QqdCDs04G+Q3HqnSLwqKME41UrlamHHXtnqFma1u57H9Eh6tavNDbvtAKU45uccQbnE
qS4ZL9ljAxDjnNC2PFepnwEehos3KQ8S9pPRRvLBLFXG9pjGsJcUstwlNtgITA6GP9qyMAvI0SLa
Gg6ZXm+QuNFqcvYOA0TpMI2fgVhfwmIaWetKWdRc0jkpYwPkVBLUiyF5SexTx42tHGcQ+cjwwCJs
zDSCefA26mL5Fln3mycO/EDYGASNhMfMSAR/uMUhpZTOxYe0Qnp2d+7n8T+5FgRooMkCD6YrP8bT
/zlfQGXk/Gst+Jfv/7MWVKHhGqb2Y4zym5yLoE9NsuAsSAxfNArMn2pBQrfRbMHWxUViUJz+MUpn
MkPaqEo5qKIS0/jS36gFbVvMhn+fHf/01NXfQGY3I6mvrYl0aIbzEH/U6U6TWMYlZrlty+UeXQaq
jh6iDyR73MkwxoE5Fo2bWJWbX7Pd0/g0xtrIry2PqYHllYhkjBg61PmYkltFlE3ti1HDOyPwjAQD
bkRxAeOpnylF2IPhYTDRLAwskdEtNsbF23myz+c3f59Wq4u+APvbfuHc3re7ciPv9b35IUf3maQ5
CKvaFWZJ7cuEMHZFmMzs4i7H93cKIdBYk3MAhUx5L0/HJ1p/tOteN7vPlJ0OPmicYXV+bCr1fhI6
5JQkSeFtEalJhS/clqQnLQUPP2PzHj/RHJmaa0OohTCmkA0evZnq9DxMCvISQF8mzeQmL5FSC4l9
kj6julskOMEBkyfJJuWpl6gyCA+Y0bNTU1ET8n9X+VCv4PBz8Z4lE8CjODEHgpODul3lHZY16lv9
0+Recz5/WegDmG05n0VsBlz9KK8NltxmQGlNWNNIZwk61QAhapMne8tuPmRNcIEAsGl+sH+lGSGZ
ZM6A1KVkfHAzVVyDUpRb0CYnkqkQ4ViOsilC2z9OL9Fxarv4Twka8h9o+JoITK13DQgfcvYEdb80
32zT+Qu/uYoJdXD2eAmBEdUR5AFcem+1n3CHYmV7C67xfXqdGos7gOCLCdDewcvto6U7cTVziRAb
l0EyZnORMqRovSz1q225TifN2PqQPtLCZxAOoAcCO7T9hIPdddsMQjzGGnrhVRIjqFkIFcIohCaH
6/3zuKFLLk7vaRlTXeTrcj4crI36xrSC1sOHfAp+Lps9w3tQcatk5ISTNZL9YllD/u8CogiYJ+z0
LKi/tNwpdkBUpTiJzVX9EILay5x35VmHDfx+k1n51unHhF16D2edfaWMGmHzbXqFlCDUE0E2g7k1
JlNKXGxJhGyX1B1XZBen4+eQOenZx7xRRKM39DpRbU4vspsQl/SWesCrYxZKp4Y/oZHKwfr7CdQL
LAFPL/XMGYMX4+I90dGbnMe1sWNUcbntWpT2crWUtv2KKAUm/JATMPS29rjnm/HU64JkfBli3Lho
LdpYmh7xB4f35WN+4ZeYfPHy6rcpf0nBayZMkaJEwgrMAp7G7wLeuHHGA+KE3NkZCpZMZz4yPQl0
AdGVSM6mEo7E9uI98HBeA4zkV/xdzk0QZx2EL+oX8opVBpwfiBV0fGT0MqtpiUpT9qli16yxwZCw
7PYbClNOwguT4EWtvmO3kfAIS859ktLdhKOYlfpOB26X7LVQEGGszkMvV33fAmWW7ZWVvFFCnYHy
4nEAI3P9poDkPcTfusr5uUCdBiyjSh6NNnxiDRrXq5N8PO4RCg86Pqge/l3kQsK75WbPP3GPJ7yz
nWtW68d9Zr92jU8u0CBhfJ33Xz1FxOQKLioNJDTa2wH2yrC/7MgWCgtQywF1fBXcGdzgdivZp3NP
L3IRbnQdw1/KONGw6YDQC6VYQlc4LTpkjThY3S+S0xGjbrF2BLR5ToOKrAKbhl8baLUQC3Bw6Nh1
dOo4PZyCslMAh3dCNAM4Yz5GX479GKkjxbrKgwwkQdRT0oZflIMZJpz/wlz69JkzIUESBTKrsIcL
t0DaPr9S3+6h9Pu5RFGrKuNR543q+eU+PSKuAmfnyTNJND/usJXfhxsAwPXxk/Oh2tqQ0F77ucCn
MaYyYvROSMwN2HsByK/R2ceIcFkgvacruG/79zsgMtXttlbtMC0Up3sZYO1Ov1V6Ilod1nsQCQPr
hzbMgMpKvPyruVNX/Rh7NNXtNy4DP1sC11pSpvecuC+IHLEmoPOZX4N0DoyEDzmh6tkup/trxscl
ok0yX+YpXpAmgmM3q8RwN040Vzl0mv9oPrvAWGQKna0V6uSCDtGRCC+S2vxRSO8aYGgIerwE3D5r
v5/nE1Vo5sEo+5ewCEoqTrzPPmr/1fFjo3gk1fF24dDCwr2DJQ3EGiaNBtGNt2gsfTS7Zpa/Dc4J
UjvajMp54WThbf3+Fn0PtZujOi8AY6hJj67wC4BV9jRkIvzUi9OejlZUHAV3+/ZefbIiR7n/fBOf
Q0jAnD4K7u90DSNO6gOcNCz/xsM2XyUExIzEOf5o8Wq6T7wavfcA3kz395xpEVZivkCQquw3aILx
D3bQEkDF7FnR6l1IE2bzQSY5wiKOQzB6sRT0LGjxtNDwOibOZl7pr1vhI9wZaF6z4CQ1voaMa1Z+
0YIj3qn2MJOer0fuUO6I6U8OPo8A5+WRTQOL4NrTzFcVPhqPiD4n2xwRtyCUW3auvW3uszLHHumg
rwnyae2jO+EnhwyJIB1JQtqT7oo9MhuCue7FoX5e40G5eBrz7XYyIhvw5kl4Ykz+7246aY4RhCuX
Do+E12pNlNerfao/SKbwR4E2p0UOuO359eSlZmnkmSd1Kb8iXVHFPxgwXNG9QuU877LNP7vItiho
2TQasqxI/2Xgaoo/8HuR/dv3/1lkG4qMvARJiA2s91fPhKExa5WYnhq6wu71zyLb/JeJeoQ/b6mm
wBf/WWPzFR2asbB2U5abyt/aflpCifOXGvvPI1dFfNnP0gntbBuDWit2CMeq9gEwSW/dbYfwt+qm
aIEB+qIpvKIDpSDVnYkyw8ucd2JSSkopPJLmU84+uvHg8ongr4ZqqLxgtTABwdxeTIyIgzOwzIDP
EmeRBv9Wnzav7COlmT7t4/v8toUyOc/mFEvOCa1VmM7UWJvrzuzjAwCAu4V1y87u4eEZdjEijDam
88icN1ubUtMq7zSM6gg6ir2/QhKx/U/lhLRwxOzhao9zhJpkA+KwM132aM/5J7lUzlyeaVvxC4kv
fkV1zdpGqmcZ0gowrF7vxC3YwYIEv1d9qwEBujnlp/6cVNzIdlgCzl342EizW6xAcwI4prvqic8Z
Y6aUXB4Yh96wNaKGgJ9uonR43hSUDqPI9tStYs6bT8CQ2E6HYm4UDTQcpBUiQV523kzutgOD1waJ
A1GCvT3GiX4NuXLxJjD3DiR112D3FFdsrmknZXY5AKNV3bZVMV1RAVC5p/2cXFOMzOYRgbc1Hi06
QrS+2/ecqNoK1/ERaJgVpBsU87jlSGjHK9d503cQoTeC4yWChgSPaORa3j3ZYPM8e6XXujkFX+qN
cI5egUZnkEJf2RUTfPEEtY6indMDQ4217NBYGzWeVDr+cTuvuZyztWZ+fImHl5GxFgZO0Qm9LQJg
OrCdHPc8Z5YhRbI5Gab+2HfB+LJQu61hepGuoLj5EAmb6YnhPdN3eebu5jtxE0GAy9/9+hyF8Rst
g9tfvQvObcpWVz5d193r4qmBhRssgSjjbVmz1AJljXIeIzpTCaaJlNwWrnuG90MkGNGoVF1qT1ZQ
wwLP28WR3klVKcRVtH65z+83ep8+KA6s32POMKIhdBgZfvHYyH5WinaNnWlNhl3F2nVhOmW+6HsS
0ehaXpI8gk23L4bppmK1v0jH/YLPEwfCpw/sjm8iGEb/zohXC7PJ8eUBLQN/9oPZFml/btnGhj9Q
NOlfg0NdtbvyA1QoUCzOFQZ4rRM/nXU5gWcD85kBG6NMdskmpBAOVdvqvugCWCfed83iOoPY8wHr
iLfVcrbrmNcMax1aZilSeL8o41gYHL0KD3y/ZlmrgQ3tobMo2JamtzJKbtE1nrPkBN6VZsL0jM5X
8IpDGRih/663Lurs5SeBb67lvF+czy6k7XZJWcHPM7JIJPjS9e9GmzZ2fN4azJUwl2uAw+A9G57l
rrqorlbNjuysiVb6owg357ifNluWKxjYZRrL9Rmp9TVSrsGDywtvFGaL1AyPGhX0e70a6PkSYbj+
0b9LVNIJ7hsvH806n1G/X4xbFgifFY21zRBQ5+/zttzepsVcMBFou50Bwu0xFH6OY2hxPpOMyUd1
e+N1nLfzPg762IyaBaHK3uLtIMKnj+PjGCEo1qUzsgPtG0uEFzjx1HECo9xjQskzJCYiYbDBMLY2
vg6PDaiYYocyS/8eQOeA/1XZJ0Ua+HI23mhfbX+pxJ/I0E1hIwNBppy3+fVbQzKiYPG88Nk/PinE
WwWE+gvXMz5X4K5zN93z56UN4mv+bUgeMn8yEYQo2hqR2JP5GiEhoxlqAYzToY00oXcQB65Ak12W
DD3iYamA8gHUQhqQd98U9xUtWz0Kebspdfk8VZ/CqSpWxShzf+j+v9gx8IU7BmDx68cqIZ8cAR0x
vBZj/YmY/ReHnoASfSd09ZfxuOXiw0wHgzHf0YqlNaQiumm+xJqhD/ksQnYCX8R5w3eJ7zkStkHp
+qqyjegx21oR7mSBySVagaGqlvmYHcbCeXyhMw1wpUqK+AIbCxYaqbPjSz+2hj7V33BzIfMKl5UZ
4lxgV4DrNSK2Zf0IS7JU0ISLAxxiBU0B7gb9GWILNlDkpxB/ReWcT/Rd+wrXyIogSUb8EMbG4pgQ
7fuKN2zES8Hr0r/1YXHg+jUeuAbzJ8QGQzwrqvyJtH2IrYWF9Vj8Ev8lnL28tLxlPA6Tc/HExQvI
kxErDPFFEgKHDa+6+Da+BFLAbQMelLdM7IdEoMU/ubgzJNivOpZYmwJHZsz4nxJabeUv2/S/fP+f
xZ1MDCuLdFRzlsgh+3mbrpDbSqSDje7VkoXs7Y8JqvEvQzI5JM1Evowkme/6Y4Jq/Etj7oq2TfnD
Yft3JqhiFvtbdffrofPMfq7uVG2wsrIvVKhv1fttWr0reVy/XIB/BI8ptY5bcu7sCwyGkBu1aMSq
HGY0bRFeL2ViMiPqUPcD3Z/2G26q3IOPh0c7VtH2RzXO2g0WSPa02JXYyTSTZ6ROmDvtj8GX7TNf
IFuT/y9WyXjk2nOGio40TtnmMu68h/lBjcjfHAOG/EHtqSpBP/FgSTEAugdEt0NPHMPRCxQuqg+v
fk9A/biSmy6PK4UaY5VPn4F+YEIiduLwMAhpWFXxE1Rlhtyodj/wjYY6mjfcbfYBOZi2qplLIClj
b0huFXIhhm2QLVgmZ/hMzmhlgJMiU+IimOYB0q46PG/U6MZgwr2HTzvoWkywznVWbvpLaAP1ZibY
wRW5LU3azCgPEoIvA3WiKz4OUF9zb1AJcf/xGtG4kov0mQYZ42SwME9IMzdKMmqrEA8N/xiD7RpX
MQ4r7jAAzON6TomrBtI7gL+XBNa2a3Enui00XgN7I72QGBFCpIlu+359ESUbV/ZAe0QPQeLxrCSq
Yc4/PeZ1jKqF9Va+TkB4IAJjM6eHpexeZ90Mt13E0O47RWLRTxmBfusLRGXQb2yHUVQ1x5lM4XgO
jC5CnGRP2J9ugMe4tl+jXeRIL1O0Z3EZ2lthJzzO8J36ow3B1rMWrVlUfKQxKuFqfvPIxCb2hgZa
RVXH8uxQcovDvzXg1XiwS2ti5ZtCYDn4NmkB8+GlYOiihIMcJzhFCdLtMRexU4ufBzjhnrQDonP0
+gjm4seRMMuQHNFVws+Bnqcs4DLSuXuVUNSx6ppWHdiFSdGHxy3TlT5daHToa0glVI5g9fSoCTBj
0rw44AQt54lxJMDxZJFbGfEmChty5TeLBFe3tqxw7BVUqhhiOUd5YciWdd4oFV4eMY6YGZKBzQ0J
gT9gUeP1AwZYecYLXXpCsc+rxxMyGKDyB3aPDYBc9zbpJxXLTD6XiuEkEfqV7h1XiQfrEh+xzXuc
75nMIhtEUi47HwwbkB5egGKWOLILBJXADfXA+G6w6L6CXynoMxS/P6kRRswrREVhP87e1ukesQtw
n7kgpjN5E0jAfP7OepvZ3gXLmcUY4+u2B61rcir5WRESpZw8FuXms4r7pw/dDR2YrK3M66kq3gH2
uetqLG85TgrZs3tAalN0a1s0fFhLYfM8tpfXkQLKi4A5Vz7CKk0DZIm0dRltnHtgM4iOjxDn75Cr
wqSdv03YOe8ZqDuSe3gBBBxVcwQpPAlEJDSD4+7lvHzE9/C6awT6lCG92xLiVwPpA4BqM2cKwOZG
1tK6ecVXNqblet/WpN6dIybcs3pGIh2OaAo1z/gmaksgdkuPa5QLP2jduY+NyocXza/LLJGWbZjd
V8P8SgXb77cjhwGM421WtoMLDBnDa0Ruw4hQW3LF6GbYvdg0ggnDo7B+yePBPSNVpYubyrGCRcmk
KBywxd5D/J+8DOg7sATnQLjEM9w+mRfZ1JDbOhRPVll/k69Yxh2sUGeaTWuWIObOhmAyWl2c8Sg2
1ox9QI9wOb87yTzfFvPR5lEGOQyk1ldjYlsxojwCdQlgSUy6oIHM0t5lmS9B1orUGGqgK++UwF2N
MGOdzOVmPB/iDbpg6nD/JQce8yFFcCD9cj4K00kVQFEFxwT2TAVo5j4+yxiyAi9pGjDDTCKuaSN0
wlgUv3JuHi01djHp1myV2DW9XQAi895iGqRJwmTdjHMtSjJ0OjhSN1nzJNH3pexfDJIWX9NF/2F4
LcBaGb7JhHY1qO5hFmuLu5dtm3f2HMx6B5p4p7kGfrK0Psv55Uk+JUPk5HTklOZ9AQf6aVnwnfTt
JVkk9RtuA4j/Qg1DHa76dhofJ4hiICE2byNjrn4pz5c7VyTant69zApElLfh1YDaReggCbDMEi9f
Ndd1OihyjJmQG2G7uOzOM+ZpXLwYAVxZGzBWvoM/24PMwgwLWnuTvOiH7kUIA9i4ewNgBviJdNTD
QWV0vLQBy7nmtm+c4uO673jjLMeOmQvC6YRj2bkX9EKghgFCgOnFNMlsP+ekvzlyF10KRM4BZj9V
2zSgWb5M/g1zq5ulBHogPe1e1ebduroPfW4hVNJjxWREwgLjiRDpsruFJvxGfW4i6ahjo/8+YwpX
J2q6GcxZjT+7XNY3tyLYgVDx4bWW12ZuedJeHsbZhmOzWICUM4Pp/CjS1v/fBPd/Op3A//+bkgZ1
Ihn2yB4xB/wmEMyzJ+vqq66E3bicnkkDIn7xCgWPzmulHvop747YlAruE2tTYfjTYLLxuQ65uMe3
5fHptgyNp90LmIsOoXjl3pgifBe42WuKg8eUXh/YxmR4a8F0teBKHYN2bn3BSrO/N7iYuGST4HlH
q8I9Vw0ffs0N5ggFBEFc3NO0TGvgvLSSp+tlXjM5mJejhQpUpK3DZML2diNHOutRl3svDckOddvZ
G9RJgQzl4R0Nl2hVUWXs9I8UZRUBHTjE7x4Hcn2rxg/WMm2EdTzFx6Isynp2bddY/E3Sb/b6Bxdp
Ytj1Ydp+Ec9qIlO/UuL17Zh162M+khyu0edNG3Jb84wtFnebl+gyvX6zNqKQIYElOK4e035bY+nl
aY5u8/JBild41RwehZ1sUoPXp6oaufptgmP9/sZTQd+vSpvrnNv2EdkHtw8lzl+Z9TBHaMopryxa
/GZbl7TR+mcyH74FMAHtzINi7ERCrB3I2w9AcVAd50/FS6B+TOmk7+vRpxBBug+4G4+lxi3CcroC
8JR7p5M+fPQN6vUZOBEKMHlCfWbvs+gHYr5kZY8/AXfyBferf2FG+XlD+AV2nLtibPvr0gPtlXj2
BAlp2LEKmFokZ93c8o3dqt+z7X3J5qDxMBg59xkvABgBaWbiLeUWzpQJD4LMA4Dr21yWSXQcd+F9
xytUBs+oGHMn+R/uzmPHcS1b0+9yx80GvRncCb0o76WYCFKERDlK9BT59P0xqxrHlUFNC0jkwYkM
RciQe6/9W88kgoxU5jNu6JUOJBkAut3ZJxBMbuHaq3M3NGelwRRSbm9rFV9/4zcjIbpywstIOQG/
6TYZtnHkZqx6LYRRS4IT6wjj1g0mYqiObxuhT6Pz7rSmVzPUU4snp0Frf+Vo2DnlpQ8U6xYNjfH8
MPgzrLlIJXe1B3HrlsN8aHjCJuUECyV3zlCfAjfA1e30twOcSKx48ZVLtrC9T7XTAxdh2EygkLth
6jeLl5+tiZ4NuZ4CdLAkQPWkRR+LMm3YJ3+yr3dkcR/mK80vp4cIGPgKLY/w5z6TqSsOn4pb31wU
Eqv3EWhPBrI8RHhZPGUI4MqTmVcfpzqTZPG5+ansWR3p86CYyBn2HVfsWaYGiJhfO71ATqFiwsfD
/dmF9enpo0a47i17LAf3oKUG0/Qa3vh9wvt2ouIY6sohdhikIyrHN1Z1X+MNIhja1U3bwLuwZ+HF
6xbf/QQeieWcY/+mXTZI5NfP8WFijGh3Vla955LwY+4AxsmfjmqM90ab5iMGxqKw64E0eu2xYmpI
XKug5foRrwM8QFG3uIKsKoyWqpMinupBJzSy6aq/qJQtq4tHuxaBHkh/w/ZMTfE70s+PYclEQmjE
k3NGsa4mJ+InSc72uc9DXC0rDi5BTWhG1gaPqFn/2nDbh0e7tA9tP+20oEHEOGa6PTRO8qVQAvVw
2us5OycwzMqWa3ecD1kdllKkMW+Ukxz/koNsMvl++OU5W8KTJ246hlkrwSiqQYLymDAy4YN+j5JP
B4EX167TcSx49sPFjBJnECJ9+PABklYHD+0Fyn/UvVFWgH0CaINdkJHKxDfFQDVETFAelUiniM87
+F3Q+hAUG5r7nBp8lcFojGCB9uEZHOjrIi9njO0UopIezXtMn/QNKD6sUFbOX+IoRvkJXPTr2PZw
WA5fXM0EGj1wi2Bg4FkLeN4VL5nOcVU6nEhqfgBTOMwDESKFTp80RdHkFAQx/KPdjAFaS0Zvh/Ad
yrBZY2AfUCz0FQqcXQsK3Dzg4aofpTWgIq6wBuTNfyDWRCLZF+ySAhEgZvKaNfsSX97d/bOwebGf
QCwOUA4Jp5RzL20r6SBVN43HMWsQy+sNgzDmpwP5IFGvGnp4BlJCediyzEDkVVMoGcQ30dUhI1zl
eBbwuuFiSOqggXbwYVDnxGp6/VoWyj+HIpCXN9waqTPKOeISIU8mJZg3C5sJcWyUI2hX94C9PV7C
i7Y6y+TgGZWaqxdLJV5+0AER+UazGhPH5UrwCnAoBvq7fzOiA6FEV+hxel295Hn1lGc8iFPJltPw
WrIKpzsp3hbxl25+ddUXo1WuL4uldn493uihPYnLCaCy3QvEd0hn8b0TULrczVldrOv3qdSXr9tS
fe+uyYZCZAxUZX58kkMnFzq9uVxo9F4P4XNRmqr5i6a/raW5Wn5UyXm6X3RhdZfY7bTWi7XwRlQF
eoTr4PkZVyzBue7J0jVqyO/sPg6jzt+rVP/pINOXzf8Vm/ndICP9yXf4xHwt1RqDzGNCqcM1xtAQ
lqTtdXY564OMGIqJgkVcatnXGemWn7WQu7R6svWwrYJiS7KLsK2SgZjZZOuBOF7hUJvdxnSY7Arf
WBA8Rce1D8Tgc8YdM57QcendNi925aW+lqbWEjHKk2YYVvypsVOZmfSoRLKDDOdI3TOHHzVScx++
7bZgFy4PQUb5xp7tIB7GhKoxhONpy/c14TlcyuOOWgL2v2wuccRioWfqR9R/bsl+GhbjT8gg9cTD
ccqX2vZFl8D5ChfwPld83kPLp8gi0ia4AZcs97dIGTZjy9eGTz/joQekJSkb8bA6M5nYSZjvy2k5
TafkTOLNLO0Xwc7vfm5arR5f8lqYfqa972P3PhI06stIDo5sL5iRc7ZFGkv24pGNbJmadr0l3oQk
41fngoNB/I9JNS9/rvs47JBFHWui0BIchYFydfEVQj0A4ld4OHgojUqsH5LHAqvVfgEPCePCgs4z
gbe6+wZ3XOGUp9cwHrAFjwxSsFJS6RE2FL6yUBaGQ8TsXpkExvi+GTXEkubg1YgfWrcYvCE3qeRc
VDPFHCIBN5F8bOLvYgmC37JvjeGbosOiJdoRgP0G3AtMPKGNnYkhRjeBygAK9ekbpMuyrM+tE7Ql
N6DXjR4LAoSx2LC9ZD05FRa7XsanOAa3fy8iK2b1l5QBb82o9APN/yngAaqwmUpr6ZxnI04BHf+M
BFtwa/gWwEQwwKCXCW9wHCyzDTjET7Eo5tUYEjYb885gNSGFZfAZVsHrByQE+gIXN7zM4xXkA82/
J46MIstHl+32UmbSvxcKcW92Mc1F78NLQdtzCDgGV0TeHam9GtyC2xiNUcTcQRQP6v5z+iWCpLCp
cDQwxgVNTrQxUA2fR/VYZsbhfaNmHeWLhTz5qk/Qi7LMEIl7c+svUvKLBzpKT868xEQP1rkZ0Xms
81AEJ058L2c5gfyuaKnrY/r7ZoHkpy/dfg6fWAbV3YN9Yd+uCCYl4vWs9pEy8S5b8nHRJO8EPb1S
fTVnRpfSPt+QUderYq4B/ZCTFVx908X8GRQj1EHF4EMpB2fTn2LanQ2ywLngEJee88/AaqOEFYJE
nu2Na/98WPw3A/x4zyRRskisx53WHwn/FcCP3fyv6o0/Pf43gB/aADgeJzp//aqU+80up2uGoWqK
Thn0HwF+IkXwyoH804+HMU77o3yD5H1oAcVA/EE8538ikVb+UQzF7575n/eQq5SaT7VRrUCZgvvk
18AYvpaMKCh5CVdNwa3FJrW3lY+x2Kknpr9EszUGtvHgmLe9jAB9/uVxola+GoiLW3lp/3Yd/dN9
DtPiP3ySeANxB+qUYP85lDO+tkkpvBULIaG1VIP7qqaRiNu3Gzba/Mbx+OPeE5+dSPgsi4YyTpw9
6eyd/Vw7QqnuBAty6T8aA6YdWEyey8TcTftl+0Z5Zn8GZg/p7NU0s6coOIDNRMcfT6cDsNX89LFr
e7t92WAakYpuheXFwknOQZZxiQb1bKQ/AmYlca0fzQx7l/2q0Gc0LjxFLsMPrPHU6fqufc+sGJtq
JKKoXTANYkZbVrqT58F92Z2o5QLgXxz8b+QxG+ngCUnw/mZ2n5dAuxkZ1iyV47qvHKv2RIrGQWXZ
+qrc0nrEIesJGvYAPuZIKKKapHhDOAvje9/GCYNKqgtef7vdiqDpy2R2XWApw1om4PB2XiA5lJ2c
ElAOyQf2+34ASEPg3GmA62uBFXnwBr4UBgaYO8Jnllz7ujjs3itElF4btqfsdNWdaniZeFtE1YMH
/beAwxaavvGMZrqQNrCnna2UYz0vlqyGumjLB/rMbNG0P+NfOWjh6xy7zcHRUT9uVdSvxJKFsKjH
+yZDM/IY16eH5jKcColTfLGTMwVgxhkkAdnc89cmJgluQJQj1McVsOa+v8/GrT4UNw+UaiEzbLNO
QsLqEaX2kLeOCAI6p7U1AhM5dXMuZzKg68pcNu0kblcmeNaLcUIaEkHOeegT9hME1USssH2seb8Z
Ahc7SZREbYz8mFzCHrShTclNWxdSHJb74CNu6Jud0TWgKdI8esrI9XO72jXWZQTLamP8H/NJkt3v
WWPG/fLyPKrfYusjBh7Fq16R2X73mlkJNXfhl5E4sImXo7ss5c144XDt/WBDKpbEvlgsS6bonw2V
2DUs8Cr0PcESkja3ujku+IwMhaO84qlQlWYdX9aQsERhQ5YdeukbX3nQ0aaMv1Hk8ozhPEhr5RGA
M7wit52ZHE76AqXXUNhIX3xL0/erEXvHy4z7dhdkHuNuYh3bHy2IBbBUKqsfUCq0PtNUjcR+fwif
Q4QEwob47Oewh9IhtRbWrzxFetMI2J4gDDDWfA+/W9X7qmd+dP+Uk0n/RZmUARHLP6ePVbG//cqD
a3/0Ua8e6YVI/OGBxZ6nxLc/nhQ1YE56Qk/u0O7TbmmFTyHAJRhllILX/m1DKyV6U6y0hLmn+A0R
CdB6rK1h/K1z5veKhIJajD6qcL1GOU5UG0B5H1tOWLmIeIINWsj6t6GhdhbZErq2Oclkt2p+tWZv
JbYv2AjiKR7FAx4r+jTDbvkhDO6XT9I45xFaIc2CZOcHIVvoc+auuNkfO5lY27BGU9+rGBBo2eZa
XyOk/kwR2c1p+WgpsST9h6LcDMvmUBjqKO/8vm/o7eEb/lWviLYWKiBsdZd1iR5OlWbkccP5uorI
TEOFV0XNvCbhkVzF0SYZvsOODcAaGSMdzI0vfiaIaZJ71IeHrFNE9gzP/TtmhfOhYvNrMBL3hSUE
lry+P1MrRNiH68DRph+ALrN1dsBT33ILZxwDxlUdQlZYxigd3Fcf2BFutBGmnJEaHL7uA2VKb0OI
ysE692IKEyQKNQZhkVSlkKx6EwMLuCcmthLagGMFv8lYFshXJD6JD37vAvkY7Sb9yw4/73F8KUBw
59fB7eCVIEzgBNyht0DTUTyzvNkKIT+BNuFSM2dMU8PyPU5n2rc0pZGlV9225BefehgQwRdKQKtv
dYej7m0q7TiF47UJloDlkvdihZh/o8GNGY6y6MJ2Xc3jYeNh3tNDUZw/SCmv5lnlKwKH8WyY0tYK
MjqnvS6dMZfylL8W5l6k9enUpl93qjo+XiyBS0DMsojtb8Ocbpo39ZHKAmNigZUXYvDgcDjt4ezs
In2DRlu75gi0WcxLAWDCTaHtxodVmQyQwN3GqPCQQHW+jinwUUxM58qZfSqCIGGeQVLEgqgn25Zo
DT8j+qIIAIzA4ikJfE3lfY6xFlehA0RhLYiv42OCAH+Hf2t3kLkHCSxG5MbAjS16Ka7z/fW7INA9
dt7rN2uz7ICmsNp2p+l7/txz7uRDJHSqHglL0Obc++yRVxu1p80oHDl4DSVUHhl5s+r0mSlLOYKh
GVhTF8oIjBbb8pvkm76/xmDMPRmN/Zlp3FeV3c2gQtjxtvq22SIrd7fmSLmPX5ptfClRPtFgKhEF
kZItJSO9s3+60iW2R/lBhCqMiOgJkP24txErC7m870gw+koAitgD5pAREC/qTqR25pqb70rHHhYa
HNIni45ZrNc0l1Gd5QDnBd38Fd4hfn4FdMAaszrRgaZ5gLFuTKHfov66gl51swxJAuEgIN8lBwNX
hv8hW8R7jIx1fnAUurTKXl6gzFtf8tRRb2Fe9rgXpDkoj+ZUEIqEJz4DKlDL50JizZpT9EAVhjR6
wDjrKzrvDyOkFshon4N810DOE44YdXAf1YZ2Gws++koRF8s31Q3JVJyx83p9VRmRwsKcWyb/1se3
SUWy6p69zn/0GSw3ZOict1hsSe5UYZvVALzUsm/X6RXcmfDzwYvsUd2v2mECALCn1itFtgSaLCAp
SWB8guZgH6kg45iKKIT7wLRN2Kg+ppRFGCobHRRQws6a3zfVt/Bm39wyL/HUWEiChIoStOy6K+LM
kna3BU574I9QWTC71pzY6sTmVBYABXKX5N/qbW4Q1BTwTLmt0C7WW7J5wTq2TDu8bHWVs+snoMEp
y5KsDkWWt13tiptiUU97qv02vm7FJU5iKsvy1n1IPibjmF5Ket2dajCxzpyv5VBwb4xca22AjNIz
gsZHVCln4YMzckR9+ZAUlWskrBoUu/W+RZ/28XQuXvr3QGpZwka9fes6pA+Uj5pwNF+7DqtkWNN7
Rp87AlOu0C54cq2QW1BwsRYjiS+XX/GVwHSUJizv7g2fMerfhj3Ca7zX7L4rORISBfGBSYERxh/7
csogfwbaJ4TIVDbSmhmt2aqLJ8EQvK7j7ahgDdjUqywydUdUhhJL7TIOWfSCu0NDHMGgA42FzlPe
TrKMfX5dZExZ3PlT4U+BFFdAj4UJkcBL7YQCAmCTLQC2z0mm9C3cKrsvFbGp6PMenWOoP8gWykhu
PUAGpJaYrEHvnV6ti4v+fph0XDlFeJsxMTmPJRi7hoN6TiM1+jzX6MIrIHBHci2FJhj0mGV4lA+1
Z8FPED+hbsRLiVzRRijgUCn6XpcEOt+PijjGUGJENZc1QxBRxGCfBgW/QMKEEuHnNMdaERDBL2y7
k4W2IbgF8Si/yLvPplyUX2Ccn26uGlPyDCKMaYyLSXTY3PCcxW57RiiSSo7IhANAjxORq6IadGPG
h3zeDq/BXRrdTq8xyfUMhDLFxVPRv8Ku9io/dcjGN3x947rvfp49leCIPo0lTFKH5Q3e5lg6615i
mMImu691/zEMxQnae1YWUib8Xs0HJBsogbhkDqVrSguIk+1lpE66Bs2u+biXCtnlqHmwFB0oGS1n
Ipdjj39Bgbyw+TD7kOSTRtR+YAmXWES50jGWI35tdoSDoXYt/QNSc4w+38g5Qccbm4B0Ci+ZXK4U
k3/cbGFB6ysjM8DVjt2/HivnLOX9xodPlqo6ZutFcrFAF/tcfF6rEr94Dr4vDskzirmtTQo7sOCo
aI22zalk9yY+HKsQI53Oh+PoJ8rZAr1yhPvgSeXlUSdqxWlGePr6+AsMVY5BOheOq0hRhrzbI/Je
c/exqd0CoXlVu6hhWHaO0hThEH4lBrTHQER5pvJeU7ZT7bqLdSH64wDrnq3vbZCJXLy/wxVmfzMq
/z6V85+cfBWgA4LqKMfAq/EH+d1LaN+WJmCuEOe9DeJiXpobCRlDFTFGdpSJ8c8+U6Ax8C8wfQpM
dxb4Hf7CzGYuSZAcjQlcW8dDJFCWnR/WJLEXyEBZ9zfi+hbF83prTKq98UVrgi1dkoNNf08NamRE
8oFxeWYENGLuOed66MSQBnHQ1p+RUjf27bN+0Wm1Jwm/55HGn62+VxZUPzvXYwUNV3pY5A7UvqnF
IFVobKFYgW0PYcCks0/5TKD8jRh5hB/4k/DP6b5AUy4WapRiS1ymwqIM2xnJZFPdpkCSH1l3Hngm
W0VKjHrBfP/cahflIvofTgHi/gMWiSzczvEGpNLsjaNTfUbaDiaYbRD0tVhwd59Z7IflUJ5JX89N
/5o/nfMgrR+YoAHZa0F4Ia3YcofQjzyb4ihgipbyucjhHrLox/CJeX/MhcXB1WfKJNt1kTaH7yix
udaYEwDJDWxc0sCKRiPq+4Yx/b2xd8IWEQe+TjbxBQKoDzrD+efLh6hzREBbaqg4grXsQiXAd4/e
W5adpT+H1LkZrs4dymYl+O9NjNPg57BRToPkLO5NlEuoF5wr0nPj1JFeR3ey9lNfqBK3fvmAvZMA
n1N106fO/UgR+6Sl5DmH6kL8vFN+IB+riJmpvVx/nkR6M00OHgUMja0uE0w1yVkoWBoMV7W4BNGY
2JwBDXRRVCJPXuM0SJmkWCow9n6ceKaiRS6mr7eDOyw+cQ29N8mNkLuBwtnVRAnVLyT4Ye9sVPFP
RmAc5FDnSM8l+hpbHKF7mgOg5s1AevsMdc9dX0LRl8tlE/OcIi0FeMVXQJ7+ADGjI2Tj9yt41nYs
hoTAwM7mKtMXHFlr3zRPJc6pFpAcKabz7GMxZJ9FYB3dsRm+AhYDez1RnP3RhCgnL2eOlfK6aN3j
GtOkY3Fg22w2vHpkDcmErYg0NGRXjmZvaCdl57sGfV0jR3AfOEGrgkbw4KeRHx6WJd2KDdmNQxex
gXvkfhBlu8vJhGYBrIJPhO90aCywEU37c/8mB10zh+rpdQ2fZLaiBnV1L77056jXQHYei14AJ1ME
5X2lgypx65h+OyYUs1ZskSK7AZaEwmMU3zMcsJRGTLg6SVAUVO/rz1rDvSIQcO1Iv9LYlvW6ORUh
IdRoybqpa44ZBiVIdWgJcHWrQQeBXFfhA+T6YAZPtr2zJHGx1ca7lE+02+oM3zgwnxPutPcM0tLJ
Xrw6Iod+1Ekzb3L7uoIx6UblyipCi3NixbQPRe4ztLvGitRI1OjiSEFC5XXFd9xabjKLHdk1t2II
n47reSGQhEDhIAzK7LmnwA6KnsWvwVfDPf4h8Jsu+0FFZgmzAao5uykGlrJ66ZhGBCRbsKyjZqri
s7d/7kFy+i8Hufu8Dpk2JVn9d7VOpKb+A5D7j4//DeRGJa4pBjp2TetR7t+r2HVNU1HO8x3q39K2
/7+KHZBbJFMbnJvqV0n9Y6S2Yap9JhxoPNp49T/qg7WMvzKlsqWrxH6TKEK2t/gnj6L+JH0tjnUr
IEhV62vqsJd4KTipx1BmEGtPf6Memmv+G2/7tusxhzrdQuS9eT0Vx8IYo4AuJCR80NdhX8VLIq44
aPH9OgbsJVrawcb05B7lRNpK84kYWtSSCdGNrGTuK6o+1n1LDUTkYQ+WeXCeps+Z2WTaoW6gGr9r
D+gWRBO5VjM5QDNvn1MW0KgemvfTh1NBVY3xXWlvL6dzJ4ZydpPH7OGle14EZ504MmcGUocYpBIK
s2UagtK8fSUxaCgnbPFH5HDckgmBYOHhnKqcUyszOA0nUYpwVg9vm49fv6cMEs9VOrqSiJD55BPc
tpiPFVtBRlmf76Dh426MSOgXe7a5PqMkW2UVMbRV8J5le630OXSgV0gpEig497rMnlcq40mkhWAL
q/D5RbXorh471/lzLe0fp9sFcf0StNyvJsI1yDob1VbOdoTLgOgC8CVW0fbtIiAtQZlZqBGa7bqv
Y7koVgQ3EFCFhuDF3oQcFJVD61rHYtfs7guRQ/YKm790Ls/tliKEbGusgI4Esq7MY4F0khIR8v/W
96/6q/zC6i2Gh8nBuZLl1xvIDhyWC/fQM4bYGkib+iX0NGnaMt0D+meJVSd3aFNgm2gDBeuYayDi
kTD/2zrD5R2huhqo5vLN2W7URy1cXmhDOaK4UpSiLp2gG2mFPskKpUAYYtl+57b5lWys6WuVzj6D
enaIB/DAptB3ZGIBoBGHEknWefCPzzf+rdwWpowcn4FK9Iu0vZGOAHXd/BzKaYI8maNWEj5njfdx
9Xk3pUuG2bdBJsDnwQ7eOMrLUeWwT6SIuS6FgBzCGKaAC9SxZuU1rLFgvJG5BkocWeQtzXqyEECk
wmlOTI6THxgUvVexuwmzlJmhSkmKWSpgWBrBOLc+tCakHMvMbJGIpzcpqD56oaRP/70H6t0NKhj9
YbHLLwUShI20qRdPnY4RghmUDdEhQ3kIrDOr90YWHs7y4np+m6gypLW4ImHhABqEIl11lMPkKYYt
7Zae0nq54aYXpvTrSZkYHqetFuP8As6mOmuCkyEsIo9nhpPYz7r+jL9SirB4hjgKn3V0azmZ2Xek
uQf7YDpC6zcm+KObVk4bMQQiLhhjZp2WQ53zm0D/i1fxkT59pphS8O7MzgFVWCj+rWGxeP5cf0zM
CbyPtTLq+26HXYp4U3oPkNzgmERtc/elIf4Tk3g0vJYEmSFRgzW+98T0SR/Jy96iv2v0b7GvoPJj
QO7COzD1XcdJGWrXeVyFyibfiN/K/Ekga3Zqr7j9rn1jokNmLIjTfast3uN2jfyRT+Nvsn86rMoZ
dUGgvah50qWFIkMN3hcD7xdYJ87fYlGtP1suO7hwiKWZzLO9rc14AQzV7qvaMwgMK+0CkJjp+dkP
oRUT4gXWSToSD4Gwsz+PkrUijHFRkBAE8kcYz6HddysknjXGUNYmjEE/z1mGvr5CIIXfJEULe5JX
Mfx+YHyZzBV3z0S6z4KVzIR1O+uRGQBtY5qv6ilY5YMIhJ/PisIqWLjiwumk/jg1TfBjFj05tmu4
MnHe4DElw1IfKaJ/p7yV+5SjxYZOXUr33lE3IEu+hAUk5nPClTSg/A5/DJqY6w5Zhv1Vu5shFSop
LBj3bl/f0kdbJEjSTE+7jdpeykeywmEihsq5XSb0dk+QpfNecTbkwLaNTwDBbBqkohDaACITZ05z
wYyKSaWcNV8oWnBcpJi9eQrVgFGJGY8LCRHWEi3Xr05yWUEu+aMmtrFKXcKrvpmMRSdZZEBTPP5z
4nK/OQ1JQRrnQVJyJHgRAQkHyVQhmpbd4Usdf2YF6Wt9TPjNmz+2j8KxRsTIzN8b67seAReG2RdX
xgNBaVHTCUVpN1CarntYky1cvTTH4OZRCJtWp4Vlv7/7+J0q/Ca8Uuw01iqRUx16SN6Nd80Z1S+Z
LvGKY/g8UA7TBECprejnRAi+6MvrM8aJLSWNhTRJeC5jjOFsh2qek1gXcfjDySXMreA9+HhYvUlB
Pcaz3EO79zy+7FFR4R7p+TMsBh9fdV9hz0Gh+fo7gyUglAjweH/3/Bc6ZzWSV6b8LVOoizeNKkWN
nFXbHFEEyL2Qhq/h7EMfu8OM2cz6ZCjUru4hzBBW3EZc5jOKEylZQGQZyqXzzWsRNsK5Z7eaGdyc
vELJMaQTl88PuFkftVMaY6ma2//ituh3Xn7DGKzToJlCLYGu3/OF/pmpLRVxeEf7w5ydPHAohFaY
+y1+CtBEiKAaeyb8EE1a0hjIBmun6Mb1EiCYktzsPde6ORWv/Au8EYpU7jwUK3OYJWy7MFG/EpNh
rbApYPfEjprMsLKTXZm6HUkANxJrSSa0PNkgu4fwAHVIFTwXSENEZhv28Q6vDSkOJDrEBHjnXu7n
/uenr42DqIOLhFUTXRNmeam4LJ8tduFkAhw/YBeZqIwEc1ScdLijZgroqNbtThr/a8BE7e2Ifw58
AyVRTFEi9cJQ+0C47+Pi9oqL//0f6f8k71R/VC1yhltrx5viUl1YdE1qk+76grHsvUDcCYc/pSX7
JCwQFTXcuwB4bA/aXHh6rGvcFMj+yqBLPI2GX1K/yHSJ0t4i77PjMFfF3x/iK78KcOX7ML75d1Tj
XLqN/W9eDCKPv76Y3wZuvf/3372Yl1Dr7+yJ7CG+MHjuxMY1FAcZ8ItTs9983Hio1bbPronG+Oux
fp20CXUXANEv0nWWCewxUgXkt+auWSlrNMfEdBOTg8gKtkzjzCrYHS1DYT+m/Hcfiwyyp4kilGRS
VP6t9ucvvRX0z/7x8b8diwzSERUuReom6K8lqvo37Y9hKrKF7ddA1aL0kpffjkUGPUKKJWJQERUq
b38z9xr/VzdljdgW/ok+DOU/kf5of728ZAoyOLDp/DpdUf50r+jFS2ggCaBE4ErVwPhGEUrAtHh5
ootM6RIkuATGBNMGJrPx3YzMAbbDVRemW5ZY+736XKSIhVnfsfj4Bv08DryabvOXrbH02IzIMc1h
xp68WouUqDUzNAwQ4Clug399r+j9k/3jjf/HF/Mnn3Kl3GnGuOUH5NfVBv4pwveIu6+fsO4utN2o
9mYAY9FjDqGJ+J2RWfPls+wcgtbp8BPe7DFmnw15DkES4JNEqxEwuI84YBAOdVuBfVHMxo7rCC6N
maTWW6r7Ph0WJANP1BH4pY+cf/Dzr18XR95/88J6bdTvFgH13Tw+cpf2L+wKCxdPbsC+VzQsqVM0
bnI0dveZuFGwV6M2v2EBqloXJXNCPAmYGDxoE6mTlNJG0qow28ADo4Tghi/9mz6kZHWu+O8IewSy
wCsnN6bYqQTERXMdDorpO3zx80x9LFI6y6OeI/0ww4SL+0AZmp8GaeOlOVOPiud70MP+Mpuz8gR3
dyun9M0DWCS9xPm0WBs1lwayysOq4BDp6kmgTdk0UKzAUwPmMEda9GbIcwE2p3MSTXOEdFyiYE6i
Th+Tsj68DZKMuh7jdMtd3Y0jxLI9lWkGZso5KuPEMkUWg+BXRoK7rrfp8LrRD1HacshutmVUhgmp
kUuBeUng/ynYijlf4PhEJPym9fgRpUPVZYYGba1UplGMX36msUUzEpLLy6XLrHrTTDvPBxzCkCk3
Zw40mXMYwA4hyEX631ATqkvkbaAbujN0FfX6ueJJ+I9okXBex2hyEgeVb40f2VyR5uYUZb/7/Loz
MHRk8qB0HyhEv2CrupOJmDstHw128jy8DQREHipAvWeGpEYwZr2c7kmiNJdmjLs86IZiOpLUJ5cs
Fgfs4sJXXEb3I8SPj2T1IzHDKWvxPci/iPDxlAMX+QPfKIcRjdSz/lGHnioj8dLT2OMp3CuDEpnY
gWp2fXsPWzMg7BAPNWIzpU5cGpjv9I7AIZLghyM1dRqLGuGBcZjxY5BIyddIvQeYylET3rcU3fYa
J4xDR3BIZVUcSCJxq9kDiDTEYRpxoCxva0k+98WX0lpxAOi5g60lFRq66kFebfCRid+PzyUfAx5C
HC7v5/vYWLWBtTSm701DNOJLtjPsTA0ep0exTMibuZG9iT+RnsJJNaCU/isPXupSl9fPtZhGaXLi
9/rmmLzE20QNwCZht7bK7OWkzrpPHfz1ozi///ykARFy/t83zH8qclTkv67Gf9hGDFb939/n9zJ7
VEkMPY5q5o01bFFs6CRomAifrqqvFPw4LLWkGJQrYq94enPNQP8XG56UBuUrksj1610pwtPPb8d0
ZQaln4V9e9VjZQlhH/9OOwywO17vJCPNp7c4U0pLQxbBDYMEY3K+gmlzP1OA++t9VjzHChWIK+6F
50q9SKN6qvGBfsLuNVAPl1LykjGts4uEmh3/PkAA+qMZeB684j69YjdE1rWHmGdyqTY5ZTlXPCoS
YQ4yJ8lKWLQqJWL4hOCjJpgozTlp+b6eLh8n4QckIXhMRZJZ+nf+uUYP8RLs9/CDMUpi8fq+rjjC
ExVJFLYylzPnScs2RzdGVbjK0yt1uSJBIAo6GfvyJbeidhxc/2J4H2ps9dFBntRY9ZNmkR3Nh33n
25unG0+es7gdNIt2ki3kjcEzx55zdVANIh/AU30DZ8eQwHHSflAWcKWDqei5heGrGek3YqSsYxlJ
0PxakA06T0emcR/ehxESQ1RkVC55Cen9Au72hlbMnlzoTcCam/vd9F4G0nusiRswKVgPVun8YwMM
NVMSwy+t1QNc2Tc55hwqKvR6B6ej9wT7kR4VxCXyh0UX8Rls3CNsCP+Ee+dwiy0ypgrFpnsZR61E
fDF1mPL8sUmrQCu8Eohtk+5YR3QChMh2GOtb41y/XPpvWZTJWRV37feDEyZwEyI+YZdAJhFqSqkU
gyewFngIGIlBzpZ7FZ0GYxmVQ0SaPokGjQQXuAlHJDAetxYmkNdP3isyEDpUy2qCHf/79S0vjME9
Mln+Tc98WwTDe9leYhHN3eTqsRK9DxGKCYiZ+/CNroePAoJXckhH1Wo6nyeP7b/edGXxHwmOfzfT
WX+6Geu39vq8Pu9DcB/1MSFPwkalQC9PNMnnZIjBjXQnE+kb6n5C0oZ57WPReDAzcbBHcQVgQQ5D
iDO3OFHpw9ZtoouQgBxMk6ZZx/rBdfllLPXg419/4uGD4AgQmFuTOgZ7RrGmJnxi5n5yEQMI8SZB
4QlH8kQyOOxmuFJG5lyY3n9I9mLPihsCId51WIxpyuBerC7QMvRfDDLp5ctv3XmZHpDe4ciXabd1
hG/C0ZY820TcXQXqongfeWCxefBZfpvelW6Pjl0VwtXodmrqiZOsRYHBx0e8V/uF9Z4fnGu5k6IC
GRXwalx0ZIsgxb6S9w4H37nS/qC7/W+z3vR44fR99T4GaYgQF9iJN1T9oqbiVXy9ErqQ2gMNiL70
w/LP0HKfQVdO5HWGL+bOxFB++gw+eQnKqxFS/zqrGf28LRGnADhq6akPkWhjYormL6jNuUVRWgiz
ZrkNEUm0iQTS/M0UB3WO30+9ehXNiBhiSoqMtmlG7NUie6wMImYaKD9AQ5QosRsO+wBSSKMM/01N
NTV1f3YpDw9GX64R/5tL7ldU458G2H79Jw2dyh4RO8Cf5rx71ZR1K9245AaFZwBZpWQWBw9CG1h8
Bk2PWhwxFdVLRMk9ZOcZp0ZE7aX3Nuq0/rjULzo6uP1zFX9419G9o5Mib9bP7oTshajX0D49Tjx5
XnMcj15rWA3mrUCqHNnp83mSqBofrmcs2/+PuzNbUlzL0vS71D3dmgezrrpAMyDm+QZzx3ExCYRm
8fT1bT/ZfSIjj2V23pZZWIQHziCE2Hutf/3Dkwg7Vp/TuRoeOujpqe7CJUStlJEGc8pyr4sPN7dj
FpkwNAczkzD5tvEkr5BpCSr0i6KyCJ4z/KUbcszXZz3GXIWdA9CXjzVvfCvzDxhH8ByoF00CZGy/
SiLEzxA57xO1IvYZYXXJ24XHRc20UE7t0mJeobhm6uj4H8JwJe8A5zXeAsPhwn8apOsJ/qKqQIRA
Z0U3ox+R9Asl3FQYCl+ZgIwniofTNGD69D1OL/srZcvVqbFx1ICKe/2TSahc/zbKvu/2uNkCA5QA
yt8wt/i6q81XCaKXudXlq6UwyPN+ZPTCuz6xLX9+pRLEVAX1ONVOriFf1RxoPlinXGGS42QUn32S
2SErQAVvjr39s/OJXoMExI1YTc9eJz5bCP3VqZcN5M/3sNxcP2FtSkymHVZNBd67HpTodDOv3hwA
cnvOFS+xtq9jXokTEgYOLIxn4gGvtF+7q1us2OKnMkUBNdFcQ+xbzdljIHELfx7kaUgL+D5O2n75
KQLPsE3ScCNAl2TPEDby72tEXtyyxlP44qiMZQiZMIMXzDR9AH8veHvaDx/rICa4/VT1tCw06rGR
xhoEvg6YU2g75Rtsh+NFYZi8MS6+3SxtedimKBVVnYwJLHMvapQzgMkQEDOqfeXBO6Ew4a0gnO7d
1ge2KAk/27s5lWz/yZy3185uCMwrcSN+zFg2AHyqvfX71V+8unPf4uO638cXFHT6+JCoTkfUH8Jd
i3E6M6b6VDVTJkkSVEIGS+eT1hum6PCBajXKq9cNonjU8//5zqKaf1nm2SYpwmTZIuwR7d4v7Zx5
PUvN4cwkUuLbiPfnjHK1rEHQYCQeM0gmkC2JIgTY0fOotFeUOLfspOeJY99G6uXjqe3uXCAqvlX4
+KR9zERrRnXqe62C/XIq3LPcl1bXIz+nK2OKHzQdWtUXw7Hr932N2/RtSsxNVI9tDcxqoicOhTEy
//N4QxZhbETwBEf4PRrEyjsRthdOCkFsapLEjhtLjekTMYSdx4ABAwawZ9xy1mw9BAESr0Ljo0Fg
DM58J52KVJd35t4oQikInlM8gmb5qdlUIXVovtUCAwEcCVs+HGivUMzw+fkcqkvMM0g7WkNAM7fo
VNN5b3ufvjFveM3S2QGnDOlT0xhI3Ghy2WK54Kb6Eco34mPHpM8RxVREJjirpItkv+v3khjikH8g
TL2Oz8UesuCF6PKHdzC+MA29nAM9XfQ61p3+K2qdKZVrWGLFfxsz9zBw5mH3uWWrVo3ssRFdLmsh
moEtqP8kyjPG84oI4JOW7D6QPu1In6bdvC3dyyNijoaVequ59ZVAKVd7BfoV/nnUlP3vAU4IjrGF
l9K443t/FBzn8xPC+88aYPGz/lQhatClDS8chLrRteCOlYiDnyLsz4J8qde2OR4mHSPpUUaKGcbj
dVxCx0kmaGien3ApKtxzMq8zmSz5DfU61kYH1zKF1QvehXBH+iWGYFhX9MVbThCd0ho3DjYOOeMi
GvUeWVvueYNOev3j2RMqbg1jRqTCN0P4omC77e7yqeIgymhmZ8yv+FAz96Q1wwe4/0Efj7yR9UIP
Nidytvzsk6E38Y53dEKM1ymktb63Og8hczEygNjTD7++QBD4NBcY7w8eRLWh8/YTn3+5SG9T/Tv5
KvjCRM8pRXX/NXlNboszm75QDpEDNnxuzNE//9bKiuBG/MPubJmqClvBNrDrE7//5Wt7UIq0dz2A
K1PGFsOUyhXNWaPNysLV6hFWl/djTem7kuzR9eVKiPC5RGDXGh6JIQiyX0qsw9jepqAZs95G8hqI
9qkjWcM0c8jfeODBTz11cQ3V7+qRtRbOcHCLHiQDCd3HRB8xMshCIAfMaQgE4d+qz8Ckxh+/Gt4Y
r56Zmern0aXEjY4ihRSQFN4MK53s2sVS2Ghh6MsMuoBI1n/CQ8bB/OaELfIgULpjoTAuwKjSux2h
sQaS4hmfyWGHMdRYi992v+0NnkzLqCl5JUffMp8uhD/OLfRJJGXUmcIAvY1NitNuVvvs9OBsURPc
hioWFRdPiAY0txxkIU1idAgtDKi0aZ55eAfRxlzzhVThmHAI06s3p1ATZQHFgcVAtFxcUOEsqlMR
n9Gbk3CRnIyohJ9H54eaAb5jKTxk+zijLN4U4myH3eiBXgFeBRQ+vPMxjELI5G/T/nNfxC+qlhOo
5hu7PTXsEYMwee0BOougYV3uAvIM5ldnJvzp7zFUNTYIdiGiq3ymIkE1hRl8BSqbwRZIYGT4VR5k
7FaPJq6MuOICuHMKgHpO530V6m7mCn6YMgDCCCxnu09YWLMl8hE9bJoI6SHkyTt4K7s1avjHxN4I
EzEFRQaOMEE+uoyp3JPNWWOM/X3pucZ7ZG2qIYxOmjqyBFHRM+34yKwo17+smSLs36kJZ9eHq1sI
yScQoc4woekK1u3P/IVK974ydxr+I/LCYIKNtlqfWzX7f+Gz5eCsw2Cd8TflFEgv3qDn0KTcmRRN
eLNwcIqJGU2JhqA4VcyobIh2YfL4WrVMGIQwAw2Egtm29X2NGNYRJ7aW3euR8uR10qYMAY0vLPAw
36fNfIdELy6wi1Nw48Knv8XqV3SxA6ujWnON0RvuabHPpJNtoYBsw2dQChXklX5YqMwhD2K1QqWx
LqaMRyKiWF3GymLKfl6Ao8UQJ5jd4dexejSBZjvsHaxzFXiDKWSu5vCFcICJHfMyqltcUdBZRwhL
okMMb+NN+NftsXkBY257k9swh/1frC639dX2WSsp5iJsJfYMPb1SDiRUBLlESD36qOi6FkjAHW/E
3gDws0S3Fdenpx6huYcXgcVJcGmGFqvfrqL1YLFm0E0/sjYgwOuRrk+e+ILVvlz53WUtZApaWGSj
9OberVnN/o6147HuOIwMb0sy0d168hqAYNPx4Q7UDu+fcuM21uqggqOIsZbWTxCMZ7QCcD+xNVha
lSsDDhTEPDDeBMHEy8kHrRVMiQxOfUjSnmvQkxgk34Utp/KSeahw4sNM6LfgXYzyxUS4Fw6sXa9e
d7J/QhXZ3zKpSuYP/ATwbrzhF5MQ7Cx76rIZJOPz9DF9j65HHSBxmKOMQespKE280pls2iDntLIr
SuRpa0jB6q3FQIFrCJpCfDtdi+H5Hqer9wjiErU+lWr4nKjTxl60V4u1jzXpjNJONO4YB564bqvT
dfJEQoVJwXVv3N9X94DaBqDzDlaMOWeETgaFkClsK/IlmZIqCUbJt3lbJiHEWPhdG1SWt89m1n0X
UvweNZxK3iVSogVCPBOmphbL24LMxujhNidG3aj1ct/+skMZe+2n5WBPYAWXkGtL5rt9iAtP4tOb
arHdv1uRIGC5BD2Ft73kGahnusBs+t/yovTVY2W6NXfHwee5xyoKOmjuQ8jKjoXlyFZwYOCLa9h1
REZmfOac9Rb3km3DcICtL/tscX5smWpfTrXDqb5G3kcPZ0+/ip6R7aR49tB6YJCjz+QOH3HPHLym
BVU3qDRMjsGT5QWD64xy55B4NrJk/IzlVT0nWcnLPCgd+KNiAH7K6lWg+ZZPF/ogLkTyjRE0llSY
JX5TSnIhqlSdGC5Th2J23LkVdnz4FyQe6+91YkR1tt7xzfuoA/vpDAA0vYztyz1PcL4apjNR+xT+
Qw5YbHIxTcZ9uop6gYzIwiBmQ5jgP84IbriM7pE0O/f8+tghLqgdZV1P2Qng1IVGANxFdwgFAwf6
r2rz+sT/fAJuxhIGvLc21piTsDliqRLSN265p9BzPWIJy4yNPtXGyqz4fmOYPy7G1R5qlnmdNHHN
cwJMLqrP8rB+AEhD5ZIxZELQSInDIrekTZYqWGNeDk3KkXKMYMGSzkub3D9saSdgSr05gIUF8f22
yDxrkVOGtev6kyKQJrqZigXF2OYf6U7K3JZRmhG/yHj2AHBpoqwFvR8FXg/Dw75Bv7hWYzJhptRK
+hrrj1UOkcuYZivhTx0aJO5g5XOQti2sfWvZWwGukH1D/7rWP3IyrkA98AKaNCPgPbpAWghBS7/d
h6AAt/3txKw5UPcXQQGfqx8pySeP2Lx5gw96RKpJOE3QV9y0FFFRwqGNORvSDXYGzDM2EoQhAocA
VBbYwVSzCzzlTLAM3wt90kMP5LY5Cg3/QFOD5adVrBVqVNraQbYBMvavUJ1onEFFQfXNOIneswSh
nsKMqNjVbK9MHkuX1YpXafFm6StAHeNnHWFOzHf74jGWaDMX97mqhhRz8Sv4dye9AAX9ep0H5NoW
7fJ1qs2BCupT5C30RgzJUfq2M+5CgGzWjRS2lIBkB4088oMPxwZt+t2TFi/Q0q3iK1xObjO5vnya
UbI2cSIygXoHhGRBDllYtq+Et6fcP0AKzRnDF0H5DgQm1fg21nXpgN+p5MNZUFaWMnaWTyyQxfWB
CeS80ibv56gR9lnV6LVtZwnWANd6+gzgVPl40Fgjzd1c+fyVEaRCn/Y4Yz54ZgooLmQtxNgxI+dz
3GgrDf53R/Lby/vAY9ytOdded8R+AGyXAqNfeqXXbJqwGaLGDKthEZrTO0UAWJgxqOtYnkoDRRmU
ddxrlq/M1Z6h8LM8X/ASxmgQm1f3lW/qovJeN2zem/CKb6ehhRVoX96QakpRnyyMEjlA933fU5Bi
0/K8+pLNeMmXZII7WpzKoD+kKrAP+/F9mMA36bFE9t6DRzq9akMbEQaVrO1l0kA616hPYmRYFWnk
WNgfpFF22JLG2qKKhUaWT650qcmdCjqfkL/7YDkp55Y0uj43KLfeqSDWkEOblyuc3mXYlUDwAryH
gpoAekwB6MGuYEKao8u3Mf5pN/733w2Dih9X7uMTf9BLci5/++9/LZ8pf/6PeMz/u89//f1/ecjf
nlIEev/df7xHeSm7WXXKuzlw3b38vxbg4p7/v7/8WzzNsstO//kf2bMoP3Ba+zr9IyccLEOTIXfr
kmajT/rnxinc4ffYm98e/yd5ghBxQxOQqGT/ECR+4U7AWaAPM+FrGApI6S/UCWgWJJBjja6QPwm6
Ujyr8vyf/6GY/8sEbTEs7Fbgh2u28u9wJ/Bi+YuGkAmBLCmGQleo/ua9dXnc70Uvux2CGxjGPhtd
76MLvXsx0y5bYq7rJYrQwXtHUBLNbgXtyalxO4QRd3ztAMzu8xfWVoRSKahN7qEtNmuH/hyOdOmW
W74ntf0pWW4p+TKoK0ELlOGtEFoXpk3JKo8S28mL6JDE/N8Q5tndpuyW1ctDPqI0OHeCY39YT2hj
+f6M6I2S//V5+EhY5nFzAjuiLYdOh3MS/uRpTIcExkzpc5vbRmiS5nWBvTe/60xwwkY6Gp8vNhfw
ny0sqI/LBckU3pnyEPutXc0g+HYb3nBqlDye8JpiWg5pOmg/L95E4K4T/A+Dtj/dTFuoav3sE24F
BDq8Aue9jMwgzNca91lObrX3Nn0bZXs3tsqAcuMG4rC+htX0McNwicX4HL93aJZz8Socho72W3UO
SLAr574F6gCovzbEMXjPLOx1gwwPYci46PeQh28lQnKTQWqNHhdfIWWZofXBgRRYHJUjcwQ8f7uR
NiIV7DLhc0PxsrVVD9MZpGbP0XnGEeGC54GYADOWYws3AdHmu+XBrQ9IIbEPlVa4mYFj8EnHGjDG
5v5t71+jIkLEeRhSl173+XPeVOPuHktQPtnLBkZIOyAGQ2sbLJ0QxmZpJIPkti4U/80plKCwLtUZ
O/mtJDA5zqmxzisbpWwBPXbCamcFaaiGZrGgy03Gb7wLpHF6cG/v+aMdNJgmWo99Nk6jdHvg/l0f
JoEQOt0T5LT5gME+fSoNwcaWNySE7VAIsKIztRu+lvX48MlUZKCQFBb8KzNeVZCZ/gFY+XMB0H8H
ViStS/TLk+9RS0l2drUBGAPYCBWAGd6GCsYdXP4os/CIwSn06iV7fWSyCwyzKB+l33eR0+HoX8ac
gMKakf8blgZcdvLsj6VbvBxTEcAAnwi4gAEjuRhmxsD6uqCkN8dprLpldPtIGbO1Y8ujHpc9hnOf
EBqrbxJea7f6wBTdMYjixigasx7maFwMaFjT/v31ySxW2qUz25ePZQtqO/vhfyBdqMZiVgPrdgG8
AYx2bScyHClExQHudMt7lNG2yBuQyh9DOMHevYURpIoeDSkChQ8dQSFxOQE1UIwCymSUwiUPVMe0
OqEDE1HODHTWT6rfb0Jhd4rzidKZxB3z877AAx7DhfeQoJypUDEC6jJjYEisoisXEehzHfj03E4q
UzjBWHcHjq1OsGXhpZS2jE1mNopQ2fkQESCCSCpCFRlsMtFGfv2QJkrdb5gtt87j7kEbqsAqgCXJ
p+/tziehJpCgfjgWpSmO9yjW0c/CmwL7q4XvzgXAGeczaPF8kVUjUp6eMr7HefzCQNUMmHK35UoW
Sps1i6S1pbNfaZveTt3Zoxv+nchemZ6u7kKAh23KOcxQvvTU7SFZFTtY46AR6fK2Q2byAuh4bpQ5
7Ez1sYSf+jAIcdXdHoP425GhXl/tnLReZOQ/4uR6fEX5XKSsKJhGvDBzSM9Ol49Y5O12ip32YyUB
8z488PuJVsZoRuk7+zmcAJg1w/bWP4BBT81lDQ7eMhlxZSpu5O12NsfeEnXcbdJRjn30gvEiQUxh
ITG8Ujc5qNcvOH2Dzfb+4GL+XTXxq4hYNsRe9PfcOEaLpqSQC2Ir7Jm/7VXqQe5lWD0cgvcC/G9w
HWF8TW/y4BtUjmjGlwakKgN2KDLR8idjjbEVo6yXg6sprvhcQ4iKtCS0osMoG0qRPIaJf4ntOQoS
aBTMdqZnEfXjdCvQhxV+xMLIdERUrcuwaJBM8br2gXvDG2p4Uorw/gXsOgNwSVjBYC0A5IQyYq9g
BXl331IfFIVWCPp1BcrdtqL6z95fdHcymZi1xxMAhq6VctBAH2mHstfGBF5VUwY4uC3wRa5YZ6Ea
K5+vYoMlX6ivSehUm1X7YQgCYgbZLUbcCDmuV+AC3s0oJ/1zDCyPbiDniJsR0MKr70iyg2hodNhn
Z3cLS0SQVMhiRME6xVVEdm7lkARHtxrS1jrt9Fy6v1RI03+UgJt/SUX45cP7TbqWNZaZmXVyEGBf
yzQOXKTBPNqzUasn0OrDcrJUPyH+X0BYccGUPV35SO11KYyVoKPve50jbdPCY8N9Nn0sbuLEO1Ns
7AsQjJZsBWwomVC2QD8iYIQAhxAwzoQMPn/A2blzoi2xNhh0qELZm8BCAF2kXeVdH8bdIzR7QXoY
1qZnp/MKhwE+IA0RRAb3hW1Yhhjm/fOTIv/1tvHnWfk5a7/g8Y/8lkmPmksadBERBIaX8E68h4AS
2g2kFrxt1+hL7ph8HGJSkoPnmDrk54pOgTOEh9XBF284AP1wceFwxeUuXLeT/vzElIVg6FvQEyLn
4WVQwFKSYrJSxpYcWvpSJwODtRweTBJZ/SRD9rW2QtoPZAhZKLpQKEFD20uwsOg/UdDoeJO2kKis
QTrPgEN15HopL3LrkUFg+AX5IoRjRcmo2c0xl0uVH0Pq5OxdrE9SCK7DNrlAMH1lN+eV0ozDh4IY
Al3G+ecnFuLvX64VKlW0ZlBca7+tFYqSF9ZTsshEoz6Dwqv6vSGOHPjZQI419imMcuzYnssDq1sX
Ej3H0pgdc9/g+rnsb5/P1NXuRNd5V0wqIW108Ru//Kxetli/wd9EGBeA8sWH57hnE2Iju6jEetac
PaL9OkP5tMPyFeJw3wQtInfEBU+4YA2jT7dnUZG41gcD7YoBSDdmmt/Mxb2sE6Mrr13gE46j8WWo
4aIDcUt34LQhjzwg6PwJEwba2cnLegrgy93xkADs0UeZihes9WHW4hGMVMAZuQmBPa4mU56nkHB8
8ru9EKl0Y+7Gbe8IJhhOKHTlYtyC3JJogHyX1UOewyr9OvfK3uxczapZPdVHPM+ymd+P0FYcFSN3
YUR/rWY4a3T46dFBeO8IlcVh/RrUBLODCMD/gK7FfLwfHPyDj+CejGtytufFDg81H/n1EYtoflZR
5kwfITwXNvY//saWBp8f33QITT5ijBDBA13DEhURyuIP3jBzil483Qx04li6cSOvhuWPMXqE/AcX
Nu0COCdeUSeZWQB12MscoWh9tHMTG/laaGO0ZE0BRFQcSh4La+h5bw0daMdFrSwfobznCbGXe4TG
wUcwRJ3BKxZQkpa8ePfFQwufB0vRGz8twmrXLL65k/T6pB3yRjgi7n/vnLuJqJDj5IkuBHAGL3f0
HsB1AShbNxipwnTAEkuInLByR2+jRDgtIQXSvd5ac3ktnozjAMAEpMGkTVlyXnn2gy9s4yTJf4/v
Qykd9U7vMe+S30AJEYZ9lxkMgXffaqccFJVTg8lr2ExJrQaRww7mTo/Ewen4rbSEKzR+dfVvFkSv
0+O9BOR5tKGKqzaFGFp0XCpFifCc3qaCVPteFdMXvPSvWkIkRpFKdtsfQrFru+wlocRGR8W6SY4/
EW8yJTHXZ+K/vgBcVrhXkZMO2QaDW13EyV8wJGaW3r8c0fdY5rdeUTulX9DwcFngx/73wcNEjSrl
TjzqeSXW6Fnz2cMqgKAQF2+H5svunSSspJi/fL736e5GoA90RQoyrg7B4z97K6KPA/w/4WqmjB/h
HGZwGYH+AvSf54oVA08fKGCT5/i8Fbg7xm1CklYRpUWEVFsS6+mr2SDxlszlpAHzgcJ7jLj0ev4b
vjgMEFe+j8xqkFGmsKgPSuDxOw2d84JZ/O3aW6BLB6SX0U1dTPO7ixMym5fm5VH+WJ17EcUkpsSf
6M6gl1mocgK4krOXTBGr2aGlnd1VWg/rVQ7Dpq+ip15iHXbfsq5laeFYA5/oJVB4mDp0gP3sSgYi
UY+wgeAMie95Oia8kbdO8MMnkmhLjUCBqKPhBwVq3WdyY2A11wwlVmoh5guMjZ5MCL7eJC+XqwFo
vd1fMTl3a0xb3nTjH7ddD/jz5lOYMnGBV9RITre5LGRMnxwljrc0eLX2RZmkfRhwHgz8IRbyWFbL
fmQ+wwt+DYzy6ZOoCtJxtZZx80Lty7o8ek8LcZT6brGAkTW1jaFBGNqILMIY22UZv652pt8gNd6o
1yDB7+RJ7mbl1rSi+gvmoMlcWss+7BtcjtgEj4S8QB3yVmC8IqFgLNMFD90FN5TuOFOh3mTrpca8
dT59vZCFfpflJ6LYer4qFhRkLbNw/Zr7JVGcDDkOgnFdqUtdJhkyG8v26skoJNc9leEVTkGkjg6J
t0HsCRtk7a4PkAoEawIPQnZujyBeOIR4ErWBKXPdvvVxdZlfmZ26fKP22UqtvaQ5aYCQLd9pmZoT
o0EUpwfTLQ6LpEBvmp4MaodEAL1Oc123wxdN4ZlpORb48BC5O85DuluF17goHP06VrRJjwne1SvQ
6+/IxfY4D/YEHgrCmdegXDBpQpyJ0PHhHNCJwNSTvaSDNmOjhChHtD/K99svvDP0In3KNXrABwDg
Al6MNYZ7bdJgTisWPTY7igxPG79Ck1dUyE4yyPZQq09b3ZG0xUCXHEcRF7Syxq40V/Yvj5G/fYSm
+Zpj8q8DkGfLy/g66o2QeDYkn4pRWiReZKdsbOxvGLmY6FPh7LDQpSOWYuCByqfmw3Hni94vlj6t
8a3EJ06sdlsUglgfAKlS9ILg87iPhBdBjMIIEculdHRhy0jithge2kBCsX0Z19dZnfSlyWskwcM8
oFaIF0qIb7A2t/D5xj6cmSMfAnRwbZLDWouNwxBeb+/hJySk/yGp+R8NryqWiOuGgPJLOSew3L9h
qeOPFIxWpWqjXPsrePWXx/8Kr1qqgR0Idh0CQ/0VXYWDqtuSbhpI16C6/AmvWhI3iNhJAskx+/g7
eNWU4K+SNA6IAzD678CroLJ/VYaCK/9x4MDA/P6X+l7Ns2fZaMBCzYzpLilVuZfA6LKnNNbNrCSR
xEDRKiwluhrFAnINXM56CATeks9w+sT8lAEl7hyrBnbWoAtyH9c0fEoxLn169y3jN8eclL4cganI
kXj8AGilC/jrZ0PAKpa9bbR9eTypjtgrLAbUw3ik6XCaJQHU8myyKg5LLiEs3bfi8RIvhoKWFBDy
nE68mLGSMDDEWDZxcR41SDgMORC0tNnRDo0VAltpbw/4Xi1u1wHVNg/moQhta9y4MVJEmrt4HAUF
iDeqImsRiuBiIChSSNmpv3lVSLwxz8gh8R/xWw6el+TV3wstnXIjf4yVAEiBOjF9Tb7xcXU78ICL
LX7NO/njbzvk5ILe7KV97iffGB4E4uf3Qrwi2je0wl0wVMWZFSdglIZEjVAWExaCVQVq2dFrjOyX
3w5Bk4F8Iyp26mmKZApdyl2KXuri9ktU7dmO9tLRcAi1Tt1YH2nkREbssdT/kJZZFteU7mt5ScX+
lXqi7ie9O0pxaRDP18wv+Vy5zKi3L51jkTwYUJpTqysIh5YU7Pcjr8QdeMn2K0PR/46sj/ZLPJ8+
IoJsTp6WKznQuQOMP4/dQPyLcfhPPy90GU88jzlvGEdSVoYWk8gTGiuYSSJv802GZQczWY8pPSlt
BZWI2x1IzxxC4lCVz9PH+kJ8N8HMXcgP1seZzAje2GsgugAoS/KS9+8REwT9XRcHSvdzwy4Fh6SI
I38TqF1PaTtr4OV+NT+suzGNDP06pzzfYfnhikaWA/gp3d9j8l86/CCVpahu0YJZ4uDuLXCzRx2L
y/PFCLuvWyQftvo94DJj92R0ifCMOrw2Hd6HoGhR/ksRvs0NaZiEmiIn2T2dKaidcwGZyzPU7vKe
lK730ECxbl3cHDw0ON6F9eGcUr3Y8VIt2wL/YDrdTNl76Sco/Tkuyv5UTLPtD37i/1jMQqeHj0NW
HTg354WC2iCEOrzAxBxw2vkNHtD8kuN6QTs9jxt1iv1AIa1f6F9sVy3EE/AiHFr31cCBLKatwjuo
CSR974wR8eLSFyp9/LF5i9iQqa7obyScLF2VazjAYJpXebj0H9P7kH6hNVyV1jw9u+aOmQTV6wno
t3MPMEQtciIwtiPuRXzwNAW0GJKOD0sC8wh3D8zuhE6Io217rEBt6VxwtYWNuqWzSsMuYrLYLJ6+
pYUK3w0DVtOOYTGDdAzXmtG5nd/MjzZuQmmOsWqgnyrFgX52mzwCyvCoO7Lvot80UTj16SwY35b3
4Gq4kJnfNy81gqwN9ZOKzQdTeZNMRdIlLcRKoXwSZnyfNa7qA3oF1RhXXNSWJwvt1DnMSeWoIuto
D7qlDoBDDo4eZCtrfptgCv0BAym6xslPFCDwctUHmnB4rubgZm3/tSiZ+WMuwgqEfwE/Y2hDSGuv
ny66Twh0yaQ3BaMLmyVUKAoNQoHqoAcnURocCHutwg613pmRkKaRlS2YdlhNktYKyKF8VjcH+yWN
4lLh2+igjGISzgTWXnYzUOR8e/Ya6htKPIIF4YV9UwZJH/IWfeu+JvoHBhhJosj4L5GNezfGE2sd
a/fDiEl7rbsS6W58LzL3rm9kKaNKnVv3Wa0glyXWYHJmURULPxrhysGgHMODwc9G/T+2JrFQpyuo
2nXFUv9lTQJi+XtN8tvjf6lJTA1NusJkFfn7b1WJJGmSrEqGrCs/8pk/qxLAbVEfoYvXgLeBtP4c
+hq6pFDKyIx8NVU1/p2qRBbP9A9A+i+Hrv2GxVrvrH7IlYyngk1qFvhIhakX3Z8EGe4y1rdNEj8L
2lUthy0Hvasd4nwItn3d4abspLN0ZdGw0iMxriBK4Hl6b24nc2wtla/X8SVkdlqzAKdVcNJ5OSr7
6VqeGYuyw3YFRBaeOPNLbFdpCzEE7WZaXDJh7j45FHmVMMkCRofVwWDhu1zZ3/A3UCfaBMeSH8BC
AgxyDiDLMlVjMXtszhuBDgOwoS0CWOY5JGyFRgrBxCRAh+0FAx6HERTNihyq9OfQ1VvvTXSkifoy
YNXX89ETvupz3Uu/D6T5FKP0FYkEoPjIlAiQjX4VNXEvFoubsu0NyiDb45jKNz1GO8+eROXP/rix
Ry/4JedZgZcfZuzUaLTvtmigRDAqbsS0xteZ4MQlYBm07sgGdvhWgFE4lrNOgI7+lSRXlvW//Lw1
hRB2WcIcQhOmA79UoZe7dj1X5ze+M8Lr5EfR3tHdd8wFYcbjIkAMktJ3Zf8yVuFH+ZSRGCc9MKs9
7/aPXZFiFtBS3VWRjoocdg56DewSc69+dNDV11ekgHxkI2oCtRbQY4dvqCMPmim+lS4LOERvZNRT
6wQL97BuF/A4r0cY45lvoOoEWBKe1sYpR/jLCokPZQDeOCG5IdRW7ZcoE2pItkxmEDfz9LDFgP9A
Cp1qbBj9xw6jR+b48Ei5XYS5U/SB+VJmAJlyfwoRShOzBBTyM5jMI+zXWq8udsCyoja7H9nnqEgo
UPSLB6EJhxXKG2bQZIsgRYRq80cZV0976aqZA9hS9UhqQKmT7xjviiqJWwxtYL/Bf2WqkKmuj6gV
L0rIY99GJIDhSPOojLj3IcFmc2hWULriZi4qTtBUw2vmmdrnHj9nkiMh4it32oUAdyWqJdxJKSWB
N0b8eL5zQqnJ3lGrehRm/P/N878hboojadGbj7vxTwFaTyFCjX/eJFUZFRww8QlcGAxaxoqTWhN3
WKEpewJFiXPCEfMc/E0B+sWHe9/SphDG8PKpxS2oXTFF/OPYG27jWAIrVchuqnjSdTN+zuUR9LQd
RdHB5zNjhInjcF8lXzsP88rH49nC0qefbkHGGYETx9bnaujGaSjg5OzlGh8A1h3R1fpIXtoE1HEU
3d76EIAyV2C+O6w5g2nIh5rv3pFBFBYMZC4GLkqK5T9+4oNLTD4UTqLwTsKEqAEsFrgvllIYGD3C
QhRx4obzRt5Tbj7CYCoKvItDLUlByY9TzQUJnuve8Q88mlv503AzS6buUB9Sb4GiCjC22AHCsrUD
7IpbHtwu6jLoEhEP7r66L2XJWsXNnA2eRdzSW4ugkWInYkY0MGs1FvA4KWPjv+WVGCPwccpyp53/
vAzX3KKdcws4L+jEwZf3fzwPGAror0C9BVhOHSdqaGCdgnse+fuP+I9mkg30FX5JFn78OHXLcC6h
qDxnJJnF3eIJuaQNbkeR09HgnNRMypl8mRW9WZWzWvqYMT1R72+tsH35VMUqdSNyO4e/rFBSHInE
9FgEXbT7tPWvjOtQNU0gnukrIFWyn+0TT8G93nvEBxAGeS59hQU2Rt9cXpNuIaJC+MUZHIrazrtt
5Vg8AkXH3e0iclm9l98sHkDB5klfpRwpaI0c4xPGuHvA00KXpqnCDjgfqfeA7A1xL6ykSrBWdEHU
qU56vKfDRJ3zBsD8++LGQ4xbFIJAar5Wce3Ju/C0gRjGXWDn0632+vXTf4rJaLRuyX1DULvuYakh
Inox2ZpUgSr1e+NsiOMGavp1OTgvzCFs2e4bif+ZgBs8nFA7x/IJBo65zPH8ez5ZB4ZoMq5gngWF
JrBsHxzv7XTmEuQM23G/VAIFcDqH4Y4Xr+6n4/g+rVMfd7dufPE+dUOwSiOrZT5k4NZXk0BOcgof
zhocuGLUuVc5myNKXKfZtCv0MS9stWr3OdHXj6R/ww2TTA6avRR6ittE0J8Wr8+ez774ON4mxebc
O6ltcCmGQI43EcKLaF2hhMfFs+cKxY3uIsh4E3yCOi1WB7VXrusZ572NO1oWcX1AflgwZKVNo73D
CJjZsurABHmFVLPwFa8e9f5r93rG5SwPzn1rnlehBm/DeDmZPVey4IHkTY0Q4FchnwNAmrCKwOPD
15dy5enL2wSLMb8lGAUMEtFS1Ps41M50YzsmNb/tsufc/bNLznHbJ7CIaCBPXj/lL/3jFeEbsqTj
10o/sTb5hFTYn5iRVSvs3d6DDd4Bz92rZ2JMUkECp6NxNJX9Gt+KWz9KV2mcxDjJOcq02SlLO87m
zpvP8IYzwuI6hGvbj2qGsh1sF6ar0orwSRJQ5nSt0oQ5qeNVELpSlm4InX4NvUIXjtCDfMNIqOrT
YN6HrJnDnIlLDpMmB40ZvmPxfYVF09/9N3dn1p04dr39T0SW5uFWM2IGYww3LBtjIQESkpAE+vTv
71Sn33ZX1z+1cpuVTlJdBZQsdM7Z+9nPwI7T0ejBEhbburbuX04y1oaL+3xojpAW4ad3DgT1pQKg
5NNgEj/OtNYvJ2UKFX3NJOOEawz5zMyalBVWjNnDU8bpm07oSYlSSJDukFXePtrr3O5f2jX2eMwx
7Xb6yLS4HCHrXvZunZ5x/s/CU35xn+yEM3lhLm7vgy8jyvlSEReB1N5hyFpI4suR9bwvCKQJIRY2
brvpdv1ppLGTNM4g2o8Gx+zpXaFDw85zzGOBkEutYtNh2Mmc7QcwJLb0B4qFtiZaR3FimZHcAVv1
UJ1kex9buBrtzmFLq12IprqKTh609e7KhF8k1E5he6fDczlUyDbqBwQxJ4F9R3+yah7BAAsH3CoS
/8nBCyY/RwDopXPcmLGcRtbDPwqBJ+ptlCNiGBMvfZTuw0b1LXIrDhR5yqhYFTOkjxPJyWMlUqLb
JJ3lkyc0hlEyS1Z3MaR5IEeztagASW99Y4nC0aK1piVrPs4z1jVTq3LvKId+KdG3Q4Vmb+J7buPG
exAWnN0GjoV2uhhfODm0iZ6GEvbWDPBB5Oz33oIVk0iR1a0z/RMrhYuTPnE3wnoCJlECkJ7CLEJ1
D1jOBsLckouuJvaRv9bcgS5I7v38xsHVuukYRr0cn3H+bZZqMVIC1fSo5SneKgfU0BuwHcJEsFyC
KM13BSF3AqZut8O0fWXp6nO52QrjOhyLzqFG6sxYHaJHMlBYonKAdrIetP7zQ6KZsNfXYYtx7AnX
oTwAWWPfdi0DSTmGrHsErj5qqui8D7QqxFq8tl+KNPhKVi2uAqdhbpRRqxEOGulqIJ9VX5Us1Ayj
NrwtSGPmP83vKEmiSfxHJ2XLlmANI6pUpZ/w3bbHh62wGhs4FL9E0qgo+R2IrCm7ourdKBwZnxCB
Mrwzz3/4hfJWplGD+g6u2P01L7lxkiddo/a6fp4WOf3AsdghWLL1UCNKg2PTgWRunt8p6JI9NwEP
WyN96/X1GXcRGB1gdJuSuwVPCyWVgb5UDfF7zWBDNUtiQuoQgszZt7MZ5JDA8lqH5J8J6yU65M4G
TiK5qKB8DfWA28PWxRmd1LRQIdj7+Nw0m+tKPpZkJra7azV7r1PMbjz4/cZtuKdlyBF9KrOnvTOs
uCmjHrCNYPcOyBqCaBkYOiPmQO4XqfRamVNtT3p4YBYhGAhnUQNOcZ2naZgBOEKaZ0pKghDJWGgc
Hi4pLMz1LviTQerjACuibzOFXxCSjF8RkrAPtzHTZnAg0VP/rSm6nU92p6Z3O6yvfvH0HzKiEAfH
L3slktSKyYWHWB8WaqDZCKzZwc4obVAdkFrnoM9CnYKiSGtmLbnCWnSRxhSkovotYwn/YU9FjTAg
kwqODDTniPyhH8SH0mtJvsOYkYwATKO2bF1PwwcEK7vQsOEqn4MSlF6KarodVFcqAySa14Z6/hxm
fzy//6twDQvtD5a6opkiRPo/MPQ1RWEp/gTX/Pz+v+AaRRfDHqZEhinGSN+HSMxuFBXePu7uZJuy
/v+Ca8hZFRR8rkWxTJl3/QnXGP8SNon4JMKo5wFj9PSncOHfD+YfMonkWPziQRVk/5/3GMvSmR0p
kiRbsv3Tg6p1D6tUtQzxocvsfPfxgs+ZA0d2h97IEdzGM+xP9xauBwtYJHOmobE0sofUq99u4S8u
BHN95Z+X8u0mEgT79zWj7pX91TwZWvggR+IOWe0mBkKkSkEpvUF9qb1+1n/qN++Oy69GVB/z9ohf
KB0Thpler/DQxlTFwd7PvyBja0+OcsQp5blTk/XjKA1c877Tz+H9KO1oYjRfGWkbHIDR8Ixr5LvK
AruqLsHX/DTwmbQ6+woy3EgtdVeePxkX0xmqYAnvAOPYL/TrC20G5mw19BEFP79HA7BLUpNv21hs
wbdH9p6DGnQiOlLMHKbPT7DwC6lICT4hooCCWQyaLn12czyBB6/2O6l5DIp0t5WCdv74tINMjL6R
wdOuKlPmW259m5rOMyZxAlnNBhz7TZwK7ZAiLZzBl76QI6U79pgOyX+QiPFgiE6cCD284pyn+XCw
IgwjFvFDGbwBeD9jqgSsz+sv7Cq2T6JHNJTpkjsrwpq8uTNE+eLdDNS3aihVc2h5GbA+fo99MWsS
RheXAbRerKuBylv3nL1VqqAD0VyCMzPFBqUAURiaKC1lSGfVXCEnKY1uxKbuh7UUc2C954aAGU6E
jckR0n4126/pyKVA4NPTh46bK61UxmWS95YZuave02FGaVWLTJUKEr57M4MzTtAUXSn0a8Uj+S0o
h2Q7O9chTU9AjJeLV5iPIuPiwsRWMpkb2WEQNnkEb4PEz4nduoc6LgD3MDejspgb+ihnGDiufRC8
20SuYxlcjsYMOwVjG2B0NnuZ7YJJ4UxedUiyIxFvUIw+8ckg7+T6dXvLxoK9wSgxMscds72lMtEm
g6iLSf1a5QQ5ps5sttthL+2M3hbeIlqsVnHsuj7YIRj6c2FdP+/br2hlRNhWEIlJ5woTW/VhWTNb
EMNFDOYfXWjLXzna8W6TPbGr9p+5d1Yx5q4C6xKe9W1Sn8KP+4sVW5gKEqr+Lif+q6EFxmCcXr94
M+cShnHcBabDhhFnIJHzTB92mNPE1BqnrVajhlAYnlzWjUrDQ2/lIynxJJc53nOC24FxVFBDLyCG
ReF5cfYlnfFfcQ6f2KegZUR6HRKBSBgsTEdPJbWFYy6wtqdVGWIujRKYyL96UJKkSm/OCr/CIqP/
JASscO+r04G/tSP8IGcgNQfN2hBOpsO6Hbwxn/yUejVU8jgJsNVwG1e7g12gdpOuBLFlSVS3dtiS
nsDrH0ygqoKpXEU6nxKX/EnJBMO2lhdT86Ek6oQ12frFL5WZ2qLgu8vTgqfstMv3LCy4/DouDCzJ
BFMsIz4fB2S1E4uWHk06KYYr1FREuFYR+fO+9NHCoMYeffbIhLKI3CT0MsxkNJQwZ5+T94Gj8jCL
GCBFNG6gSlDJw3u8H58nl7NLepAwi/R7A6ZXcHscMmVtluHzDs/7+VlrIwOtv03CQv1Vy6tLTjeZ
44Pp29OkeISc/Qj9jGuARtFiWl2R6exUhpPUXkk8F672SyIEDdOhfKbpo/hQj/SCC64yRY7a+Qwq
uf7H5CTawire02HcnX57G9tT7DZW18HIuk+r9kVi0JQO0D8ZdpA0Lwk/Y/Ig2tXGY6ldHQjFijlR
bF89jXr9EVK5AqlZ7zA5+WUiheCEYK2EcL4yoNUGuN5h6WgUuw6IvEZeUiSHGxvM7WFCQjAw/qqw
D72OH/VRnpTV008GBkoVSIUIHTU16J/woOb94nnZ2smMbbdVZpem9wf9OzsvwJsGWXVrCqAQRiSp
BelcpOJo0oCKssC7c1Lss5emb3A685RquNce3iWdWGbEbofVnty7SqDvfjj5lrXfjPcjlPkGnCYr
83AnsV2duATrtk3vUW34MgvgMUG61lyD9n6ZZiBKdXBZdro/rdgwkqm6v5Iv4atfiJvUr5ONVcNM
hVy+h25dDzXzw17kOL7lnq3Gt6UC2mC5KvM77Y25BT//dVzuZ2aoEKkxMoH4iU5GstGM+zWqtjhf
Jm8pnMO3U3R/R2k6zd6JvyLB4gRrsce7WGFR4A0F0Da7odfpjCWuAvRc9WByuY36S6xYw6bEthHn
0ssp6DpsrWRsgCZU4Xa3VR8v0mV2pqoEaFMmrTTLB4Tqus9nYF/9bmjMLDVxLjTXl+D6Yl2CzAhI
/bqz0wciJi7fYddaytgizjrEBDzJLH6nMH1tyNVkNaxTHCLy7UkpPhpjNtA3+tmrcWoHJgXuB6eA
xDZNwTZjAVrcQiTrcBXdpyO8dWSm0g32jBxXLpwvH7QeUxHya/BZYfbiIBKADiGEsIQgcZbw9LtG
wD1zsSnyoSHC/4yAh/D6eL7uQzY7DBeSPBIsFYKkbrfZeVq+Nv7Ns4f3bR2dQuasdBR1/AY86X5V
7jtzjHgLqvhqBOkbFEBiTV0pukSrTyWEUzpPZ1bmCjE8qd54CRNaPbd6hBdmB7tiMFIQITkZmjIC
V0HuSvxoIgkDGbJIUbZx9oLIYB+BgEp2VZ9Fep8omK0LX6cptHTGF5PC58hcs69BjWF0tWbJLwz5
ZTC7jEv/cZBtx8oieGseC9db3ywXJQ+IDVjEbb8xITLsOtuZbmGKkt/ONH199oDLOKGuFsoxdCL9
XHfuuKCQjvaxXo+xZwl5x+XdXG/B7RZMsQ/thbnEjb0Ev4T39wS6rf844lD52YGWNF7tYw+3n5jV
2+dq718DCj4yvy3MD9JLUGNdbA6V4diXXT2siUBQvs7DWz4yMBCGfjCGhIAVymBsAJ5kURHcMXJY
SRslyh9svkmwMD3qNUZOg8P1nTLoTpzbjtOE4kkZFxeH043ubICIOZ+pyAIfb00sD6k+rIlEbfjJ
kGA/Z7iIZQ3JcONynL/28Zh8kdWD2UqsAB0D3s+0TTHDGwjK3t59fTWNj9MYr0/R/l0xZ1q/TzF/
W7byArPhyi89AScaPLLPAEc5fcEKnvWuel4NrJWkfuI1wE2Nz8PO20oeZg953IYwE6rQFgwj16jH
KU4a9vsHolcwZO+TeNKSVnYvhafKY54Pb7j0sYBeNF/n1xahHxcTK7G0n1P0eRo5HXeKxM9mZESM
LAlYwhuQHbefayyOyj+N5K+SUHduj5eqrJYNq/qCHYMv/txm9AaMusiTiXUOVH20d9bMHxGGw8A0
EJe4nHfO3Uvqjyc/UgJLLP3aT/QDQX1QXhYwHCe4c5BqabIkZJeva01V4SxT/wDHBZFJSFCgswEM
SIQop/Iz08tvr5iv5D0HpuyuoxzVavAFXfiEYVpZDPdTbaoPLdL27utqwpeaURdvk9ll8USoTo7R
lMRCyuSdLDnzqUEFsqMViO4NXkGYkqnHxnLqknjWcmUwKHSSYI92BPGP2y1OYwvDrgYXGO+2i9l4
wFNRIVqevNReLhsiOOLiRfUhobSPqAo/4aUF/QF1GwFvCfxpaLAJPfktpq9wDYJgcDghOwReuYoL
wJL1wPY17WSvd3n8cVQmbZpg7WGD8Z4wpVBGDyU4QwhNveKDwQFhNg4NjXTjL0PlsrssuOzgCYPd
LSNEuWxYsMAWOiihGHL1XjolC8b0eKhRAp8mT2eLU8aU7wxQsQ1PsT2sjkRZjD6lfCTWtYh3ccsv
kq28eF57KyzvneqL46YL5JzIC74cjkHWPKTbZ5B+nhAi+Hu2HYwh2K94Dv0VU/+LM8Xx/ua8S6RG
XY7CqhgsboJKuflg9NGJ5KQ85O5gzwxFWQTt7aG5nJBStktGL+xJygJTdwjqF19lmUm8ZzDsNHLi
fYnXpYGI3zXBcVbJj3STbUwFPmQGrpYODwi2B84zOns20fPIjQP465fJJVkpsqvASR/AVpxRBJ0m
eItx2/BFCMkT9CJS2kMmE9te8IzhxWyr9XV2n1xnmQoxXj0m7rtccsqqREt/Wa682l/fjMHoPNiT
PssleteAaT6eGxg1yT4zi1AZJVxlgpxV4UHdLwlMnZWYYQbqqxY0Y7PCrk0aJ+Doq3pljKSNFJEP
CkZKRYRTpAtj+0TOc+Yrm0T1ixlMeI9zl+KFZ+C+kxyydHOvoJrJRKmZUkBSEWG/sVJw9lz3E4NU
UDYo7kQ26oZY1cWMZAAuLTWSei/rInuuz2v0q0h84SIhRvEGI+gMJccbXObpYFuumpVFFR4Dwkmb
bjQYDzDgyudPztpq/JhBWXPWiMWQx/n99L73E8pK2elNVxb2ie8PMogOVtB5a4AoNpeI4yRthkwA
Vd7B+wQChnBIWSvtmBCSg4AcTedlyU4vL858QWNQMXxSUAERTnd/MaIt4hUXXbdHVDNF/l3eWMzs
Mbix6aHRJZhrAYbd1EnJaLRaKBjkaQiD8Gl1ZKBgJvX8HQie6Ka8jvCw4UZ1i4qny5Ovc7IZdBRO
YPT8D094yblUuSZG7OCqm0vhKqNmlsXoXZ2VFkEwwW59ZiNSYgUAJ48lRzjGZDEeHZE91qY82HG2
wNlzmIVPkAE3CxG4Y0znDIbULYwTthf3S8NgGvzPQzRWNVDa4b61a1deXKRwPO0gWrHI7Ui6jj6/
MACdPEiLjnV3uk3EDOqBOCjEgmZRq/gBNZMTkdErtHokCQWXqeRh0kxO7PBhuMVKGrHiodzkGHmy
vN+f+EimTja9TSWKI58Z35OCp/JI6FzcDk1MaoTDBMS7TUQE7IhtCVSBGRsMt+V+9Njd3R+Y0P8q
gqialgSaJ9tkEMu/8fiwtH96fPz8/j8RRPlflgijNHXJNv9t5fEnDZ0/UmFu/X8++d8QREsh5Mfi
PZomCVbOnwAiiZKy+ANbxjtEEYEr/wWAKOu/gLpVzAkk3eZSoNcLhPEb/6cyskprMhmp9CMQj2yA
D6jzJp6ctzfPe4V3/Nydg5uLPyUzkr3It34aW5N4cAwWau81u+1ASEYNToj2SIEAA8niMdTHzbRe
AjgRQJdG2bZYZlvUqp+oCr3bSzXEAdIH3PJ6wIja0R7RTSZDHa7LhRkwG+0MfgkmeBhn+ZaXhDBZ
6c3hP7DCOLx/UDEgUjBqU9/m/GH+jPYMgvIY+Ip/mq3CGEHo8uo54z66Mx5yWJNkUFRhxuH0RR3A
yr0Qyt2toKMxWqykuL4sSYR2/BSrz0tItpwUkiuFjpAZg+U8rPl+H7J/mijUFCLuX/bgdWFJDK9H
ADnYFktJRA1dR1BJgcgcC8p0NSMT/L4ljE1HNpL9by8xydIVbIElA8hc55H+DyA9Og8A5p9A+p/f
/+cSU/5l6LJF2JBukHyKL853kN4w8dBB5ftvK53vIL0JEE9oqmTJuqbYLOm/1pgpYSeA/w5IvWxA
gvwv1tiP+cPPKP33S/+hBPm2xtrC7m1t0MGppDyBQocjPkp8mg7b3RPYg5brKz0Pr90wgXW9wbtN
CMQEMUSdwRFjyAcvkSkcj95pfJOQC0D+ek6afgsFzOgX6A/gMiEIZgxObsan9Y5UF3WAPq5SrCjy
V6hIsAH2jLwR2qqp33Fw3D4QNECHg+affJBhhtJEw/kggBUGCcQEF0QRlx0g2km+sOi8DfMhlh5M
wuNHYISX4SUJdSs8Y++BJPDkSjOh4cWqZ2ou+2oz7J7hwNgBF1bVJnmGDzWy5OBk7LRsnjCt+mGW
b0lvjeaoH3jslw+3nqBKjEEINti/o0fHfCfAIgZzBmIXgsSHsTlqR3rmVi/225WCWCRjSz+oiD1X
pKBjM2dP6rBiWTACJ4EzaWZyD9SSc3Bq00oPr1NyLszpxQxRbwv5yyGFZHnQASu76ysbT+0Wcbcm
l3Z1Pbaj+v0xbvHW8x/bpx5LSNzSoLuOrLVKni88m9wDH4c3gNUARnNnnIJWBSqJGvZddYfeVkzg
rD2GexwnFJ+oIfSzggfJTJeyCLhS6ReMDHGBh68S1aGYBpax5ndTvnIpXST2nJkFClkydZFz5G4S
l2AY0BGBB26rhKb/lgdw86AF8plCMIIjEeTFOY8K5BaGj8E1+qFfUT1BFCxjofgVuvGOyAIeGIth
CGRDoRo5j3gTn4XYZUnVOaqG2nuCAqOMzQ2zYgtzDOwCRo01eto+YxmoDu9IPWOB38LCg0jDTWS6
OYdsSLItpBEw81m9RVDhPuAMwW7Lozzibha7uyAPIDX4JE6x10bmWiiN4ea8XkZAWp54NVFDcGZx
DOV9DCT4lbQKRfYg/wJtI+UlPKMVuSTiP+KTkV5wLoiHcB+Rd9hAdMQuT7DhIMWxAsTrkEUMmeEI
3txacOLQS5DTCD2Kz4GDFxs4yul+yVTpRby5mz8/+ZxuboI5cgkozkF6YfTZ77oPpedd+hQnT8AF
nUReGNd6GV1fBI3wIKiA5wnOrhD2BCmQa5OGfwgv+imY7MBrF0gcCGKGKwe54kAnIX6BnJiJL0yG
NwYjD8AAeGrntx8ktm4GjW33XMGhollc7UeCVAejrdwWpSdYesDGExCdd8nAhBJqm8KgTJJi1MVl
E5TRIFCmjCBgldHjIXuCyqXiO3VCsK2NpRdON4ygPDuuX3yfG2e/MwJLxvzc3BDuLqpwwP7XAV8N
gm37CBPFPnIt5zf1Oodsx37mwew7vz1X/Q6v7rV5fIQ07pkuuF4Y0UDm62b2Eae+CTitjmUP/q54
iuM2FSVU08+ogyoTcQe6Gf+OpkNENOa+vuaXNZAqpMBuhQ4T7JcB/BGjTSOCEwgpkY6K2pj+aIHg
wWg2kBE5url5vAKBeASv72kM7ePlGcFsxCsPSqHqXw9lO7pLMdfRLnhxFZ/foDzWjNtzh5+oXVTG
SzcTV2AfscuzgeQwqT92n7y4DMR3SAIMdCTx4+nr3OdudCTLPWAhgiuXUfoIpPwlsR2+S/sIcVGe
6GvYlTovKBiPCgZc/YkvhvlK0aGMoYZ98rtkwxtfZR60lyGqEEGbvB7UtegYG3iXbYgOfo/2Gv4A
HKcnGwfpJolbBJebmx54ALqVvoY+Zx4J1hHPEh8p2N20ATi+0AXZx4qcbu7fySSFife+NpC1z1A5
IPshGR8rr+abyOQ4DJw0qujvojQcHG8rwz1Li2Rjv6BxSeZ3bNiTj9ZY44DBMI9v4npgUna3vx6m
X8CLkz3s2xTLg1bWFf7pMZVBY/pPrIGvn/YJhTtzMM4laj2WN9Km3G0FeNEwGgw7YPGkdgefORRk
Ip+a4af0/Mig3TJWGjQE5pD0FJZF/EhH/8t9C/ULfQLqVgoY+fdF1T+YD/94//eiSpckQ5MwG5Q1
CWrBn30L9ZaQ6toq3QcUB6Ep+Iv5ABVCEBsEeUYQJr4XVRaVH2XYv4W1/1VRpf1Ikfi749P3S+cv
+3vjcjoN1EbLkM9Kuzqu4+vT1WBOxuAz+kLZj+/tqGL3o+tF2VoFSv2O4ZkN6hign9LUkHoHHSpe
rEitjDXMwxPY8Qrp92OG6PSObBW6KgzZdIxi9RVZLP+Iv6D1SjSTF1+b8Ak3T+huSwza/dJX+h8a
VPL+0LJWQTbBi2Hdr+TLFgOfC+NjZTIY1XFLTaZN6rhb9Cs+wqI9YnobqUAxP0SsPWAdVHoVNzEG
U2vxtscMcIZxhvh/ZdKvusWDjI9+kR/quF/xY+SHZMoKhHl/O9wOvLWObZLE4eYLxW8BAqRMnksm
zmgvUb72uHoBWFRC7cvPJKbc1pp47R+XgBwWc3hullAY21GD8TAOROK/hY+nSchVnUdCs9otEW8K
oj1U++u4RUWPlYsQfKJgQKZ6HllHfodSRuAaS47okQlwQ7FaYb7tJgR/wfBIF099gRkKagnwnxTL
izlq5gR/XdiGIDwZOQy2hyAB/nzuZfOPDzpS+JYyWo5/m8hQSO1fCygKzO7GVMTMJR/Lg4icMVZE
3DOF2FMeXAch3H1KV2GpgnmszDlyubAjT/OImaLg2Qu2fU1+sagUisPg2AVA/ByEHQg/fMcENeke
06KcUgF0n3Gn8tJPkUBWzx++MAQesneqWP+gHMCAhpP/BVEn3F54hmg1liaGJVRF53YFT+SxpJLB
VIbjlftDrwqfRPjOcAHZJB/B3UenO0NKgGHSnHchjhDsE7iuntBPYE7DLFQIA2r6YtPl3TpeMINX
PHRI9hmid+WTKXQ4w9GR4oXlPhZzIXTgDegQKAQvvkLWNWnR7w2+BsrwHud08C8X22sujXgredOE
7DgSdMugbkd7vq45ylPs4FNhuEOzgW/OFdcSwuYCblA359MUecMFUFjNuRab4g+Mm1kJVjwXePxV
LLH62POxObuI81kTLFkomRNKBiY4E05dXiG9UCDweJZDFAkcaMxtPHiI/A5LJV0x5vvjA3CVUdyY
oif10J8c7CTgfAvsI0gqZzIoYOFRN/Q7XsWJLuoSflsc2Hde9ISJMOFa+BcMZa7XGYUMXGyn+xQl
CcfzjeOa0R8CJ6AypAVXgIk/mIb/qxiZBKWNmF/2fVuXQJL+cwPPC35u4H96/7ezhkQwmGyGIsl/
+DH8ddYQ36tamiIDUkF14wD766wRFl4a12MBhkkyx9BfDTydu4KBLoeijUvuf5UibAoW3d+PGswF
v/3kPx01T8M6n3SRjAJR3DUpuxKvvU0WZfuMki9tCulBagOE3VowQF7cT157tnnCH+6ECjyCFj6c
zQwHbwdfUNsQUzsfBCxcPzICtzA/PZOOMZjuM4+RFB0kAP8JF/DMKybC5Jtot8uXQS476JEh419Y
vOSEEx0y483etQy+FeJUi4E3OMU1noEhnPJFm+E6hO8VgP7X57ev8RdMP5SBv7gbZI8rwJaGgYD1
p5wY+Wx25/ueyO6rw8SFeeDFHqKNSS7R9V1h6on6R349TwfOzsYq9p4G5eKMhEHaKeaofngEWuFu
PS6vka7MbSZ6MvPs01Bnkj95Mt/iwH4z4KQTy6Eu9xN6yXOk9O+DfjCUrvP7ffgjZaRgUkJZ3ZC6
fJuos+S1i9uAcpk7bXN/MTSH/gjTP1ZHZVhDFW9QESq+RggcQmhkFxwBJ44XD5SdxrvEKRBdeYwS
lJxCiLUeIUJDaeso0K4l0eCxQycqzGMq4nSt2ZPaG0gvKrEi9gaye379ehYvg0ExzGBwZNnwgpG2
MLWrX+oX9fW6pfFByqgGJFBe5+XVhc1jEi1988Umy8jDeecoYspPognz5kKArREsHUcKFUhRNHyA
QNebAwW6uJle002p/pVNvmZi6iNXWcmJt4dtr8Dn3hu1m8uvPAKixO7I8jkdL+t0dVnkC1iPnLUY
HEguvJXWegP2NJWw+FTfaUDYXbWx7LeXqO/9jkRGtkHNNRFy4Jw5VmPMBIFkiTI5cC8J0YaKw7Cm
JH0adIY/Y2bFgLmBJPAQIyEAV2MjE1q2add4Q72V23xZv5w/U/ZkMw/jmI2dQfNpkq1ff/OUamwL
/1iy3x7Sn/1Ab7o62CcpS1ZtnNNQsqZPuJE5voPqIZ0SDYJNkeRrvrYuHY3wBMnHmter4MSD9ugY
ZJEx4gNLCccpqrKBoy8H7326eSRapJU6fMbdg4Jzdek8C6tJgrYhOqJv+M9rjTHBr34MFZRfkVTE
u5ZA778hh+eLnqp5wVp77dyz2kbJq6W9QWysv8zDdWoGJ874WAUpb4k4uGPLOEBJDEuEB7YZBOk4
CbFqG9Uu0eeZoO25zNWJOjsv8zl6TIxICT1fsQ5assANI7qa2NXCU3RJZeSOQJvRroJSGltx7u0b
cYN6IhyqjTpVVho1KB8KauLJEY8dTlf3NzFRvFBbuP3bAwou8JC6qY+Fi4N2ZICOZHdS18bw+glM
0nDNRNdy4IL6ccpeQeu9JqPLMbYpxdpAnNLStvauxHhIgFNxkvaz54jpVUv5qjHW9Bf/+YYrv9zb
CKuXwZ85OUSa/ff73ezt/b0aKDw2K/WJPdbZL8OwGlnzfmSacTtCKLZusfON9S/19cJgGv6M8MyS
k0hb/i7wXSDQ/3yIv13NTzttZue9ebvy7d+hvaKmgcqQYtOB5wWpH6M6JwR9TZ5W6RSU99fNFc14
g3VzrS72lqt93XqmLPlLuQRwGF93xVoDwjIdtQmUgXNnkE/6lKZ5SXPA7JskVxYET78sYFeCvUlJ
9xDuwgy2T14/8KqBZym4+sBcEhZ3ZBsXRWD6JCFigYtMbZ7WPuhegmDBK1AEkaP18rxHSYms5K6H
J6axHb6SzGnRq1RIkIX6H6oECTX1++3hoz1E7Ydbh9VzEEYEukK67J5jtn0rMLc3NpnNb77tX66u
v+6v/RNl/Xo636q7xLd9/hJ0q358BxwNatM7T08vJhEaz20vuRy9iQ/3ZEdu1/A6pMb375jLcbE3
ysWJIf1m1f9qJCfhg/XnQ2j/ZMGQXorMvKpcVoEhKYtphYFY9Jjn4wrroQGcVCTVQv1D0Kbbh6x4
wNaRiNM6YVEsZCbcYDXApL4PzMN9iBB1hcPrev+SjypfesvAJxkLkIIU3ZaPV/3rBuiKv/pV1Lnq
8QYd4zf3Wayan+un7z+QkA5828X0W4cq8MEP1M8s6O6wkdmCtQU6s/0EEP8V2PuHR22G/dtcWqXD
jgPkHc+G8+d9gQ8fBJL/fEXq7755hlF/u6L8avbthSuCQQ6jbG6Pnkc4u2msflzj9rOMa4i/APYq
MVLQZSPIwejeKih2zAXVEJWoi2k/sVsepNQ+rGGqo+IhvxRsCuoUh8sfgRn/t8O1wFv+4038aTO4
lLWSPzU2g6cU242jET2GpiGG0s+OAH27h0h2SKUJUwHpRMK8CIl97nSIlYrfErMI1H1zSLuGZYiZ
0WTAy2i/cDXYBzBSV5WXV54JHRmYkzTHVbeDEsjOrPTDO7MAOdZ02EJeUr12MOKyoVIt9+931Tnd
dsmGXEq8lBmoJj4VIEk3PQZ4b3c8VRv8mPglZ4Isb/a7ZMQsoSAKtWSmi3iYdpC502UrqX6P7yhq
fLfFOIRCZ+8ppt+DdKbyyC58+CPkPFTRdT+7NR9PTx74j8fakHNXsz7uj/WDRCgtPmE2meKZfn1N
22mf/NGs/Z/fwa8rXxMnN3I5ZAlN39+fmhNc3zq/SzaOZdhVDRnO3FVfStwMghqEefIliqMu+0US
ZZjJBuex8saI2gW4Vdy1RTQ6Dh/EE4JLacsbFB0MKbDB2lpL4TO4vvuVv+mGzQz77tne/01FJEu/
fObhONBlIWszhbPd92f+mdjpvoClQHxWxuysetlzrLeIx9/SSB0PNn1kY0mB1FKZJ4vmqH8w5cGS
exA8v/KX/RcTL/sj3YG+duzfcPyygFblpA0VzVOIosd5gBStsPq4TkRGMC7lY7sb0f5Qj3/h1clg
LKHm9nRcHymiS/i85g4GZncw122CELdUp5cN7OEQ6AFnEGfTeEpwd9swuiwg3jxwtIShwwWKUA1r
xbQpIPDGOVczM0EkH/UYkWI5o0YG+pG9p0GpWnM0m5n/ZGbIAa2sq2J8Jp+v+MPa6P98MH6BRdKb
fru1P5VpV3tQm7J4MOB2InZ8vb6bM4Mq8QrBwW0PBARSHmWYamALhXq1WJOnXBjzCwIhAj+qsNNX
5x6bzuJYkbGhkSDtWHi6jvBwFprAg/x1Z3ZyDajGIH+twM2fZ8IIAhNW4S1q18jtL5jegsgIVQJT
R9bU5LRIPMv/zcb5y7r6208qdqlvW3mf7GvjbGAXA6S6uAyLaQJ5Cwk7wi3S3ffZ6NpF1BTm8mi8
PGeUSvl79a7TC5ycqIlMtPltZN+9sogGc23zHLjPqP7NMv1RFP/juPl2jT+166aiZWZWiM394ZTU
u6/1K/t4fGZWiy3R8FF7GdYfQRGTPT16jG4rOvK4WWqQRRmsuCZxjiJ6gp7Aq5fSq5qtR0DIu9vE
HuJsOG49Iy7BPtuZ+VEeLW/gkxw3ecSIwp+HhoAhlvVEtHRPxEzpAeJ46+pXTzmR/kJUatwNH2Ee
417UhlPjFD7Cdv382LvKcmT0v5HlQVT4xaHx7Vb8VM+q+U3rbmgVQ1wUm9hYtGTW5GxW5rJlchaY
UwXSijrUVNIqcc4PDzrT5RdtlbGP0qEulGAQW6MiGMxLBCTQx3DIwRliCP58wSSDpC/Mi7LfPGSG
9cvC11JNAfpYJgOIvz9l51NllX3xtAGdlcUzxm2QmNDTtmZ8nwdXxuUGtOG726y74+ADHZ/aBemJ
iM4gg314dizGV5ct6WLMyeW3O1vTgGbBCBtrLEG7UJgHD036wZnpV2zU+fJ89qpZOrorZE37SY+X
nGt9XaN68dgk636Z0KbcGQrQjssBKTipttLYR5Rn2HX+vouG6Q3egA0DUl+hJHmBSuSfNwWW5C3B
IZ6y98hsKVFOEXWsuznjdZQYz6E8TD5IPTXiB8UmYqC7skwRNg51JDnN4Jie/x9357XcNpp23SvC
FHI4JUCABHMUpROWRElIBEgAJNLVf+t1//O32+7qqTmdcrXbpkUJTMAT9l57ZqD2y2YKuA3sDIGM
TNqlKSXFFSPjGR72/IootKPyE2wjri2YVNaMxq2X1MfV454Zm7IJnKsw/Z7IqMgY3SQpb147UBDK
kwi4KU5yAFH3m6gSFXv1VZAi0a2OwfKolDKnW7dN0VLsGv+tmlfTchnNqC4RiZBycd5DpmZRkD+n
xKyPtAleNniThMHwHApdbxsuhD6DLnBqH6HyXGKfr4w9k5DeoE3hTII1ymb1+H45k9VSXVBwkPMD
IZSvBvWkMIcRKu0ksAebKIEvYF9IymBdePVDd6tTH56Eke0cQnhCjEE4UxQGvLdHNZeQBscriclr
5nVzx6fXEUzTFi+Suul8Kl1KlCloplWy6SbneU6fb+STDM9sPr6vdbcfw2S+DByl/FbMFwvRBBN2
P06ToFITPlAyUyZspD2EDJQkO3asgb0uZncU9t13dw3PIywx8A5uwftLfTEx+URrKbDCZT3twVOb
s3twe7myXSe7aFhcJ3gavfKSGmE210+R7i6HY4sr4Yobw2NjY4/JrmE67tWerC4N1kuH4j3X0cNK
YRcASF6Yy+SDdU5RHBzK0vazwbsi413KpsmefvU6OkCj3FzDdqLSY+c5CmFl0QX4Y8l0gA2RTy1k
HDI9wireGgBm9LkW8URhzGUfi1Ej2RW8a53xYxMKQXA0XQsCvzxljzZpVnZFmTbQFZ2JIJTxVH3F
54+cV0ImoojpCVrWQl7G/awtP8/VBb8ymSy24V/XivdBM/hY9l2YhCtt/siJ6wmbeTsmWMwFMH6z
K0/4YjLC+RgBhMPF2eGFtNQ5TOmNYFmThjCJnPlQBTJp1APPvIVU3GeIGmTEeIDQeM0O+mulYIy7
pIXiNtycGOssCp/I/9l2fWpLazGE0pb93DvTxS3iBcwgt9sUqSBQqvsE7ACywk5DNwixCAIRqKlX
nlKMD0/KvHaqUOrt6BF8LDafprVtqfAGdYH6W4QLtRORl14GzcPLmJy2Y4JwdNchExcFmDOqj4rm
Tp7MPe6eVLzaxqkuAwjYkbRqxszeiHQReDwml8o6Vhcpjha1nqBivw6qa9fUE6zIpNW9QJLQ8qMv
glCETSvuD7G+6aOlSrvg4+tyiewg6D4a31/aV9XZstpXYZaifHmL9uD1SCnmxHc047HqM6stxsnO
oBWDh4UBWADfAX7jw0JobYs2o9xWr5x29wkCrWJH9MGGLA3m5ERTjZ8fiKtnCaPKxq3sky2Fg0qb
Qr4QIDP3OfhF58lEneJL511FTS2SIhBxoPVnbpiZK5NlE6aobKaj5kJoZa/v3fRprBi5R7v8gw3q
op09qC3tOX2XmrqQZHptatp+Vu9yvk1BHCiRtho2Ut9QfBuQlekWz1VfsEOKXwedXLDijdkkyEB8
IUi3xPl2xk/h52Kj1MmKLeG3uBYmx+vsns1MeK6wiu7/oUn+21Gfg9JXs2BOWCzR/3rN0+3H04md
J/Hr7Azs8A4HmMhxaGJjSmPP2dwIUbmHOcsxYszK/1Az/cef/ksFG+mWE0UREkXhPCMltmigCRT+
lkDak7RI9iVAIkpvtyBJ4Z9LSkWR/66odNBbMvMwDMP8UV7/VFTW/ZnR5xM3L5buiA/wrrE4ReFC
ZBnQdC/x7bWAvjOcoajmnDbK451PNufvOmfEPn1cScOQ00n5nTsP/0o+TiwjmTuHSjVp78emaNyO
RLriNcKwY4yK3jdwjM+xUGMeG073GNrpnPEal8B6rDEwTygab9t7vb/dl4StvEBdeisPDUZoSCQz
67ySi+DRjKy2C/LOKwnJYCbErp7uhmHz6Xykc1ZiiDphRHV4gzAwjdHZ7SM1qA0fOlhGK/V0z/2o
2zNU5Zo8SbZmNsmuRBo3a1R+nrRgSpPvK8NvQXyRn1YECaGExnd6C5jVJPzA76YI+CIwx8O4Hl4Q
I9/2VefpJ7JZMwDO+N9WzHZsrCHz8pXLWLyN1g5D61O9x5SCuBndEf7XFZnHhhzckRwERshtBN+s
XjDuMaDLMpIkgNAu+thLPkngUEK25esMz0K+Z0kP2bHwYAdFkAVFbAxG8o6lCvYK2DZHK3NVka2I
N1/EOz43NvHzDCqsUMNrfXiwiX+peeBTxK0m4SKRy/TildO3PgSKHWoS8KgwgsYgICde1k1v5lLt
XBvXC3DKKuALOhxb7LlK1OIAkLD2WuUS0402BmGGAA1iFt4W1eVMnc540thpYNT1r6E0PW/vBx26
lz1iBazoIW7W5JXYiEWCXyJdkXH23CmYbpBYeh32Ebbm6oanSj3Zvs4nsFujo+tAQW3qF+aAFlF1
tohEmEarVpsKLgsl5wMj2TW4mSsD0/c1MOBWeyZuIWmhUrTS3Ukjc00KmMTQ5sbFgTAJ8dZxQc5h
er0fr9/N/VJkYQKk6lQcx72HtaOlNyZSGlhGDNEZwS7izqlWeWR7PzFuVaP+nTdkwhVmK38xbqkP
0VuxqpmkZEHJ281cP/uQNv6qZ14fT/M7ApbgsVLk+e027vHPNmHB5AbgH/sdMoiuYfcYa85U558e
DINIF3adfva4ycA2+TFmycURKykaLddGA9exCpzakYBg+Eynh/n5u2kEsEPvx5pOtAIDc79SsUfT
dq1ui4q5g7bFZUQG0qjn4wcNAzHli/qqvqL/pSSAdkn5m3qgnMbDhk7LJ9Z5tIxnqofnHcOLFdbz
eOksbnOSzb4dYyT1Y6zaWT292RPjNhtwI26iHWC9mypcttIQlNo6lQXZyKYvg7YTB/dyeWXXzyv3
wpDG+DwvWjUfP/btMLqv6yOWS2jTMoazZtEs8894QoKU6kzVHOQFiVDMYXteXWllZBz/HO9culQC
umBiCRF9hDjyjjXYre/mHEgnBmSw4OLGpYKnKwVPmoXKSzOLDsVLedGYtT1dy/Ls86qwZ1ULSuO8
Mu1pm2F3xAGIcnzA/sVy7souatQdgAE8VURxryXUrK/6A+vxm7Mzg2HeL1KMtrPzd7aVucTptpjI
PaLAAbV3gip1zj2GQDHoQEzW82EXHSOa13X1mb42c/BgIdgw1KKjiDPwW44SVPrQa8odMEyk3eUL
olqeh4HcPHuuEji8x77mPeBTfZ1fqJKYTDj2eMg8fE5noN6YuRLGdMGgRxQtu4bYVvLEOpfjvwsZ
CKvBFEHJR/xGYCBXa+P1eJtxvT00F0MMLMG9JN8Gdr7Hm3a4vd72rBc6/OyhhHFWB/mOA6r14hvC
EBr3acTAEQvJlUUS3DTV0y+cGpUli3YGUPELJz0WFrG0rnoUwSXq55tXNlMZrBpVB9UEMyS/e7nP
8HF+Z+hqWtgNI/MSv2OsjrB4My3IEUiOesantW9UGMxG+mu06ZnAs5jp9zLkROYIKABAdFeeHaKU
/2pW7Xv73k37t+su1aekdqczezpYoxfS4Oc2g60bI3DjDQ/3c55ODsJtDYBSxeuresMYqtanPh3o
IygrObmRPIhg4OrWu3uAe3nblkGLUV0dw2I0virOXFDbE2KSKODt86ZctbJnf7Sz/CX7iL+Sjz6Z
AhAhpv0EabI54VwhftNePDRXZx1oT9NsfqNkG32jJ4DKQolYT83JpzXfUGGOFNdWj9F+qPyumD14
dsQkD5XEa+u98/S5xGS+nd8xl48OjA59dP5ehhUNaEmA7FoZ80LY6fgxSwJyYpeFOVK+EWRv2bwa
4Gu4VCqc4LhEfUijagqljmQvQaSZPG88kzT7JabKln3HdR9N8B8daJBb0039IV9UHw7Ufnrog3xA
V4Zd+7WHeCZCS9uF0NE//Ls5RcPPx0Aa9cfqMVZZTgxu+Z7Vo8UASInMXRbD6em5dU4qr7OrXNI1
Anvqoq11anl+RBVhjSLWLozBnoang6iXPYlAVdsT+jf+3MA5u/T6qBUSOceAP/BR4CHfSHRJMP+q
IIvDeHWDppN+0g6/KUwSxEjtYNM8taNooU/tKUW0e9608LGtKVIQfdGdjEs1rC30FnTExCvw+C5c
CiWKWAT7X0z4W6TVtivKORCiLPZiRusQPcdWOTUhzoGO3AyoMTybRx2NpMeYVUL9ft4UxGf2gb2s
X6zpsZwYq2Z+DiHqEJ5I2HzEyQk1nn9/kclK2pccpDYCSYmOzQKU8Bw/n4KSe08n3Qae5TiZ3sVI
ZWI6SFlG1ZGPCWIPn88gPIdqf//MmSFgi4lm6PcWjwliubs8snng2dLBZUASVxTyU4UGb+q84WKO
5WkqT+6MV/OxFLv0FT264PFB5UQOc0q8vQliqifnGxBNwdU+4+sVBX02jsoxk2GU3cuGGRfgAYYn
Z89KV431xki7aH3G2MmNk7d6UrgzR3LFq5a7aOwzEwd6iBhbGYJGYKaxD2swN+NyXu5qm0ySVWRj
d8iOrbw1yOzTp9LTM+7zTrUvStZ5Vh9I5bKBVEtOG/OaeBJhjadlB/VC521/9vTPz+aUFjtJ35TA
JxbR5boxb1NN9flMK4qvwP+9zWumKpVbWZy7/sPI8G9XY/gKDYUscUEE/2XJ0SlRn5s2nQBqARIQ
OwLk766xs3ZO5rOsKaqJtGu/6Q8Kkj0IhSVukzqPCi4ZcwYMkj1ZYidIEfYq2Q/fnG5L8EtszFB1
CixHcP4P00Llb4ecPx/xL53T/VmX9lBzxBZCBsmPWjCXI+ZSdUh2X6isytbjg+oLPQIAyYFi27lU
rMnfdD6S8Om5aFJ4fFbf8gnOha5SyTOwFSA/ClsKKNYWoH2ISfhIcTnsK56EC8Zy0O7ORA8AcUAK
c53cbY/XfQ6cutxY8JWxp39k5DE43mNyxdOPBR5v0qVjKh4ay2SBkQlqDrAUimIdIRL/JxJWwR40
Rbf6bcRugkzoJL2RUKp/6khmliw4KEH00YPZ4+t11m2idUnQH3zCaUVtTlfBKQDbjdfO+2pBKJAz
VRYQsbJR/aBCHSmMetYgfENaHbZ9zo7T2Q7wBtOPXDS7hj1P44n84XjtyNyC/jyidUZXbB4y+/VH
1/c/KnxUHUMVFkNWfyRGMa3+Z+Ej4+q/Ch9/u/9PwkdF0ZHJgy2ULTQ+fxHZWw6LRsu2jB/O4Z+F
jw5xsQYie9lSOTB+3p/CR7aTyDMtw9awMNr/lche+70x/8uR278IJLJStSKpLzAGjZ6wUtB+9S4k
mxJEQsR7hNwV9igla/MsuE8cdGDFKmcwbG01Sl9CeU08NEwt52ITAopqdPzpmV3/sdL5OfZZlX9f
FPz1AH+RSjS62kiJyQE+/GM8xwYX5DMYHUH0jgKmXALl1IiMmBn2Fn7/U5kMtCPXdbI9vxGgWx/P
oeNzUV5YvoyvOKPZlN3reaRz3heAGTByDCG+OyZwXMU6Tyo3Oc2En1zD+r5+yOuSuBal3Nio/dm2
6+1BfnzkfDolpFDPIN6fN1yxCSpkSgtHPxsPyKdSb3qexl4zYlfpacsgCpK5RlNjbKQFyYoop7B8
oZG4w7TR/VQay+W+nN+qaZFNTB0K64JTg4rGi68kNfJgGlt7WHbmrCwXcjW5H5WQDiG/MzXMGJGg
w2OSzXSS4F9kAbwmONv2XwQ/1jbRFRZxr0gFZmcvPb404RDSY2YUgIRGPS7dMvOfE2nGoiAETMzU
yV5WgXFQxqb/KAlO3yoLhXbPZcN1RleNLB32todsUKl9WRHAO57M6xugEaHgzonXPI/TryJoP85L
JrmI13jFHj4XD+CNYf5+n8vg9W4TtD+kl98DLnHsf++PQ7cAoxqSF7qExeZL/j+/jxSxBvvrxlC8
jRzH0E0+i2A7/zp7y2M9dcwhx969OAemiwYkE/rbQAkGF5DhmlCv8eQ5+49TN0WQQH//yQ5IUNQ+
ZHCIE8DP+1RHzupIO19xsRSzuoWzw6n5oc6rdI4BGDMUqovGeY+oyfUcAPLJ3Dy8hxcz3l41NRuK
zg7u9oG/m2U2Wuw1EoqGu8efyys5iy5xWx9D9nrHDFm8SOxFWM7Ua3WR6f5mw4kdxNgDsRfOXuyz
9aTzH1hZHj4GeJ+1KUyVvhvHTIrhyDhcu1tGn1zZYV2ITEgIlhg9l9Dw/SN8ukBfKLvKV6QN1jt5
z/jlHYceskguR7Drwvvm5us+JgKIKnKoOSSir4o55xWW46Iq9Uo1NJhaH5Rup1Pz9mOT08voVrqn
DmlKPaZv5Q/aien5uzS6NiPn8wxi3J7e2NegXlA8xnvdaeBX8s5Ajw2Bs0re5YHAMX8hsTsJm1NX
821xjiLdcOl6LFokSFrpNJ4y9YsYmr1l3/m3vEEjezEXzxBso42l50QANEKwFHYv4MfK2acKlB+V
gtbNSVpFLAEohe81r0NySCZ4GM6knpAwwAVYICuxJ3Urz5oDReXp4iOFtvTEpRVEKkOXhkCBbhV9
SziGRCIo36wG6yb59hvBnCN9k7UeNCtWlrxDxZl4hdh5rq1u36ngZQuttJC5FjW4KpJqa/inYC8R
TLioL27fonrjCwBFEjxLH8GI2X7TVnwXxNv1mIcPTV3cbu3ELfPHSd8UxPDofv7Nv1uZL3MQdzdH
hUMtdabg8NQN95AHcTTANVE9sJvIgxv7r2py+9ZWD2QKpyEan3EbBblxkjrf2p2LNd9GMJRJ2OZ7
coB8Q554GySo8BvyjRt1zDqBFyhdQZOMff3V/Ow/zf1jkq6S0Z4oEVOg3okcfbEBnu/IYOG5YcYP
OW/ReEf9mE2U2qso7Vf3OKB/09Byw5EE/OCqxNbF5koHknP2enNN46HOqLnadvJACjdcgNOCKq1R
TfuMnLP5gJxprgQs/Iybp7BtAkDzecXsPHj9w9Mg0YUKF5nMlTApJ5Re+T6HNo/thUrSZ13UBCxh
4DHtK9Ka0cikXvmifSu4s0k8Op3XeH9ca9lMdbfcqgfyblbs4CTGEAS+lS5XsfwmeFORoEmy4Yle
tW903vW+2USUoJG3NRGv1W/qZ8f6tQ3s4/Um9F+3fFzFXjXnA2/cRhJznwVdYluOvvS1pbiMhFbp
tBcq0YfQ/+qX29TAWOU/QmfGuMhX5JFz6r8IkD+0nlWNWqxfa+YWJpvT4j6Rbz77T+ZajeMp/dZs
9jdjLQLkGj8SQM79kKzq6LMzIr95sehWMXiuMWRBrXeE/TNkEmskrmBeJbsndNTuYos3FDNQtGTW
yNEgvftPzjmpB5RMeu2JboOkI+8bxhlMvWfN4u7GYxZr8cTZgEPEdwWeBIfbW8eUwbxcj6UHtnAK
NzBopw17V31kz/vX6GDOAW0jjhyzlMqn2kZb4oCf4BFgJYeujfOgx3Te5tTmXvcM6UEH6+/tWxI6
W2P7QIMkB/WlhLM+chaWayw0tKupm75Ilk/ALOx/2KyIadfTeIXDbU8vXq3S+zTjsirAhVqxKDgl
CM0JA9YHSefJqSSnEA+Xut1/pEDbBE8zxxdQE7YnLOUBHi7QYq2nuNTj++S1/IzwdKnLZouL+nEN
hjc841fLZ37JqNskOGfthOwBCD0Ytin0p0mLpyDd3D6Mwo83fTEKdQmAE0h/vMZoiFgrX5kt4Tlk
nVmNqxnJXa4Fsxe/e7FqD/ZrMs/20as8x7BbvnQLRt79Sz3HBj8V2wpyvIbven3zwrDcO0t1mk23
tMyL8lAH4OzXZL7P2bR/nefESjy3CmPTL+vl9hVtEEABmBS0ZDSMvPAj3mhMOxfNi7xoITZ/GEt9
F2/RqKJJgbtSf6ZLcoO6Y7trDvmu3esrHIon6YvGeRwd5W9ECqZXbinjniZrecvvppnIl+dT/PTn
dIU4B3OSVVFjQXtsRlcU7kyLmX3Aw+U9wFAhCup3bmZkpxYBH8Hr5xP+4RESG/ORaz0tQZd9MrWN
UDBM8vH+GSTknj0+9Irpm26R6sUpPnZTAig0Qdt8prDE7q/RXOIhHgA8veAE5L3Ch4rfI2vMDpgW
lPB3b9ga9agiLTIS8fS1NjpPUaESWNmvGKkIlx+WC94ETCNwHmKwIySIqbE0KpMgmgMzwNNH2ny6
wOFHI5nw6qYQCq4zgacGkAPsQHpXCFRC1kAa1hyv3nUmoAfCOwh4danC0bR8ulVzjl4Uk6GIOeKu
1k4jVHbWPA6QdrhXUW1lRJvLO8xOHIN38pVFwj3x8j4+yjtmfEZR0BAYEVqjh7kvHJBw0e5QMuS1
J7xdVZKBfqTsuGRFHDS3WjLMxS1DgNpSG7/jnlcpTtx+h2Uvv+C+J1kovwxvz7Vw8BsTLqo3PAk7
oie5vZHHNiY9yAchcT72REF9Q6YAg36BUaU2x7mwwLxfClf/eUYUUE8skI2lHjrYMWRnVK6ffGwO
h3eVKT/xBWPr+jkg4PyIaeI7V2u8yFpdQwIqqYltUjFaEqg/9Xl+qc8XR1xOWErfN8RwcnVr3Seo
EKRtyUdJa50QJEpNxVhpEP/B+LtyDY9kzsqtO6xw9fw7kkhAHKg2Efl1bxyuysWFPJdqbsdAzjck
LYkcpn4HZ4GETb2GHdgF4nk5z1Qe7fWzATbw2DyfY62cyQjFO4FfoB7xyDwDQNf7Df4coqMa28MK
wkywe/tfbuwtjXRHpOkmS2dW7z+1DX8TPU3s86+N/W/3/3djr/xL0em/DRMoEQkB3PHfhkblX6Yq
QgGwl1iid+eH/mloNNmBa46B4VGjfadN+bOvN1TZ0WyOVUV7rPxXKY+kFPzWdvzlyI1fFPlVWydW
do/04PY4nzQDbVEvL7NInTyH9vTQkFOpaV6hdevp9s26Hz/RZjvOsw0NVfLP117alkO1kIajk8Bn
cC6qXQSGuboivtasoANKNxjyi+HAMk3sqnbvhv6YVLeV1FzDsq/fyraN19XNyt+rMj9kA553+YlG
j5W0KYMqeh7qRBn3Rr7SU1KC2vm9+jLyW5iSXIQcPBIz4nLjNDQO6YNyZBdF2BrwYtjQDPtGbL/P
TzY+yrgb0Ao6BI5o9qhIY+/ZQBdsT0lEzh4r0/4JCQh+9qAD8aAbUB+Zn/bw7Z8vqsPYroRQ2IJC
vkNf6k/xwLYvlieOirgq+W40/E/FJb1/1T0ldGGjwgdKbWiB7pDy1WS+AyK6NvpZVDosapJNw2os
S043Q1+3NsFsEqsoVQsfOjEptdu3Nyr5Ylzc2Ii0Yl5JBLZtzW5q5EndefPM7HHb1BOLkR3nWL+u
WYenjSeb8boo948nqr8Y750hHIAfJvYa7alOuxgTiI3muhP7423fRl5Es25nFQgYKCwyI96iaFkp
FtGTJN5KI16qPAuVQlm8pJE8U8ohDxW99WUNy0PXqse4sV/qWt8WhaUt+/L6pJkcjLA9V7Nr3X9X
BqklXLOT23OayYhK0yffRlfjqZ4I8ULU4UA6F678ZF1smTwJA0D3JjXHwzlD+qf07nBjnJveKLFb
qfsozlHGugJTZLSpuvu0IoQxN6lCiqLsw/jRp6zs0lAzcl+p2Obf2avmLXOJOO9eZe6M4dGICfzU
Dem1kZoqUHT1ggznOtLKZGYPh8iSE/eZkvxQ1LT6TWm8PYdVU2phbE2dlPfb2dy0+dq0cmj3ht4c
q17fXE0W9WU0jJM0ZtStSgS9ROyBr92S73Kzsobal4j00mIV/yAum9kKQuQ6loFCDCXUrw5vZUN8
h977RZSjTufc/r98SubkaMEb4ZRsaeTa/vMpmRPsr6fk3+7/71Oy+i/LVP84e+Iz/+mMrEJohJ0C
lw7DOGZzZjB/npGZwBoWv3GFAF7HefTPMzIZKAyNVFU2bEU2jP+KEfe7OeMvx639ckLWEkspr3Im
BXUxY4fN8Ke5sLxiWY94cjLMo9l5I50eU/jOWJztkKak3JrHZv5819EBV3NR+Cpe4Ukre4PGe8/w
g9qBKjZ/Z4ZkXMyQCSK/7vNChIu4EgjjfUDLKpjME3LDuYGKirwMKk/cZVCWenTV5EbzVw/P8QNl
ShE42QTm+lNH/xfcmNvZQHkfwfPs0av99FL+zXCXFJ3fLlI8J3ABeGkU3bF/DH9/koVdE73W7Crl
OWHRZCMXdI0LH7LcwJNN28wlhoTHB9sJ45X03DTAVjB+ji023ZnfgS7JJyRD6A6ayb1lzHXcOlRQ
SGSTDX+Nzcn1pO35n1l4jHc8ZlmUaqjOhNsOaKPYsRaXblVczgAiiBn0S2t3QynJOqxp4ccwdt3c
8hmiYs0c1yGTnCcWsRLUyvVkt1vW7+oKAFu95hCg/vVoyUwNJFvJ0Bk5mN++2V9cd5AkUZkBecOB
znf+rN9IACku7YZxHTJL8yDdTxmBcj7/v8suit2lc54eK45JBTGTlR/ENRw36Pb8BCDwOZ2gS5hL
sxLu34uDA8Rg5MQG6M4A6vzVrW8IvWDe+EQ3HMB4mtegKVnNumysUaEIVgyIulJ2sXjTau+upysv
QKiBBoM8o751LN3fHs8JZymBHGu0BbW8SOnyG/O1yLlUzOB5MJ/mmfzx4hQXZ5KWU56/gTGNwJOs
eSl4tmFjws/hzP9YQNzhSWaXyaOtGYhxx6ebksxbe2SkiGIZuH685BYYNrwwHPeVJJk6BPQj7lV4
x4efdXRZz2NuUW8zzXcBRL2i5KSFOlY2lmZnBo3P8btqZb9XVlC9EgEMxoZ8XIB4OLpWaDtB7KFT
d813/cCzAFEP+yu/i+RfyQO1gziIfHpG5DNu5dtjfmnWaP+yWTZDD1e9gl1st4zUZ4mF/qrdAq3h
SmW/8wTXzBNoq/SwQ0odz5Lse6hCJZ6RRwszL5+QR2y/88XiMB5AumZAdJp1/5ZPeAx8O/uLr9yf
jxyYigVR2nAbjwiZFbcLRiB3orWd2O/2F5cZvsyYN3NQkIgOODYAO7yGvJu8W2ijfTaB84ugHzpI
UDYs1AF2kcRLkhENni2wb4i7GeYvS0ylJAUNo4u6B0SjLFvBeeGf6DqZxPjKkk6VL6eNnQC2OfuU
P912WPKFEH2IsBT9rHSE8Ed2CPhhihDRmJJ7P7Kn8W5AFeSWgcKV7+t2uLnRBlvZjU8DbrogXiWA
zei2vjoXZg/zYD6YxNdcAcmieHbTVXp+HV7Q7nOnxFgyMUxcQZ25EnvzimXtHNKU6vv+8wdERzqS
QAmYj2Okl+Xhzn/wcMSMpa1fIdoQUodHeiMD9OHRdVtck1jpoe5Ec9QH/C0/GYE5v4/JgeRJoE0G
YcgfoodHL/6jZeYbNBY8oShgQ7slcIM7Uq0KsBDIHdr3gH8GE4RawpxzcN2W5lndX0D0nLptQrQL
0MGC+N4cqwhD4NmPJzQLLnfMjQwEpDEN/PY+s/DpfW0JjtozhRjZ2McmpdslnjZv9qop7A3xJ7qx
7B19SjEv2T2Ph9UdC0r3+QEnsvnkVW/Nddm40Wu01hb6PpozYimOjyMKH7OeRIw3IrSFIKmfE6gR
W9l7/25ho9+De4D4jDHHV8+9+dUS0MQYQdkRYMK7fLTuxjJMUgjljMTpePnUNq/1LGIMqbhD55Lh
J1g9KL+TdbI2WBEmI3NnIL9Xk1Ghv5Jxl+ah7qPm1MkRvHcVYvDxvdjdb0GHvJ7sgdAKq+eWlBWi
XFY2o2j/tu+q45mpzBoLBQkYaEHYUeIuacN4g1SMmRMve4XwnbM3YnHTV1CtXVQylaA0UWbuqrd2
Z/pSYPYvVUH+cZheeZOBSxh8jFCcshRmoXfGi3MhhhYXvspNJ899170/jjwK+4Lsai5PeoVQRd6R
4WORndjJt9HRuu0A2bVx4Oj7JFrnIPidwFw9/ejwfB0Q3up+xWEODw8Tfwyu+DoR7wTjC50La8An
y5GRzhBDPhXLCrhDucJbf1XfCNZk9a+iNiachJVjzVhwdJsTtMF85fR6xWWNRpdHct7d6wvym4E5
yZzJtOdyioDlbm3uLS5Fr68mOvLn3KNqL3TMK+g11st0ZH7cfNOvp9V7vIyuPgtERHM3gn1Se9mx
95TGRMPwztTeUfg9vtSP+GB9tpt/rgV+lD+/Luh+LgVEqfBTKWBpcWKZHaVAKWEJKtZU0GM9cFaP
OUM86AVcKffJ5nY4r5vZ9UPF9yNXKxSZmNi0aiRt4kk6E9OZG7bJFe/h+T8fn07V+dsa7+fj+8Wc
rem3yJR6UaowZ9mwmmqcKebpHPOM2OR0z8J9Pg4s1444JixWM2I9I3gLK8J9hH6Zj+4sQ/s0LJN7
7qeQpxGTeYzkEX9Hj/H4ilKbRKFXHDWYGhbF4vZR/W9HPjIGAf2kasCkcQjyhP+jJsP8bXTz2/1/
6hOoO4GuKzgxZLjRf85uRAuhKRpRi/8v8/EvnYIj88sA2K5Qs/IO+alTMOUfYY9IOf6bLkEXc6Pf
3md/PmzV/GVdHA1G0xe9cw6YxcIEObWbluWHCy8Qzp950ChOA5FudOhKgfMTJaJ56ANRKF5PlY8e
/fiDAkj93ACQgGB46beCYcitlU8JW/k17jw2UDM4hMzR7y7FWt7/iEw6iC8UdecPROL1lPXQ/Kic
KtIBUTfjiheEQBlAEFN8/7F/bil2RFk5QW3Va4Ei78rbeNgPU24kOgwHYz55rI25+T5MUcsd2619
pFipt8oegJvPROaPOobfb/cAfjGSTcct5GPNFZQF6kX7oaxA/Q/oZPCV0/M5ShbsrNBlOXzFrAJd
l6CmF9RBwcp+B6fMIn3p1CLF7JoEYEnbDTUXmEHLxO8wQw+yJE8C0wRrCpjKSKOOwFPoJbhkiH+W
mpANi0t1NSRe85mkp8RildOsm8+ntjhfUZsks2adGbgLH2tEprEbu/i7fCyeviaCYDm/zrqpwPaJ
MgRQYivEk/lpLe/UnbxC9OciPLAW8dF6K/rxOfMl6olF4Cx0OH0GfPp5MjcWTUj1stFVmEuUKHwT
3APFRHn7sQBAeMn+EMUsMP4t+4AlVRilRyKJG4sJgWHxC9UM97LnMSGLywYPDSHk0zXFiOUIwDG2
hy3sew35I8ULPEEqQ/5ROlLM8FPFvgDMoeHg4xf4vG45UBj2n/GLmnHayyf6nh9AlZhAX8TAuKQq
5P10Yb/gvHNYlEs/jooa8cEKV1vI+VyPl/UrxSLHLk//QBw67w4Xo9nN0xYAfAk4X92gWQhqJgRA
kkckPNyw/Tc2YxjZWql1IILnrmkILxGy7/XqDed5FQIWJmKe1R9OSXi/dcAhVxHBRKFz/0CuwKqh
lMG2fUlkTivdNIdQdHd58Ba9DNHETtjv2k9oy8g1mXTdT+lzDzEQROCTvTnK5gVsaF8Qo3ne7pOU
7dgeym5ICgkoYrLV7j4fUxmLC1sbzBVQlPKjPi/9EF1E2LyhyM4Rz19opCqfuZexqafank8aeU28
U2h1d3w4oZPKbz8+v0QR84FGFcJzIW54vtAq8RP+aLrUBbfhLFUXMsnKyEsvgDberif5rfKJhOYz
jUFv062GnTSbcRLgTMEtnETonfmzuDPk0NsEQDR9Me2QFtyZRhQXnLAd4oVKPqoLfjgwaYoiaYaZ
L/mj+/+f1QcqKr42Ugbw2hv/SR8oztq/6gN/uf9P1yJQQIahw9qFxCuWBf/eI3AtYnOhmID49B/5
w39ei+x/yYZMlgljrj+iif+8FvFPYo3gsH/QFMIS/qs9AnuJv7se/f+Hrsni33+qy+yzHA/SI5EC
WqBlQdpqPTZGgjjLDu4LUdcyxefSetIOSULyHqNIwNz48IxdOo+n9Tid48rcGTuNv1cXGfIsUXyC
UqsuuHQBKF2gP3q6jDLURZLuGF38H3fntRy3dm3tJ4ILOdw2OufMcINiRM4ZT/9/0PntLVGyWOf2
lF3yNrXJBruBtdacc4xvsBW5nxYeeFT8c/Fk7mS+qXiTgdC4r9jpW3vMkK+eoA0+Z28ClflEORTo
WZpH98W6CBcitIgx2AZX8+RdEYkMj/FdXGuHmgIJXHiEoF9YFm+o31kFGaTzqHKPI9cZCQog53Ge
jeId5wXUKRlo/F130G+SvmpPcjteOvxcvoWQX0YO1O/KlL3FZIOjtjfm49bheCvpKpK4QJwUdjyq
YNxI+hRjVXumvKU7oG2reJtgtUH9xhgXnxT42FVHsIOyNe9sbeESOwO6IRiK23DJljR4G/D8vJJH
YDC9QTLkaQ2IOzY9NjoIuuYLnH8uSbpaRIv1+3FPY9fYkNxLdwH0P8aspTrrLtB02W6bI90IvsoG
Cm/3QLODnTBfs5M2rNcSfQYaG3wj/6XFBRoho9nAy7NZYoxjxyKAYDMAbxnjAPjL+sSGyo/mcsEC
s3mOmRVb4l7enHtVz8w3LjR4jN7GkICxcxDWp7FYjqi1aSmwZxEGmk67ErSuT3/LGofheXQGGIXs
3Cv3BqYNZ9gMo+ABdFxLZKm34a/YsPjTmXdndi/pOVmysQHrww74oF/Nq7bHVoDms2L0vjLfjX3y
GqGy7895S8bqohZW3isGgWFMz2yPlXVM/FX+Bi6Lzwo9FZyPBi3OI9G0D7RRu3LLfk0tarHRoUCf
U4Aoz9ksfxMvbI2HbAYmTXkefURAj2AP0m4i9XXsOhgzBtP+I9D2ZNZAeFeIg+ueSXviMDNau0gN
5vPAJsW/HE2bhbPB1ahSYytz3AQxTUcI9PqyOjES3ygWgs/xB8pARxj+jkxc7ebhTCLplxIcBQdD
eGfTX/hru0F6ad9o542ZA+bSgqMBroUf0F4Eb2VurDt75UjXpxB3Ni2+FXRwUNqW3aKy2QCJRmPw
Tht2hOg3p/CRS0A5z96KJAX6P1qNfB71eJXITqWqJOzZ7hAxzOp3UPTmPH8anvlaOmU/bU7VKB7k
R9Fd6C8mlF4gvtjO3pKZLiJPGXYYuPmzROuzaQ/OJluP0/KREpTzI9pD/DZuqD7g5mWK4I9ftbLJ
XkR7jBlcwaGrzKGkIh2adB/hFDd7RiBQRybiVNwQaxeccFdrq2zBmK7YRZ3trfslWWzCtH8QWjui
zdbM2gdLHYkeMU5RlATzFmv8048v1qCV2pXFCHDJ18mvvbkj4cafM5OcENY3ua33+ydIH+TwCTvJ
/lHU/J/dM0EIW6oisav92Fj+Xr8xEPm6Z375/n/2TF1hWmDqmmqYGsODX/ZMcH6SBdZe+Q1cPwZg
gSA2DNlg+/xl9m5S01HcKZbCjEj9X2nq/1jC/XzlY4n305bp6UGRC3npILZ0hVl876Yda7JK3qw5
q/CCbLytcSDWHbUe+vR8TaExahf1eiULK4syiNb8u9jaEqARbLIgf2kIYA0DGVVNk1eAhR1nW06/
nyKdUm2GPTSY+G/iRjtysASpidpvJ54sDtElkZ8lWFBjRlOBtVV40rjH0eBhqeJqjJVwRLLI7Y/o
S1yyu4VQjr+jXHLSGW0EX7s7mmTBARJFySBy4Ne3pPZcoQ37wqFptXuON2Q5sm1TtUYzhivOBydU
jgGcUBvxoz9Zy3QZ5SsOAn688v2V5yz5M++XxqRrcSyeRTrez0hfyHG1jsWWiRDdFtyTbBFCbDvA
wnyCyKdpjguxuukLJ6Z2pC3jKVvr4PDGNtBt8lPfAoRRILNV7917u8cfRz8021izZunN00XMWPgQ
SFOzs30VirOIMTx6B2mKdohx1eT1NT/z8Z2dwT6QfQZLcPhRGjJQ0LbtueC0H+B3Z6+FC00CD/Vw
4i9kZEvUjfnyYDjjKcEe9Fn3HnCSEOqLMuVYIWhLDIv12Xzp3tnPR9j9/yTwoHJoSRpf5mR/Ao/Y
ivf+3t6T4zB93RHRThVKPOlq9Jbb4wHAmr/Se7/GFiLWG+8w5YKwaehEmWi3xGcSmw6840xfxhO+
gPyaL3AkCpQzdwcHo4JRzUZOZ1pyxQ3FmIifwb8q7ygvQAr+0Du3J6ZHtB3SmbDhu+QdvQUKFuZN
GELtjUK+9Vv0KGx64u7DsYYgyEGfdinpCIQa+CKKcqRTY+Gk0o6gAOIMJkYYl0SkT/+/aulP3jZl
fyIBFa0EUFnS31EC41s/a1NrmbVkrNiCPoOt1UC5IqIAFd+DME8eBw4JO1d5iiV2AY6p3k7gRAon
v5+rmESFs9uROzUaHqsJXXd9JdK/a9mFyfamjz1peB/4Xcd4dhdfloJbpFgq4VqfiG8anIloMunf
tF0PE0h8Gs7IiE9IMuvRq3k0AEotKQzZnsOFinTxVO5V5q3+hOI5P1cI0sN7j1oefmIAQW40AyDC
KbeI/vN7sqp75sP92Vv4Fxm5jM29P0XAES8DRLthdj7Eyqb84L1bNGjrRnI91kiIQx/hpcfCjg5f
nKNMuKpTr7Sr0cWMaXXinsQPFOxn7K93UuxeXUTO6+gtOxDCheJ6oWy8x+LC2yFIMy0mmJMDsy1h
T/bWKCYeAPRM9vl2WHMIs1/E+ZMDmZza9z6Q2MCg2J68yrZ/JmqWA+YFltOkm7x203omcX8P07vD
qsMNDiKvdhl65zR2tYm02nyCUQJvPunXzik+i7uURnMykV69bOryYGRE1I+EDOy11ghOYRiykGf5
OkCtbGsbhVhacWNdO2GVbM12Wq2EiXznjIw5CHgUPxvTHLAVMHBwklN4OSR+TAp9nUAIakjqaO1u
mGo6hvSPxLn6qBHddCGWz2m/bpD/SACtwmZWjDEHHAS3W8aASBJJT50qT8OxNSberbjJaG2SSfrO
p9VvQG8cs3V+aQ8ZQ66NtU6I5TRnLsHg2S4/BBtFn2if/jtMD+6Y8W57QiGDS5BJEkCtiYRwujzk
lx5FbjXm3ILhZLX2X3HU+POTdIg3YkDp7jzfh5RsYmsqTj5VzvCb94tIfCpEXoZv+kRYwB/H3jys
tKW/lo8SBO/YXvjHAZ3xdjtwzO8/vAtP/by0V8KOzGwOcHkxLZbDg/YqsxlMze1Qz8N0ztvkQqWI
Z6m0Sl+0t6iaGURx849zvBrTAtT7E8jsVGaVmA4wOCBtseqAaGc2fdNejR0jEcgJN07kHmdmCOzB
jMt0puKojOVJM57lqxvM4J3iM3uV6Mz5My7BvyHf4bT2SvhpEU8hlWiAQ+wW1y3nLskuHIHO0JZ/
6hwGauu0XbvGSodcLcESWBXttM93kr5R34LzzSW/3VsYTz75T0sPbOOoRWZ2ujZWFSfmfb4y39z3
AFwSTburcEJnZoGwdkdLppJOEwIzUtvC1M6ZPZxE3rYi6I4j7Fx1l0ay8uZBRhBAw15C3LgKfQ/c
JoMsYnNvCF6FRXCnRVfyUyMYrOxa5azx5jJTRnVaO1hDk3hiAfYy1oO+MwK7tO4qt6c/t9QVpnFD
uA7BXPJxdlNG2h6y7o8yO6s8LY0IZaRpZqrMnH7R71qPIzhbQY9kHHBdfVs1sHfVC2gNfLoUH9o0
Hz4MKVz2ETPWbcaeo91HzkxcI26aBpSDICPYVvb6ReawH6yxrkUvzSefgV4vGCSp/aYsd3GzDmgH
WKSUB5B8zbNyTWePLDfzbhvBf+umzwQkcLIerQokeYIvs6vW/kQ1j+f7ihENwMdkP9j1PPb3mnfo
2TGn1sPI6PfmygP75Vo+tNPZMKNmyOzoRtI1d7YI9a45dzOAVzsTYEGDgK1608uptwTQoapbIYJm
wKNmDwQFkHumOyhkR+6Cb68o9xLlkDx0yyvuRmKx5iXWPSB3G05r8+6thXexqF84EPjLgqdCB1lj
e+/ibGjs7EinGE6382mxqVB3Uu3ZebTqAKQzcKcDQWIxk/2VBcDLJhCBKngKO99dprtXenETVCT1
OtlmwPZUHIMNrWGGWXgCJtWqReBCFS3OZZH/ldfpHk5CTgRRSBX8gMw8DBeaY9NNWDrXkPeM0WIK
PMHHnr7rjH0NyRVFAyNZaiwqqlKC67GvTsptGD/ReQk5Z6wcKdnoGNP5redP6GJwmoAHfMhXkXLK
6HXOYpYgRJMQWJfl1WFBaojyhtAWCrYrnaP+ml/ornKDzJ1X9pVHfVOdMLxbKVXmWB0S3KdNkCrz
+hV32xgKh1o7ndMsBRoiAzRbFv0OXTQ695QSEUlzQZ/Yxu4gRQsuma/Tlx0D8JwNX6QOHfc4EuCo
kPnV6CZscN5w8mWOO0z0ZcDtRNU6iqWbRfxGeQqPAE6RBwvEHklp1L/elsX5Yn00J1OgjCYijhWa
SBjSZYyPOJjUh5YmxPgf7UY5Hr9lHFbgd5JOt+T/UwizUtMa2tD1JepGn96GeHmjumZOfqFijZal
sQBqz48kz41lT0KEzpWPRfwp7OboZvgmlO5cjGZhwBy/4j/Gb+Fj1ZEYN74Wb8n4TtgNZTGOo7dR
qB6/8RtjhIFLDwscPTzH9AN8p6Yf0wDNpRKTO43Qs1vwg8tiltin5aU5DRFhe4UtP/w0WvuDboty
6A+neZTNGmI6pM/6l1mt01SdaWYZwNsVW2vxlq1cwJk3f2nNtTGM4yYerGHZvz2MSg2JWUkM1DOY
m6tilq4cHB5HoCeTniknQKWBssZl2g8+b/IJfvqbi1X+WHr8c7HGF4ezo8qDpopcLG2KKQCdtfuc
70oghhZbHqGb04/JG2OX4tPbO5MnBYiKodt29OzY3ZMnLIXrd15Umqd/f/+MLz3VwCtDt/O5JGhn
HAenvXyNnT3kE6lYwcjHk4kn6SCfwtEHWG1LJl3VNTEW0hbm8jVnVQI2XC/C9fXDOnu06E/5wg2P
/ql8BjJanvqP2H7op9Zi7EPEZANEJ0s9cMBQONJVbKAwBgBasQERC0GqhDnXrGn51K1hK81kzmQY
WmJbBxVzVh9cb1K/CnML59BRfo2DOaQNCeQoPo4ewcYC4FhtTYxn4c66ffYuIESowebto8rZi1An
2kLBWgsWw0e/MW1pRUv31MwZb0xLfGHF1LvOh0cXBlCO3WwVP+izCkS/tG2fn425e4Zrkn5Kx2AH
ix1FzsU/KCuO/6gF+5OSURDiT+3X8cbh8IOwTZhWC3Fp0HnuqI2ZU3Io/hQAISGp3GFpZeugADLZ
GISFe4VTUhvLbM8uB7lzV78Zt3BxTBdFNgU2OcH41D+imTAWzbBSnmUu+jROAG3lJTv7c6j1u2rH
P22luz7MTWfqIcvaxwc2Sey57dxobbar/8s9IJk2jKWMaAWDkfo3M3wVUMKXHtDv3//vHpD0L0Uj
HEob1QEIeBWesX/PTaR/IRcwVOYj6g9fxr+lvvq/GNtrCnGKkBjoRtCX+fcAXyNynVWA9gSBRxpt
oP/NEP93qYhOjNUYgqjo+Dy+hk4kuVNKlaT2JGIwbNBAeShM+Iq9aZy+WYh/W0d0xLMqf4ySBRpe
v3ZVEl90nTQ0+0UViHMRu7OJz+/vLyGNxvhfOzf8eMS5lsrbqQGq+PU1/E6KJNXhlwmla62DMYHe
F0jbLg1wD/fTSFFXNTAhzsiCcfIaBPruobDIQKrY4hDIqCCx/35J8vhr/eWS9C8reiwXRS3x4gu3
PScZUsp67XTYRLSTpZfzYJxUNOYs0YV9Y3Z3rDMbI/ZnZgY2QnntgwdPOzr5KfWvGZox54kMoWUX
AvopzcM3Vzpqun+/UnxHoiyaKtf065snD70mJ7nSLwbaAUaR2wjR2e1QxtKZS8YhAtazhMGUqL4l
oF6Mu4mQIqZmElrMYSxfASLv6FrhC87cc25UEylUp3+/yvET/O0iueuVHxlsivSlXem7Xp0Fddkv
YpTmg49LEg2AS8wF9meZqT7VWUFl+/cXVcY97m+vOj5EPzVJfTf3DVHgVXOaM4VyoWmKvgH7NUg6
99IRYDiQeZuvM+qTbqX0ezhGkz55l3OSZ6tHJd41lNbJwBEbB1MdH1ogrkE7t9xNFOz94qltHjr1
qLYEF+QKo6NH30z/Zyn+r6kAyp8eDkOVx2zW8Q20vmzkTUWCRGRm/ULhCQ/T1yzbNUo7qYbWLpuU
rfFFwI6um/s6F6ANfboMIIee0ZAlbxqJeVnA4ae7pd3GY+yoeDfV7BYozdYZ2GoDMIC1NZmxjUZL
XX0wVeAm7dHhK8awFj11ng3uSsC3lPvf9WzV349NNGt/+tW+3rpF4xQFzpuFwKOdyK8iH5PrE+0h
39Ty1RCC59Bz4aySEx7IjHzCbQ2rNE0FzKI3of10/GQekdIY4UcOwmIaIczL1JsqnUQiDVzpGpvq
ueeMQaKa7xyqgGkrhLleupX0GqTImbX+1ujhkLvnWFQXvXR1jW9SHaQ/PZ+ED+I+QA2mQNr59SbM
VLlzS43Pr3QeSgXaU1bMvITaGG4wOD5sbVPD37vDXa5Jn/DS71ayPz4FP1/Al6cgi/qqC0LeZeeH
roO6PGdeGFBaF6kd5ls/QeQDFgruwrDOEEEVR1dfNz2llUiaQYBmWlGwgYxGMdQdsQY8dLgXSfXg
GvHCUIN5Ua61IZ/WyBQ1kvKoWYt9lBwTYrwSLaHxBY5YD/DaEmBeU7rJVJZ1vSAd2G5bfdtrG081
Ds95N/dzYmZ0YyJrD6l7qkyy4FRIH7k+6QV4b/3NwsPHWiaLHqL/YJox+m0uoUe0arnwtfqS17BJ
YpDQDG8Z5cYACcKLA4Cqs3BYtU+FmG0LfG9SfmnytwI/bqEgWffyeWHJSyB6StWwBBCbgZI4wozs
0nyMQ4b42jRJP1sQYLH8pGQvKWyDuuHcaz4pCXVHfdUjGmtQqmNTh7hMWVttAubfnsSCmmSzVDtV
/aPhIHriXUyNd6d56GkGV+61Yg4teMB6jJrGeb9mI56Y0S0LD23BA6y9qFBmpbvfUSMjxi5qkdw4
YOEuvfR1IgMYNBAXEALgsfw4mL4L9+TD5gnw04lmZZtNu8n7vRgdA+OqA80oOzIU0fkr10gDNCh0
i9ZP4WGI1yJqN1aBttSho+UeOzmFE2yidQ3NY62lO7dj5sgK44EIccVrLqG3YmbhH01pHVY3jTaZ
Ba1lcIN9pp4h1kCllbFG8tZY57CF/+p/dikj3/SzwzyvSaDw6TlRLswa691Ha49siGg6rWNcquGi
kz5IzbQbhMi1u7Gij0yn2G8upcHRG1hmqyJMNoBRPDVgg3KQG3mEjX08FfuovEkjKPoHUX8SoGA2
9bPGB6Jjzg+ql4apftoohLqzvIOWjfydYT1JLZ0stgjHMrd1PJyKHJm0nK8639+3/bDIAEE2AkBE
tVz9fbf64ykIrShhozKuQbaaXxeKWJHk2E/TfuF3h0z7dCzG2e2TqYANbrhUkoscngE/FKepOGBE
1dGZMKF26Vf0XJxxNtGV/f2afvdOjQv0P5f0ZYE2g9QIQjXpF4HzIvHYDQklNybIUD0YVj9JPXnx
9xf8cRD4umX//IpfFqu497qMxZnVsn1t4+7oMphr6k9R32vJXWFoUMXu3PN3ifcp0H9qhHvV+Jiv
lG8OLP9l2f7Pr/5j7/rp7NAXTdroMb96o7bXqHhIEPV4jLe0EAm94dsVrRzXvEsOqUCoUrpY/0YN
PnoJfzu9GJrM4kpVgzvwSwckbjJdF0quQE7KnVYuhGTbBTc3o5mHxy7XQLUSsOnVxirSaZ7XIZrW
m+p9pLU3a5WdJt0U/9GUHmqKXjV7T1RuIhT62ckMXv7+qf2pGEFeNia861zr115DIkeJ0sgRRxQG
vYMfbnMcg2bv0BXsvznT/fGOxAsvahK1Ga7JXx+SjtXE85yAh8QEMQISTOKkK8ShzTIvgQ3Nu28e
AfmbV1S+7N+VrqVx4PDLlUN86ISFmZw6YVd471rw7PcroT9nfbJRg2ZmQPzmNpkrxbNmvXQQtMR4
QMNyL3N0U8mhwCQiVuEiMV50+WSmAyRPzM0KQFs+yL9/JH/on/Hogv7D7w/7D4rAr2+UO+Q90fY+
Z98u2gWJtgv1rRUzxFLhbACdGALAGYKxqEvGLRbjSawChiQuZeUxg6FSWSedeiL2qDBzsoEZf8bw
3nXz05CYVKqCrfggvwHDaTEScOitVYqTSYUQY0DdIfrbdbErDaTQFsrJbN4NMKWOiFhNfcqxKMju
dyvHH89ZAA80KnUkGF+XzyS30qqo2MoSAINYfXryc4VyIwSo0tRwOXRvJakMA/OB1uhXopp/87z+
IfyAd/ynC/iyWLpiFYmixgWo6K0q99YzrO4cLOgWynDl7nJNRRZuGz+euyH5MADBiFnbKWRcipzT
RfruEBknFmCPPnn8++3w54uzRFmmVYC4dGyC/FwKJYOqtYHMyT/F2R+nKjmbwqLGPVYHYGvYSGPO
M2VT2o6cTSJtXZXqsnUlooGUpRoqdiloa3MExikXlZHDN1f3W40z9mAkzA3WmJeKpubXqzOL0CVg
yugIE/A2gc5hCa64wcGphY/rhv1cbJHUqwglBzQsWP/hCkwbYd9pyOscwAMK8sT4u/dM+/NlGTSX
ftA11S+PvhrKlhL7XJYTDQ96rR551qYVzmDSGrwQWv5zB9jMDc+l/DASEghADjh2miBkERaqdyN/
FUWyt/NuCTxg4iX3FA8dOrFaeLTAN8XNxnORrIMIvgl6TwjTXEoe3BaZ44vpYDP1yePMdhXg/oQM
hEF6ypRjkd8V6dET+FxQ3/Q5yQqMOJ14a3gR6YuMJHipMgpxjC71FtRL582l6jUhdzpxXwv5qUN8
WZTuvHU/YmAFXoQYNVl35jnFWpmqaBDhFUv61G2URdJdAiubmuB7dAR9sgehDMh3Wq5qBTocA0pr
+Kwqch2EvWYdOx9C5pPhN8QwfHbUWF0CnU8Tp55xUbuPkmjQ0JBexUJbBK63syqCF/iU83Qn5ngB
hYvaEO8DfLllEmoqj4lb4rDjQE4wges+Rpk0FbsUJhmEJflTarZaHU0JcwytcF0zkCsJnm4cLKIM
rbp46vvY+iKA9G65LpiSaoDESgicpirMWilHhoIqtGXUE6MNKnF1eMGy9JOpJ2V0Tx5rjJkWIPAE
e0JkerCSP2qLXdZCsiG5DN3OOlohulSE38KxVh59Jz8K7odj+uhd739/RsZm46/HgfEZkSXFAP9o
sc1+uRm7MjBqnmzGLzpDNhmmyeCBP1PFjZ7efY8F2WreBbcjTQcmdLcwJXOWFdrKKhIO+udIBB+s
DsCVfeUu6XuXQ26mMY+lhrFwS9SD+ZEFJlT1dBrJxcWKlZmRqUtXfjM97ZsH/seT88sx79df5mv7
MiyrrnOl8ckC1NE1JeEBwk7NPzT1UDM2UyBlx5CFYiXijmQgCg1t3FMS5dVP3kktVmKa7pkKy8MN
1gWsbdN6jUiU0MIHk48oIOcx7rQ1Xt4sfk8kZ2Y1eNNp5LQQluv6UOblobdgWhnOMlekrYMsNdJV
QtTrnFFY8eBha/77Byj/+QNE22+gnVcJqPl1kRv0IO4cVSWpj5ZtAjUvpM4qkP66MRIUzDgR/YFL
xPbpMeoqwFapLyHP8tiAkfvm4Gh0nZCfCoSsP3OvfHPiVf7Lh/KfCzTGk9BPR94iUAUtrJVu4cbD
TEEx1LfgRRSUC0ZprrTOm8rRqmSr6rIGae3J6p6E/hhDeIgdkknqW9iakW2aik10RxK/+GI+K0Vo
ZNW1goWnWPuSjAY+jBh8Ae+v5rz2+tmhV5O5NQmoI+1rlgq70LsP+czK6p0qPInpUWmWgv6oRG9N
+llpR6lcVNLUHyf8/k4pn2PhwTC3Fe9UKOMx3ybC0bWujnSKtUU2XCNaRnqw7WIcUzIM2uqB7XHi
gLVItaVSn4zsBUAx8ezVpxH60GuSaWGsPGBqpn8Jk4EL2w5IdAaZYxCNN1WpVxrn8olHilw5K9p9
Li265iqgbCoXevIh92BB/UNSBqtY5Ek1KVOGYBGxcFrMiOv4WKLidmYDHhnIuMoty1aCdYida030
GF3Ymgg1A0lPuPLUZQMIvZmZ6SEvpWmv4QOjWTCeFdQ4mVoRKsfWX8QNew4yMClLIYGLS82ASq/C
sB92kHBsTW4WUoAagd5aGXxKESQlt5/6lBJmd5BQQinEinY5/jrhGRyNFxw1mMUeo2UDDb5IwglV
t1bffG+r6iso8lY3H9H1ZraQikXQrBrlRes2VnwqjUsYb1yW8E5+T5QXERygvgqKVeycZfjO8h2h
D3pIt98Dag31JzOP7ax6iKOzUx0r1nvSyu2gOPWQ4fp3LduI1mdKXAJNKj3dRdmjGo62vReZUkNH
4tIOl54IAqVFGsYY3uugEJE+hGaG8B6/e4zj11xehoj9QoPD4DQR6QzWk9qnZUQuUHgieNlF/tDk
57h6krpTYtIAQKcmo01ASCHOPH+te9i46l3ZQ0RqFhXREXS04C4OtDvKltvh1pv4ofi3uvQxJLIW
oVsGYzV5D8P3gv6GA9wAutD4m1pQC3z2XZEBbJKeYGDGBCW2VwcsXvxAEypOnlUCZmRuMbE2SNFg
wKHMDXWhyB+QmsQOU3pz8qpLXKHx6HNbxSZQu++5sgiitaceNGEr45ZsoB546J6OLYJ4cKBSSVSn
l88G/tpa+e5S8t4TF7iTni8shwdmn2F9JgoubFZ6sW8APDQqkh9qRu8oB9UkEWYDOgStbmfyyCBB
WuW5xFoEySEJyLOU1sjWhfQt55DinGvnSqcF/EEDrbLoVpJJmK1MEt5gZxFCY1xpdxchgtUEW9kn
GaQm2gfubPJoKMQg4a7QXGkludJcxMOuS+3y7+ux8lvV+mMPgpnOWMuQrR8V1E/LnVe3Qqo5cofK
KFmIhLYJdDLzi5XiaCxfgnGHR9UhKBB+aSMJoTDLQwAFFYID9cP0UnpU2wasHk2BrBEmDvVcAxs8
ajZFd5eQgFZyARkY3nIDucJS7r1zS4zezuV8l+MH6R1tpqbRPEPr+vdf7c8rOadWSRMZqzFc+3Ul
F5tCK8RO7BZ1Wy08g7NBI9nWoC406U2P8UWmlwHyTWMYtqql89AjaKtqlj3NtCJ7d/QdUJrceku8
Xa1KaFAf6iKdNt3NcN+S7FwEDwM80rTfMDi0zaFAM1zbeo8pFrOmjEC26/aKSUkz4Jc3moliXnVi
tsbqBm7aN/vqb6Ol8WP86XcdD/E/fYyK4emWEw7dQtTjdUXmVB6w+EjDxqMrIDnsHTKdUQU659/f
ZPmP949iapqIPY4GzZeSinZIrEA+6xBdyQfPI4kxTNg2eQ5SBhpoCeVDBEmkaLehMd7wLCYtI8Lk
uSzSlRrSZ6yoRbVqljTO0ov9i9Gm06HNbClG8kr1nCgYbHX/mz7jt9f95RySuGqD6orr9gmmKh1k
skgmOIYEkmKHTrpoE2nWJC66DhUpg1OKayF4VJSbSQSexFtpeC5yaE/eB8mbKx7d7sExn3IDKIUc
TzzibpIQWKzSFJu/v+Hj7Pz3E/A/b/jXKtGgGcGzzIVbsXHqyvhdNuqVUQG8id9FJ1tXyosEFiQa
mmkWPqr950DYdQwxuidIbJxpIRljWQ8GZhyA9GJXnOXEYuRUdCplWmkQp1Ijj+2ku+nyvxTq9YCm
TtGmjgzzIniWo0dfCedu+ugmhPowLvHIlQIn7oxiX5POoPnhJDz5JagflscGLbskyBipjLtRy1vP
i2ey0C5K6V4bZyUQd7n04XfLrnh01H2lf0DvguMdLtyM5Q9fUWU48KlQ3iBIr2q2bGJGDQezQIv3
3ESU3JuTSKYm4TQUR2wHdPzD4Fn1LtGQ2FpDyICwSnnuUk1eBah/MrmZqzEnk+E1JRyqFyahgswN
WE9WOrbAAa9IvukO/i5F+vGE/udBMb48oZ2ei1GjtcjOIEoxjZOsq4rv1+S+M4yb76OHqlImLfUs
oTH195vmx3jtt0oD3oKqow6BpTkuHz8tD1bUp4ISjjcN8UxGeNNyDH7GAImIdLyBbZ2GTalTfJJC
VPX1vHG1ZQW50mX4UbMutuQDjRPINNMWLORzk/RktybPK7O+WVAk5c8X+4+WxfryTllNq2lllrAl
QQBzir2IuFFykEJTKxvyu6Y5Cy+71kY9rdQlZNCdKK/qLF8rxkvVCvJSi0mUMSWmXrkXJytVI6om
paxHfdwTRgcEvKnB9FvVozNS8TNHoKZGDBUVM2fsoUeCUa6NBqWSgY070foHn+C4xkOWKMQKjGqP
A0sIkZrEytRynppSWdWtaVd5uldkhBu9606NxnnTKvqgfVU/xxZH61w91zV6ZniRHiZ2KMCude81
/TOCTlQKhnOpAmGqZQ9VzhIC8nOeGLljx4VAElbr1etAezHajBj44cwqMGF/e1BNzd+knTHxBcTo
Ice+QV+WPaltJSd3rKZ4uo4W0Y+Gpd4j/HYVw2665vms6qVLEFc5lqfnvhlTBtBSyZWLCYdsNY0I
x8Z1wHmX3VgJBxfGiYzLUj0VyCbU1W3jWMu6SND6a+jACv6c6I2Pw9jshbka0SkufOWG0PoUjSK4
XJrX1UdUP1aEeDaIDTh9JvWujzZ13C407SWR3x0+NgHkemeWfDrcbPlGykhflIedVF8TcRTKrbCG
9CjVE0TEoUHQWHFX+mOvOOi0N2JxL0EB6xItZZSy3jAJCBczSqYjJxEPryYLkxSROtRI1oqBrgu0
rARqjPZqJbMW2YNZc9CLWB41BK4Jgn85NOYKNZnOsqIg1etVayeZzyibps5YdhjuBD1B0ZESDSWw
7XUCrbWVx7EpDV5q80GsUTlL9z55LZsb12AHwsHyj7kyz+hEVDX6uP45cOEmCdtaOGfhizy2iNVr
k7A9atHSpcIMWIYL6A8laDPXmyk18UPhSXF2Au4VgZoFv3OexKsc2qEUrugsR8KuCw0qoX1JtFLn
AzSSaMYFD24e2rooTFqz5cS9ErplVF0Eq2QtfczIcXE7DDQIGQuDK+NM5wW5nVuQp2g2BYY/lYNn
9pJBx1CdHOrmwMrvGYvY3/bVtbRwqXo7Sj1Ii7tYPqAVmnSDSO4bJ6qGdbygf0GosHVugdDJzrlT
cGpF7y5DkjhDZG9exvO+xXDJ4R3UnUMGCoKmu68QBKHkExZmIVpkHBsTugbe/+PuPHacx7It/SqN
nvOC3gx6IlGU91IoIiaEwtF7z6fvj1morsw/szNxpxeoKhTiDyOJ5Dn77L3Wt8LXkrZ707/6mbYW
gnGWFksFx3gpx1SqdtW8M4T2uUQF5WvsnfTwYGqfhhqzcXOmJwyyJYU3IP1cOXt4s7uJouJfqnov
E14odgiyOfzJ48OsifduhLlMY6mQrjIZ1zXxjW5F0IaQ3auemLvU2yamyckjZYJq2Gam3sKasGgf
iocbrKixDwp+CQKHmGHBUoU+4ka3QT+K+k3GnRLpeKtwIntkWvbCKZQdWuORBG1dbrdujRYM35g0
MhNvTmGxB6wz04RoobGVqF5yqLVXSVrXUmj3/tMA3l8LBECC6qi+y2l0XA52Fz86rSGMGWJFWnJ5
ZcZUh45bWdN8u5ZPY9esBrNaxRVWbz6a3viKQm9XYWqUiUwWo3nAuFip9Z8m+OiKdtcOqO4D3/GR
f0vJjxVXu3G893TkehHjdIqimnxCE++2YO49GiBsN14G/ZakU1w1XRQ7qSasiuoitqdcTC9qkyxF
Hj1V9OwhWOXmT8GNOVolN3G494R623pw8zWdQpv9fkDtHYH5Srq5Unz6busYSeMEPggY11+6LB7W
1HEmaECOPruCuwwpbpffEwBR+TPNP0yWkKJ4k1Idmi3X6iXv3lKRAHWcacYIf0rcJRyxh5SM8L1L
sJ3EUCjD/Fkse9yKQIdmSts6svQe0B4s+r3L8qpjYuxrxh1Gs+wLCUHOHbG6hSEN6dosCSzcOhg7
6r1K+gDLa6W+K+5RbQ8+dY6MUzAKXyz5zcQU0LNdm3hK8pDgPwphFd+3t5FLNAPBUi9fMmI7Klr/
esNxJslfeMq2EW5/bqZtpuOsL4O1HIszHbli7m5V8ZIx1tJL3PJRMe8C7lNpp6iHxsRRbby1+XdN
N7vUgNJVnNc90clpIKh0hCT4DnV0rr2PqNkHcrmPAviSR0VrmdsV2MFBn5aEYShf+fDVjzz7Dfmv
iIqYThoQ/vwGI18+awkM0dc6O1SgvnuRE5traNkiWoomPUlFNdeNl6pnl8YwpkUjPM9xJmW4ykqu
FTw7vyLiBDRSpthFhw3S+/TjO60ynKV6+mzJFPDbi+fKC4HEN06p7KGEPjfLkuIlz3sb6nsxiahJ
EsgUUieo7VWdpyTVF+CHZxFNMb3fN/1DKbJVh79NSM/TcmIRQyLhf3eDn8g17I4Y3wAvUkKjqqMr
lCRoK2rAcVS8qfCUlc/S4sr17lZoWn7PqUfM6VafXnCMycFhY2zIq1DRaVA3xPKb3r80DWz9bO23
jzFKnFbASMZ9ZIoXXXkPxm+F/omMC7khtgkufqUQjHEUsSrF37336NxNV5OuM7DwQcFokm912NXR
e5ev0xKrVp6s+/RDdY9aT/zD3jTe9fTgC/iSJazKHYfU4TIwrjbgHdTFuOQCasJPBFZC+ByTzyLb
ZK220MSrm1eLJJS3ohegCCLUXiOcmJQikJFavg+QfA/JV0iDJmQC0cQ7LYTXFENCsGg0EYcwEAJd
8TmjQ0pRcnfxuAzcK/t/jBRRftGA6Nayzh1DyBWWoKY05wJA2lixGLOaaHmgOnarqRTtyfAKQqY2
hN1Y0Dlp+ik0GhNaYMFIGlguowpQror+8BkHDSi9akRccvod+jvfBLeZHyghof8lJyVW9gWd3tpf
y9VPg9donCr0xr8p214ct02+LYN3iV1aTL4sleBXWjSB1s2qmhgB/GGoRTN91XB88mRSlcrDAB2w
oLmqdsUl9p5NfnEzboV9Sqph8WLwL2m/UsW9pD2YX8yK6KDXF1lZj+ySftFvquBTyV/lemmaFy3c
jBy85OThx/uyOND2yjFH1gV+Pa45791Uz5m+E/3XDgdbJa0TzEUtOTnlc6T5HNKeE3yON8Y2YtYg
5MeSlYXZDe2/PSIDUEjmTo0T2+t3lffhSm/+1JCVFlJ1dtt1VeLVynDOl818xEyql1tNXacZDsQO
ADyWrHInZ3u/OhvyrRDQCZ/1flXTjay7Q9vEQEsLiLmocbvuWHOq7ifLXs+5I9bXvQ6hcfx0kS93
AZsZOMwIraI8662fimd8hP7lrnWVtqdBtnSI51lhBdaevXtQsM2ORuN0lAtsRI6sDU5HInZSW2sr
AhKDJpJKb2bisIU+rPTnRngKjPGz1NFc7E5TFintGt1F2GY+rfzuhc8e3RTpo5V1bCCwe5WdevSF
xR8VK5VlQEOhB24Ij5gPvgTIVUu3UHvIwU4scVUca+Uxxnu9OIQ06zxyc5FneNUlQQKoGvc6eaQT
ZT0hbIno3mnSzfCxv4qcPQPvYIJ9LHk6adRzifAwYySOZXcTUV8BLzTTo2Buu4GPFrYGbU0LDpun
2ZWCOopze4BrMujsqHh4yT1ryPfCwdQQYCtllT1Oj0Aqb9JEWMuRt2TjmktGcS4lklhH9zWCnGLQ
8msRnKnKXab66KTWDqxPvxGvZTW8lfQFpppHAj4KNkERPpMsWdcmRGSRiVPcb8V0mLWxZ+elAtRZ
BZpLrCyTSYM9U/BqpyhVDHPtms7QxtTXhob7+d4yF1Ai2EQsPlFKJFh08lKB10bSdPgcvaeinvrx
JfG4Pbtouo6pt6sZxlSsR7F2KLJlGEUnURnoWjKT0eWD7nYLKSOJBi9ngs+t6at1RRbyqKsoF6WL
WGmLBLJxg7dQJTBm7II39MwLvSWcu+bBBjdiDM9hhJvwUaKJG2v+eH6l1TMdfGnab5ThmlEzV+Kz
xvpYBhgIB2qNsN1MJX7psYjVRBAnP/6A+5oh3Si/5OaCiCmTSzSwxQ8Efve0Ud5K8zjQnCEbr8P7
zDasx+9Dz1OlvAjma1vsFAC6GNkbcPYMVlNFJSGQSEVhY44bkrNSPWe05DlKFdDpePFl4Vn6zlAF
j4r5r9upa8O/IlGlAoN+6p/leJ8Q31ahY3Obecb9mNHFTIUrR2ETKp0w7zublq1YQqaZ2udVtc2J
RVUeg3TQta2Y3BICiswd1XlDq4iDqFQ/DCSLSuiosNei1KRa/Ow5SHQAGorxOCA04ZW20lWrv7qg
WAjicRDxvUqbMTxYDAGwjxMHl5bHQNwa0WJAW2etdH0fmYgi2cg9D4Qxmzjj+HgvWASw1p+0stlC
MsTgxJvBWKaWEA6BJNm1UK0685JIPKL6wWBtxLmnV6JTuGc1rxcVB4KmvEbUqvkukZ6ims8Ff5EZ
BfbVTWq+xZT3PlOPyGBQH+5zykkk4JAB/cUwcsyFI8i/jNa91YlQQGOTzwGl0FT66hk6d8Z0ZleX
OiwDfJgEzfflNiwfGlFWxBn5/Vrw7717MThTdOIdL2FYI9omGy08VoQ2myquxHMZH5Cp9e5Ta7fJ
CH4IglNZOzEu3vBbpr2FFt1KHblEP1E6hbrp4OTF1qcsGHbYPGjAekT8eaB4JxKGL55FGnBSvSbk
T9b9ZcfIIRcFDs2PkKNyUpFBBp0hLDTHrzZCu9Lw4A+kTrWvBjyGAbJAM68tojhslIeS4PQcvyUK
qy2kBBPihr5xTVs05mW9pQuS1Kt0Kv1u5ExQ09TWymvswbB95MPFWgps0VvJ0HPzJVJwjxnTeHH7
mwGggeW56s7RZ1OsayKTlF0V3kBzGAxo6sVQMqJGQ+uBrLjqk4xCZ6+JMKm+uCQWh4s83KUFLj4I
I7ZIZLZma8y+GqT0m05fjs06JJ+NkI0gKW+x5zoySSPdiHNbKZeDf0D2jUzddvnNQ7Z11Y1SvcbI
uaGZZOWlF7JdovyjYOpP8n/6grosThE1qqKi+/lja466rtfpnTOlqEy7ABko+kSaZZmDDDtQUWNL
PBBo64L2H7QUf9kC/89fln8VxxVdreeQehBJpFsElQugu47qnydpdGMGy4IBveZWtmK8CSMoi/KO
Y1yl99AilLAGDL9QnFTiMQft5nuXqEYaow126nOGJXNEqL1l2Lz9QyPzr+QDOqMqDGT6BPL7RdDX
Gkw8K4FGJrNhZtc921b5FtK5qYRDPmKlEQY6WvCahxt2Kto4bwZ2Qg6CNXd8SHMuSWDZK8miRf0S
qXSH0svfv0TpN/Xlr83W371GeXoPv2u2yqIXRYbHLCYxYFhCwYmY/1Z6cawSKg8AB62AzMYcc/AB
Jl0uqPysVQXOn5YGuuidE2at+XueYBVPwbQOb9Go7LypuqwymilvJRfAMPHZYr4SJchxPnz9hj4W
8NcBY7cAi06N1sOoOF4Cuh4hj9IfXEbVLNDkwHDmUdDNph16F/IMTIujyZ1Rgl0OPOVBs9QUhXLA
I2TovTen/D5m4kyuUcn3IjcHa5jJmiqKZGjQY9S9D4WUPs/HYRW1D3oWSB9HwKaMwDp5nsFJr3po
X3mz1BEKi9q1qsCD1NkupbMrQKJnFGN71Ytn5iuzeCk09H9WTn2MCEGuWCze9bqn36bS7qMIIpyh
ueXCvY3OEkZtq4kAdeN96QoOOgB0RYsJs0wd2NuFfsnFe91+RArd/162C+k5GD+u0ENL+Clq2VHI
6JAFTifJearErWSdyQTC9z+j+Q/P25/F1NOTrgBDVg1ok8TU/vG+iCKNY6fX/ktZwg3UzKZFWzST
vRXy3FBh+la6ytLhrI0daY3eygVV/fd3558VsX98EeYvL0Kq9DyOiLZdpnpv10oDDSR2PGwSiShy
LUo7YE9tkXYrcrcewJe6lbeFDbYuC8Ak2LdNn45zSfNKPZQesHBagWVFwoQnwn7/DGku6RT09d5q
dpoQLwTpvafVqvjcg9QKES6xuDzBoZ6LtHrRXu6alA2zepRisNZz6Z/GLobMp/qnpxH/Kp87M0pc
BX/81K0sd+PCK6EVlCVTUfLjv7rBWtfQPdTOW5j02hlBkSx0RESmIbCQVbI5QzrDJg+cgaFNehcx
smT0F3Phu+aj0jMquii13Z5I645HWUsWrs8JOq/thprHzX0CMdnNqW35xMKSB0KnS6YGjmi2IKGh
LAN6VGkypUSsqmDDVIAnBHpkhABwEZw40BAPPrrcQjVyy6SBw5m3jsUGzRcPXDsAPyFNkqKzJ+C3
JHHCRdNGESHnP13/atSjXRgWY5t+Y+EIT43u1WjlWZj7KylEa4WnVNM7m+b+zK/0WQAorD0Lxo/v
v2nts1OvrYr1LTPnSn/T0GG1wjvNIoKvcZ4q+lqNW8LFzAR6FHk31b1wvxv/SW8kLfrZDCvVssuP
xig7GZCZsfwp5Nou3V0Q70wB+WoE6RKtVMrqh2pyHtAKnUQakyQzDZKF2Etgmu+hj4+JoWJLbdJx
1KzvsRk7lv7SMZ6sp2c1pxClsg2ySxLDrQAfJNLaVpWaBsEj4AieykeUckVxMkYfMozLVNdbFqa8
DQV+XNnKhAIJtTAzKAFbr+VY5S5UoFZp9w36uVOrIybmWVqTbo4IVYiDeWOGM0ml+osq9sGvlFNX
3acLMrictjXtkK5mTIkSD6siQsCLqKjjN4TGP03J/moKrP/urp7u+t/tMZVrpEIkVsz7hW42tsyu
42mo1HC8j6e+Km6AahZI18q6tSIn5sBbCHIxC5FbTVLIv19UzL9+NWQ66aqsEuD0y3hx8AnUzuWC
lU31L6oJLE7/8blRQ+iu44iHyVr2zGbTnikYFAMv//baL2wljo7ar6QWdFPkUNBb1a0vhjcBYo9l
MQjQ/Qfi+W0tcDJN/L3qga7A6OVLzVkM1FPTyRvLvPec0VQVaf4QbTKSaxu9W8lUrSI5ymNufoSI
3iIyTBGKcKBGSphb29SFkFabnOXJ1Si0WY5rSI5aKtTUqep2aUbv015ZwV/V823hbSyKQk/Rlmps
LkUfC6VKRFkKgdb7MAIFbSmpzYhnMvhyRrYKq85RFd82sdS5NTIxdOUKGCEB3Y/hkWatgHWTrrGs
kgmCPAkdZKanztD/w3L/22D3z6vf/7syv+lpf3efeJnedgzt4IsWhFjG1TZF5ZWU9Mlaywm8S9Ed
JZ7vDL073gf45fcIe1VdI3IoPOw9Fy9/HWSOnqHjI63TTDQyoId1+jaBFS4lHdrceDRi2Q6Gj26M
l7UJwL79xg3IoZeJhmGi8wLkQht4jF6R5NlW+R2LyTE1K1vz0TUhCxlhu48MTCI+QhFWWvXtu9G6
J/1Q96OF2TIdZOTjnyLsrVXpUv5DseeqMya26bFAfWkQ7ZmLiouiioeuZKlTchbajnWS42HrzYdp
hOPXm4gWZYpHuIP9WrF+G9qpzk0Mnii7EuUf1FV/veXjPJEgSAO+/FXtaoVFaMY9m4+O4tY11K0B
fdHrSdJxkVQwAVTwkYT9rXLjcxVYy2gw/iV0+R8LMpVwQJD+oUMIFVlm/h5kijnwV5DpLz//b4gF
hO9/CKKAIkFZJpsSv/TfHAsI3xzJ4FgoijRdRWqHf3MsjP+ysMVNeacaOnTyM/47HAuYFb9WKRIt
gv+8de2XKiVOyHMsU+DfE0texoc8Qewmyf1EdSSbwpgCwNDdcDPHELBs8V2T5zhox+t4RSVBWyxy
+MeXalMXNgTt/khOmLEjm4JkCe/BN3MGR8zK9vgbA78/VpvxyvLMF2ui366/YSLzT4b6xpyf4mu5
Pf3Vq7oPd9JR3+v7fW0hd5tpx612NDy7Ib5CXbSfIAKO/npb2hNE3L2b9xcI4gPDjxlwu9+iLKRr
e/ogjW3GkX7KjWjERR5fiJFD7oLjdKnWDslbAAdrp7ko2s59Acg9pjcWSVjWCkl8zSXaYlolSg2X
oU6DZG5thz2DoA86HWCxyXl+IzGGTy3aVlBA4YGGzZkJXXeS76kNlRRB8Tv9km8ONytDXhRnkU08
twV9n6cTo6f51iTExrb0IFV+j8Sx+C74ji2MwmKnH41vMn3sT1KjbLqpm2xXQ4k0juqyd4i6nr2/
Hz8C0mfGGRN+Z1xhRMjuPmcVp1+5SAtJTRdoKNioxN4m5iNf36YFear2v77YLhJGcv2c+C3I4+Rx
BZuEFvG+Ic1m6WtraRXR9J9JW2SoAJYXxZJNnP9P6F0BcXsWKI7K0BFEwKzbZxu6Qsx18mZmEBdn
FxvOg18TPh370FKfK7tkUWwYmRAXwscp7vmSPf2vAQsURKr5hCgOVzxaSTc6j1w0l5zmc3ch7g11
TLAkgu0JLIIwE2aDmApm1KtLyUHMCWUtGdY0bCpxHoCYIPQAIroJ/BBMxAXUAjfAXLqRsoJ4hKC1
ZMWYi40e60Oz0HYZnbhn8+bu1DV9yHBuLQT+CyPcltcgwPGouE4VP3FkBaF96Gy0NuKysDatuIFR
3uDZojdEbY54kLgRO/mUeOFfGvFMGTM6d66G0moY9ml/qDYTk35G+KkwO2NiBeBF2V1CIsByU8/K
fnZNz20/g2IUkJlFfhsh5B7zCviUD06tHIyq9IUUGKeCokRi2Qzt+pOBJq4M4L5S9SScIrROVu0Y
HgPfmJSrm7KsUL0s4Jr9BlCzvtGVgOTggctfERqALeP/o7ZtjoDL4HSB/0aYM1zdbfBKYgdUNi05
gHxT7YDMkO5EYJ1BXtWBkHGFD7/e6/6UH9dle5TR4hIAXM2O46+Z/XLfemuxk+Yc2chSExfaHeZZ
d0QULTIV2MbJlpRrfsKF9UbvCZJ3voSWrjKRdd/ET054/dx/jkuMCWv3qGyCU3QawRsiHiBfayKJ
E8P+zcghvyjzNzSGr9Pl4BZ467Co5kszWCjVNx8HYwTzUREsgoKfCLt0RbqtE79LewlW2GqCyvXI
RqfxzMKVLyitOdVErxh+KNI8gsUYpW8K4cwHV7xxjdVgwYfqxXO4nzkTTgeQHF+mWuMzhN8ONp6R
JraLhS+vTHWTfgLXtVryDlniwFuJ74QhVuVuUPaV4XT9giuL85yPmq74J+jd4EezVQViL3hfbNjk
I7KiKje05RIPh/dwv3/bxf6nbthT/AU7pGaYE3rqnzZsvuGXDfvXn//Phm2KwJ2m88TEXTKoBf5N
nSJjdjrMq5IIkFzmH363XUsi7CvQUwpNFpm/9rvtWiFRxCJYRJZVWkD/re36Tz0FCQcpf1vSKBeo
AH5RludhN4YjComldAQ+/Drppph/AC37lOyPChrhdx/diugk5Bsro/+/lL010m+NTrs6QwKqVNsh
tOmcCC8awEq4ufhLHJSzWU79apNJPxvv6XdAjCk7BBa1CLDqogWHimLgA/9G0TFDjWipMby/aUiq
vH840v0Fh2F6i5auTYUPjalf3mJUa2bjlbxFhg8pD+u4QrOeHJg0hlg3BmMHAdP9qN/LyAYMZZzc
g3z43d1x+tch5X+lGH2ygBP0//nfkj79jT8cXqaP2SD2XSLb3UBK/sdDbpEGxuhJhbAEWIzZ6RX4
AC2JGJSsAQ582ZHhkKLsmaW3KSgFmcOeJ3xN0oBoABEFQ4eU5smVqZ7tqVGc1G53CIVm4dxDlQmJ
09ZNh6PbmlnTu8aYahZQR9AqvnZjiwjmqYLXdb1x3pHt/ci7A+MhRV4YbLN5uVQppWAJWDP9Kpwx
Q/Yv4dZjsmZ56y7FZ/60VGwc50y7u1NCarw0nWe1IwccRBHzp4r49ScaZqllG+y/yqv2YACDPbMX
55xhA17AMy1JiUBaZTas4leLXRLdNZqkmfYNBVo7IzufDJhs+Qr7m0G8XRR9jyS+LPrK1o2tC8c1
X7rj0lUwC7+7bxIIVSSEC/GKuWwz7CZjwqE+F/patlaWdIQYSRSiRGb60nuTzVUrsz0xHmFgs6Jt
zhqbb5i/ay81mXp20DkdM8QuOqIrRyJesFmHdrg3F19/fyfof5qRTDcCcUA6EmaRm/KXrr8pVGoy
IqxZBj8M1s7DT/VMza8keCW9jRQzdbyb8J/Tm+w9UrRfhRMQLPUcvidVCu29A2C4q3YOn96p25kO
SRcQ6Idpqnxv+8VwE5YDnbpNZ4O6tbuv4cqFeAxbhF/yg33GMJnfTU6VWfTVHsyHvBLW3jG8J4+/
f5uKNVX5f7rhTcUQFTwjKieCP97w8mBqqSTwPnNbO5Kuoy+DdFELG9enEplDiWnNdcFDL+MeIjAX
25FQz5JzEdnoAqGH6QXyJYtuq26T2dXnS7/fWcZNEF4l/Zy3Lx1yjn1xkdvLK9ucKh9psCTWSQiQ
Wc8ZqlQ8A3p1MImmyfeihhwfdC2XH6o+7fFV8O4V8LMZbyc0IMX9CAcpnXdv4ChNtLMQlhmnF8Va
zd4b6SqmTv1Bkeg0z9HxDkgNYDD/EIvFdFm7TWKT4ZJshdWAK9muDvgDDsU77wP2cxIepPCMaGlE
Yi1+aYc1hBpayjB+nsRHG45P1vTIEQR8Zjzr0X+sLUenBXhEiXPrP4J9APoczYOE+8Td8lQtmQ11
0SmVF6U4Sx/ujTt8BthzK+1CnNV4FTYIBhfCmoTUM8UD5PCNdVLWyroVgUEfhaPmVKS7LK3uxPMP
7n7OmSaYAU62rXm9yReVI56ivXeOzgNeYnEWMw6jRv/UdjjQN93L5J2oVvJ8WKjEh5M09JCguFoF
nFyktd3S1Wfyvbn3HwKtyJn41ZYXD4a4NytP4qLc9U5DaY3GDuT1vPkZv8x7DHANRkGzMl+SDXaf
EknZtYkXVXAVMYAc261uHBnUnwAvNxfJgZm9CxjVLMh52gQXDzGLnWMCbd4p3+voCfJKBekighBZ
ybh3MGKwIgYEI4tEBc3cnxCGd7ZwzVPrv9fuZ08czBFtB7x29SS/Ad9H0NYw/fd+in2NMldy34Qc
TjUIaPEeES630XVHMldx6jA+XojKTJ1Ze9BVefBauq+0ikRrJZlbV1ulBmkBC4V8hdQuilVSMFBe
Ug/61UlvHqb+4nc7PbnLKKki6WpIkIs0vCePkDMfyGMGbYpH5209uOugWflw7YOlYkJ3n4byS6pd
qdgq0ioFv51LK8ijg5Nn11xgQnThOlIvf4mX+E1pSItlGcQtaYusn8TpFocyXoGcK7NrHO6JdyXA
vTygLSU4tvuyIN+KZJD7KwMQciCuOyleRc0JUgqWYcSpyMB2U7aGtBge6Xz44Mm23sJ7uC9W1m08
mYtmppykfzWB/r/4PFWdXMt/Xln+X6X2J/dJL2uVOSTCst6NqKvA2xZL9Q0iPBJyK4cD4FRI7nxH
qA9iSBYFkod2H0R2XaHkcyJzweAcH66AqqVbeRMDJZ0TV9uuxUkn3L0ozQmlj6M4SEV794ikbZs1
WIWXdErn07QzvSbAddU5Is7o4p/8NTmZNnDvWXTVV3dVPomVbW7l7VUwFuqFtIwTEQXv0mdOssGu
026cR8ddeUN5dETvQOqssE5AM4NcT7NrIpIomDnxObhq7Mmr9o2WJqQ0kh4OtDCZmHDdDemQnupd
cMh33qVci4sJCfhE7u8Uy4wNZJYe6yNjIGV8iajHDKD6ySG24AafWVKMQ46K+Hri3D/vPn/bnsNt
eY5pHfRRPB/Ssy+JaIkhWqt4JbGNf/fW+ziiyLmoMHHxN1Gv8IBwk/NLxgOi6PjFOA+78iJgpvRX
ERyrqlq2yct0eFn1wRwZH8/jwiAVofimrHSDTYp2SGzeBSIQ4oPYEerCAHHBT/msd/N2p5ZoWHPI
DD8uWW48tEtCDk7jTdzX11v0LpBufqo3yAcT+cdAMuS5e7TvOG24MUzzMAwoN/m4twqTsXP1Uhza
m7Utj/SCb5Qn5i780UmK9xa9AHmNGd4JRr+C1HRl2jUhXiPBGna0Dp8ysRjhiqd9rmy0pbZEpmxr
e6O1zVcsyihKonl5zx5+8vT3wzY+09xaDQ6qRsbVNJHL2QB4Yk7fdFXv03O8pxQmQrU3ALDOEKmv
Ikd+cKaug7VBjE+KdmjWb8qnMsfqgzcegfsMm7f1ZSKtyxfpdzlHBtIf+gXWzHXc/DRvKnUtA6xz
cTOe3mv7LbD4TfcjvhMbnIh1tvZA+TInCLfBN/Ho1XcrL9j57u2W7XEevojOWLw0pGDm3/mkAmLC
KWgnFoF1BS7/HNjhuc2eeN7HE/qenTU4vU2o7FbyENiszRWKxfHA8kospU23Y+szSRQW/hVj0XF8
CJforp94RD/oJWG/uY8f3IrBXbs0nJsfg7HQGketstkJGeFsQrLLM+hw13ZJdYqJlxHDbCAh3lh0
00x57dltS9pZd6sN8rdrG3BJJ99N7X2SAiQCF3wVc4rWrbdIOwbSRzq+ujh7a3vFrNjT4B/N9Iu2
xpNAKCBrerbhIPJVrapt809nD/m3w8Uvq5UlGxbeLUVTFeu31ex3U4u+z+smKlitttK1GGbuPjgU
z7i6ldLJrBw08cmGyp9RXM0cc0RZ7e9oJTDFRynvEAqx7gs7eDEZLV6q51TyA1ltOOtbsm0YS1eb
pV/SLT8CUN+3H/SBniTPi7QkLPJ245PgLVjy8BU5NdsKf6UUjoZAfA5K/TNT4ECckvs6iJtvWpbN
QtJk8vEBLQCtqeaI2dbkzOSX1fPVtRBBi3iWZt1LedPQjxVfDA4ROgnaJctPGP3rNeMvHSuIra14
iPlPtcQNLZMTkml2sAlxDAur9iEcmGgly45JlOGfIzz/Aw02wQIRHhwRcBsMrteM5clPmsvcAdix
X+lVdED81GXV/pTtujR3mY+cEY11KOCPQgdhsZCjF285WrLneQ0CTNadvP7MqtBOTkb5MjEmAy10
guqsFPMJUnEujVcLoEWpF4s8YpzRbsqDnC/JAwrJVUAM6h47Dg6KM8yhoC9QxyHGJFXFXGjqx88P
3MEZKh3Tt5Mbktl0E3kLiPBH6QdF2CrfTEK2e/GQ1kyfyW+kyMBtfyRJ62CeG7Lr/L1OFMSpWvg7
rEH5EqAUWk52nNvUhxJX/uanYXK3sv41S/uf2pixFEjSBj0ZCckJA9m/naRMqolfGjO//vx/GjOG
MTG9ZVkXJ2wtv/p3jRmJzgtOex5e2dL5p3+3Zoz/IkMObq+miQxapqbNfzozMHhE1VQNQzJkU5P/
O50Z/a+Oir975dqvA0+9zlLP0AbOhdLS3wF1rpv5NGF87cVTQQtdhefwhEcmz/udew7XuU3vxF1A
H7DIuGZt13bKidPdpt+LBH/iHaOgWMC9fg6XZv5be/xFVJZTnuebTqpB+cZj2J051tRv6lIuHCSP
pHQNK5BxFn98Je8nndVGmZ1h5bO7BTY5XPoCtgBdSEY2Aqr8Wf0mjzMsKK/ynj9G1viwbOZo1vnT
JS0KOkob99tatdTU7JTNmVfpfkuAqhahxsZ4I/6LX6XcprEOrj2CwgobczGHPISjBqleSDhosI8k
RPBD0P4TDkxivBArxzLIgOmnFeaSzb/p+n+P46V/rYhluROeRtIayMkLwZ7q27EwHFdaSTMctKR+
GuPdGrdedZjG884ROGPCBqnbYvBBEulkpMHFCjZn5z3Uhf8qZezJLM+B045oBy8h/txsnnT7yrt2
d8TKBqkCjOrRD0orEnTe9C90bmAo5ixO5FpNmV4yITGBRDIXmgZ+/bAx5zAz7MBh/rsRNbq5Bsss
PXsGGTiESNTSoo3QkCvVE6myUkDTdMfGC1bq3QodI3CXYxdvsL6Vla0W+XbwX2FPb0yOkWHxkRnP
lPxpFANIGQzYsnSrJVRAzLCfOlqPJdxNVl0iK59T2Gq6GkTSUfkOvnn6/kV/6U7BPM6v3cmYIroH
Gw0NdYatKEvxa2nMjQXdlRwV0BJvHuL6jGEHPlXglnNj3lO74NqghT580Unnl3dkoRNM3l/iLUb2
ZM1X05Wr7UDE4EXgXvWowkprqy1outN/5+z+hUshJSBWWVJXpdoMlUXyio+hQeTFMWnOryDsnPBX
BgOa0M4aW052vIWCiQ6nKpVaih6Jp6+YS+j9SVDCea9O4wKU9Wr3yuhgmqjje5L2AgXwlLsiQF8b
t6TKEJFC/x4bRsPNQBSLNaWZZtbG6zb9Ml70B+YeDDjCbjcqr+S7RK+hnjhCsMmHddUsSBsXpBUY
XVruqYOjFqAxNSbuAGmRU3XgYsuKha6sDFunKj5YX2q0F7NNtdW5FOk6pC3SrSKdLghv0BGYIhGH
IV5yqNkzIcW3hDjZ9jD69rP/y925NqeKpv3+E7ELEBCrdu0XnBEEz9G8oRJNROWgCCJ8+ufHmj3V
Wd1T/dS87VqZrJ6seAbu6/4fleBO2QvL6Ndzc13dQOhoUSsJY4ZCKyNK0Bb9fuKndJaUThcW05vb
ekN9HNsd9uPjh4+777IGmLT4cE02ALZOeJcS5kc9KOOJL8XKtHdEZkEhvGwaNjrZtIkzF4o0bLZg
lFpl3MJu2kxxXsXXD+09DeXF0AJ9s1j+TGk69AIRaJ6s5F3PoK0ZOCdOqStQ2KximEpWg3GTAyeC
ibGVN6TmOAZO3+dtumaMwRiXEX4Kg+qBn5pNQPZNXG06RHs8u2pG5ZQnh0im0AE3skVa1ITu16d7
vds4kPyhTGQc37cTWN7xAfgJcU+znHy2szH1YMkWXOWxGXvCYbzTSK/5RlhiJ+YFb4ZBuve9ctNr
UFICgwFQQkyPjMpsVOcJmAGkM/RBnpc3X1lQB+0Xm2xBu49fbVusMSUf1MnY36IWK6ox/hbRoFcz
3B1j2q2AN+eXSJjh8bA4GZaP+W1xtfIV0VcxbqnwdSgxvWMJnjfSjCDkjB3jtljnEZ+ch0PgUzpK
cRHKLl1xvMugflYVSVvZQRZ+4hzifQIAFufnJ32SgyMiu5tkexFy3y+yLf1WFGCl3vP99v5r+f3n
ThriSNZlpNdA9agn/n7SQHD6l0nj99v/MWkMeTLqwAMxHUAB/DZpkOs4HrIyyfchLfPnpIF0hLL2
kShPhs5abvVj1NBkQmC5V6TjGtrY//d/f8NQHn/6/z/pCf0/7lJGfzx1nZf+U4Mn9Olz/JwAQZ90
PC36KSjfVa9x71NiPDxMraWNQEMdx4gv2n6Pv7C0s1eUIzhFZYGidKAXEWU4wK29PhMvM77XckTY
8o2FDDCVTa3OGluvRwCqY7NjwHfIR2eVDKjKtrXNC0wUurKxEVvcb67E8lPOKnFLQ5ylmUAmnxPn
6RMvabVTrpSzbtGv7t7IJ9uSAXsYbHD5uARZmZSysvfJAXPx6iaWm7PCs5abuvuiZ/6+HDswW73B
omTQdGsos9276nQ29mf+mxZKf4ISAI2YA0Ksg56hieABo9ITPESp0xQMs16rIRdJR7DHtsZ1HO2A
qUwvfml/C3t4ekM1SOOgYgG4Ix/AKZ4AaZRLCn1t1OOUT8qiX4MASeiGbSHmiqu75QfzHQju+UPG
OT5Ezhnlh3DQp8n0uRbz6cMOutOWFYrthweIL4adjx9NCfFlTV/b5zK3Xl9QGv3qhguLbfPDiGVe
IfwQ4I/cks2CIoYIubjaD1FvX4gZYrQGY5tWOIvYTTvFAxFImE4B/MTxG5h8jge8u1+D68Mf3+94
sEhXN7kGj/GPgnD4lz1pIygcycnnrSF3P+PdqnwFygLXPOWtt2gioNUYi+Hl5SiUTQGg9ehx8e2w
HjplaY9zR0rd+1ePDAFBJ3OnkT0sXjeQT6qG0D9VGjG4iAgHijcdY8l5B3qLVKOOC8u5z1h1LUrq
dWvMSMUubSq7qZ/5s6cYDX27n+vzlNFuSigP7UxcnodPxVR40zQXPwx6G3xWNbBy1NqKW3r4dWlX
dOHP1AOipdOdAIAIixLa4jwBx3nyCGzPGUitxBuzI4xfSzR8aqQ+LXQLtcimcTc2mUREX6iieuyo
9pNILVkie2XDP5dkbnVWmc4VzR6mlok1udLiJvvDkMVixZSIjkgkZYx38rrUp/cTkQvWxcmiU+5c
8reaNXI6Ip7EIw7p4nV+b6szylVB7vW43sIN5UDG5gvFyXipz7ujYo1nIyGsbbgIW/a6gJDFZ2MR
CByefeIIgtGbnn+eSSFi/2yMl4X3phjcpds45KaC3REXvFZAL7eYVuGkjGJVxD7b92ECXGUfqK5r
G3MFbA4EhJ8tkqVw5FLBNkSL0k3hXqY08S7EmMKvBRyg039hqSud0/xqdvts1ZBRaDxkUl8QKBst
iA40gmTK+wTgWbYTmjrnVGtYNVgfoo31s1lelvfavh5rfTcSbIxirYIOdJ01nydeHXBpZkT5sQSj
fTj1h5gyCBij+7asZqMpvjOyMU7BaV19t3zA62soHsqQhEXubAEnwjunyBYDxBUjJwB4YQv0O/ik
Gk1rt7Qq0N7a6SExtMV1e97SStkaHxOEl5HstQPVlm4mXCweXuHyllTkCCKXIdPWl1fa/PZWeVkg
TVMddQ9uQu9MTC6986KxaR/ebbSXmH9fd9NGXesWxtvcdZfL3ojX7048E827gTrL9tf8Tdokwi0E
Ww/j88wvLN3KposNFdJMr2lohFux4LYiJgCd5svOkr5vPfMX+J4ByusCOFh6VM+kDQEaYf9Nh9sE
WM3mFc6Y06xk0zHdfI92ZBZIu8dUWWZfufV0T8yEraXH0vspLEOaaBnlJpusAlJ+UUqUUdk4o9yX
616cr3t7kk0vmTeSSLx3ODxes3RKVePqijBH9xRvVYNk9uyRqOr17wqhMgxM5dO7u5zLuFFHQeL3
kbbLMj8/cNS8BLTL3hO4GbDRl6LEu3nPQdDj0ScKw9mxM9vdVy/qSE9mC9k+2qXFFIHuq40RO+lB
8Z7Nxqwpkb48UQxXxuljg5sDcQ4pzzhuQ3YGlveyC6MZXYzkadYG06q1x7dgFlOM/2Ifag/JPNdv
tyxKbVwiZfzQDfmTzapJ5JYlEMRRkmZjkjLC9Zj4luL9thHPzkkw/+HTFTjORBuLw+ACIfz30xXT
zl+mq99v/2O6kpBciGMsDIOQhunlB46j4EXELiOPx1S7QSb9huMA04zQ+0xopeSffkxXqGRVfcgv
V8B59P9mugJS+itj9QvI+f8v/c+MlXbP+yzVpMQlgwt5jaOYInWfD4twpwlB4uFD5PrkE3z8eBRO
tS9AcEe7QTx6cia3XT3PbdY3LJxpMOgPzzbixtsImNTKCozb5g3j+yR4sFcF1DjJsLBRwziEKpTl
vE129Pnm9HZPArxRZg0khJZ94hHNWwgYK87Ap/LbSfBR0gMFcZc15fCtzWFNP7NFzogzXADOgKC5
h1KM1na7jxTprfDUettfZrLoIIq7tkYHLIOFksihNU8Ne8QUpADooJd9VkOY9KReT/pNyiyI9HQQ
0yGKlaPXaCZdZnynPShNyTTxJh/PYab0CuZLllCFRFKzfezpna3k+P4LWyDbFBErEYGu4hXv1V2Y
KqTMt2en2pCa8eANWtCDJV2PPT5d9CF3zDDGaXXH82x3S9lVHZqmLNnUbMHpY2k+lM8n4WlbQycW
hUMlSrHH7WioVoCw2CRO7oIcxkHsCiQSTVA1n2xpoa36KRcaL5t2sAdkCWOaphT4MyWsfUXCL8K+
uDk+5iRQO+DShcKlQkeUgsOCPnRYEy+JTk4960JMg6ZOtG5E9evihh/QxnUM86Pg6yBQxMAN8GRy
mvUUGsPvGiIqxdus8/L4V6+41XgtnAn/ZrHjhfvHS2hiS2I2fRoxUWEGbmgTTMs+TXU/N++MPamp
UrD+cJvZICBgfLJblqRhv1+72bQwj9sV8JPZ0MVJKs5tioPIk3lgaDpA+ZPFlhg6gjQHNsfML2Zm
HAb+5oNGbZa91c38rpfjE6iPWb28s2CdVL8LwC8mArRwywI0ou1ZMenANNW9tOegdCD00THWlGRi
4DQ6SyHb27/YvPtOal/1gYvO228xsWQeZKO8FTNhri9pf6JxTLRGa6Azo0J2+cHQYok+81kedbHi
n1rbH7EnnuthFSC95Y0qHRaHhydAcmJQJObGpOPa5OnaBPtuOtpAMxO2HZTkBbPBx1JNn+/62/gL
U7vEi0g9cpIXyWeu+qYiBJ1kZl8ZecpGTcTuTCG1apIQ/KJj7RIQvQUs8pevZDki2WcciuMF84oQ
nnH1rDQOxswCaJo/AzU6G58X9kb9XgJekW82qa6vh339KAbpw8Rme+Ci/3TYT5hwvSxOiX+xruxl
UGN7NcM8/NsbQUMBJ2sEhYli3CP3zCSkxKwsRF1Mb3RLE3XscEA6zYbYW5tQNrd0800NXyivUofN
BtsMB5LE1FzoI4zmhurjdzVFO1sDOdoF5w5Ja3YdzHtPMJ5WHVaoQ1BVmGw0LNW/uZ3XBISE+7Jb
2t0iGAP9Xt8atClaxMJ6wYMUn2LVb6fCbuTU1nCz06fWWXkwiU+BZBV+EWIGm5c2E/I8/dJslPDu
Oe4CwW8DyBhLcyfxecmlqfmofUKaVy8LHetzjiKA45JrhrFCpmhNVdIG7MIVEDhLDip7fauGn2Rc
O6WHk2t62tXuFYMv4xuJA7PRXFniEGZitUiIcwRrAMKeLsZHQ7IvBlUAToa+5vGm7h+6Q8TM192j
CthkPjWRWTH1cem0dXpeudpcV8ymbD3HTvfOdTfZPkwq7hH3OPclko4BHjemz4/OGqayk9W+iUH9
9VxQ6F4gl/ZUv1bmkxBRtifa18cclYtFtYO6ULcd8UMA7cFtgxrj4QEV33kowqjY+26vpKdQBwyL
ZhYX+8qBTREfQv6blb7fb95pJ4dEQ50dbqosy292nadowsRaO7CUbyMpOLMRogZhhcCTk3kz2Kbs
I/UxxqAQHyGGKAYatcIWCXopSiBkP5b7/6SY/F3loSs0iSlgHlQC0YEp/tLG/kQkqvRZiVqOwKXY
KS6cb9AQU2acpuk3WVGx8M5e4DqXPW3Z79OL9fcPPnA4PyQm/3pwXaTzFZsT9M8wq/x88It8F18P
QUvcUdyhig1qQHwpELeA/FUw9qo9m188Gb4WErKi4at9DlJGUUSbDz5iAVgS3/TPHvWYmpA6k1yi
yGPmsb8f9f6qpR7YtZ+3/2PUw/wkKZjQVCKi/zTqQcdNZGnEoSP9Uln/mPTGMjYsmWAKUdU0cLsf
kx4iagg+WoZIDpf/K8puxB39OG54ylif/njiAGq/Hzf3ZwupUDVDxzlXtMqirMnGrA86pE8nu8J/
WncAKsGQvBStTuo8nHt49W/bG/7ej8lCdlS6n9Np6/1vzZzjAbz826c2PPWfOgRdQE5e89S0TQ8D
Vzm3iZvV+IcsiZwStrEw+8l39jR7X3h7Hm/r8zLH1NwRnMHoB9jlC161yz8EJ5uRmrnWv69oQEhO
q2xCNvqK0g/UCFay1TRcqQO9dTmquzK6EsTzgdE8X8ib1xLp1fjtGqmsO7d5v3uGhPBCbWlfFSgd
NCHoQ2MQ53caW08cWmfz8d5+1EwlbOy2NUPUCr8qwBC/jjwI+ZfMWy0duIqiPjOPi2mkIPxwcue6
yyamWBjl7ubl4cSt3tN31BWlJ38Ke9IdkKe5QHReMyOyICq8+6zZQCcCYl18fSb59wBDjDXxSwYP
to8QmQ1rRx8S5OirRooU6bwMFiiFEWdGkKN+jQmzT4yXYpbpTgYWcvV3Qq/uNEF8Sy16zsbD7FUu
uiOqsmXafc7GB4GNMr1Dxm1WQN4ZiwwmCeGj/+KF6oekcBOSeGt/0q8oinyOj7xHtgxq0k+zANnn
7GqjhEApU9jnZRVewjFPGJURtMnJGboMXMWu4oYx0Hmun6E2vS6pKbosK2iDczQoGmJ0YGYyfSz1
D+Jplsl0dl5qKHa9C85kgD5yylhIz9EVxImwIOMakYXNgdJsXyHijwcarLPsVk+0Hracr+pbnBOV
wG1shKyJy6eUAiXXUKOPAx+WSk4YTmJiwdr2g5w0tcvsy7rc1o3bnWZFMtOKQNVd1rEcw9bhBmZT
c/jtB+NAgKHel0WgIPMC4FAhr2im0sN7iasL80kVb0sPhPKaRFccuAxQCFVoZGHnApSaf/BS5Ksn
ywte1tN7BkprPhkoOSW95MQbm2xYLwVPy6x6YrwOjKfmAxe1QfCHQlIMyniNMlPF7vDjZLZS2VX2
hSQVNhXTEuwmzCX5P/iAHnv2MCoKlip+jNBuOS1NKOQfBzQKgfaBbJXkeDPKR9iIkLBDdaI4j5R1
Fmhhju7Z4t/TR1TYksvWyef+XnF3BDc8g7LSpCG6zZ6HPbBVBDrkLp9DHp7RSgNPy++IPpQnGzII
Up7OJCdk2cOoVEw1dEbYq4SPPmKzhs+MJyAf4b45vsNRdG8NVw/JFONHvYhSj/1XG7LbwvO+HSU7
eZ0CB9K7ujz5l+/LN8K22zdVMWXY58bNE7b9Uk+D6KRTq+R1mQMeSBxtep7l5EDcmVdzh0QKhc8q
IsZxjPVK2ZIf1478y0RnEWVyHl5B3iwIceM9fOxFHHqPb3nNO4h7zBxX8vQscoMioNLlVs2L03Wq
wXvrF2e0qWHC1RbA25XO3unlJDDlIoz5DbLVKmzaglIt7CFvZ+L7JATHfpcTa+wzuW/PwTXS31+t
MWmN01x4J8o2zJbXPT7vi1ctqJSmnZzjpTDvdjFnrv66b+RNv35wVUjxypPb5d3eqxluhXfMLKM9
Qa2EOEAYahy+eih7Sqi9wR7P2baQRToo4GHhyTfMOraq62SD30ZlVEaffCXnzyjeCVFRwoYLr7ng
Vu4oMYSdspWnMvKBChEhakjJGwfFqpos1Br1d/2ZvxMqpwJ0ZzHkhMfs8ksO2sBlFvObLzLw9w7B
rhA6d/6QjgNsbwEc9j45AW65qByYZ3dsNHHBrgcla2dYR+QgbPQ6T/YuVQjb0M8S3DuzsxazsWbr
badinOFL0Mx0IX7KZHS5rQhDUTq67ohsXwZrybTmZWVk6rud6r92yiCMNwkBIcLjnlOoziiHUGLD
FEV2VYC24sl78CWsaYRvuIu1dKyxkWy75dmSg2p6Og5AMPN4acASa0G5gvudtKDsRsUn/UGEkLp5
uoiVwZofK/oEnu/Ilt2Tc3KEubqvlX/Ni/9YklMeoK0RBaQTSf3fZrPBqfRnGO5Pt/9jNhvsTYBt
1N1y/wMM9hOG40H5UiE6fymt/hjOJiPccVjGRb7/utUfw9mEmBtAODhTRj7pvyI5wfz+wwj046kP
mq6fI9CFBHVF1PFWd6knnnzo/seNOgnc1DilkHRj0HhhOu6McefoYyvJLYk1EEk8QXsE6mVkI9PZ
TvcNOkVD+UYvoeQWsqMXmsDCfkSA1dYNSOXMXu0+4Ct43mwJ2qn/POOlaFyCPN3BX4uI22xnmjKM
NRr7YHKWNTIeiQBGl2I8V+B+ygZbWESMmmi/0DepDiGVdDqyRLNUB9Jn7p6+CNCCSJ1VeMnwNLyg
E/uY7E1Xm0rWhRMeoMJ6BXcjt9uNEOXuL97LREJOqlWVuDfcH3TP2SeE6E/3xiiHdybzzgH9Lkuk
yMSSo6OBLL1YpE5f9t3H08e/Z71IKKPwE35LRmlqSRj91enFlB8RQf3EPRJCIwQp165DFT7DZNpG
ua2+lV+TZUZFhZF+NirNbcZ47FSe3nijNL6zx50EEyL0apscLkslEdd8VEEe3A6vIbDdEJc8Hhdg
ocFU0E6s6hHXj3gCd4qhjYxI/Kwtka5G+c2lEecPq7xADxbcpVmvKW06Dd46cVOxyAgmNBNNB0Hl
jQCH2h1XUPxjz6haXKYiJLZRbARAJyqhd9X2vFYO51A5dnvNLzeNm5OjbpQR4EHczPrPV0CRcHAK
CTTaEh2M5gTl0vwWCYt+KvrdXq1M/UhC9wLH/p4PKV+2CF525PxWE4MpUb1bOqbh7TM8BS33x3xc
0eUVwP4RbdSQL+U0u+q7RxL+Tc7zjWxZ5GoEqYV3nNCROu2nkuue3aurY6xvuOY3S2Wbe+1XttLn
42USTjYUeh+SgzAlnlHG7rhuYG3Og94KLNQkWRjgsFxJa6w7pWjiaj/jyGmvLJdgN3dPfAehwlJ4
/kjX1w9hpcbVbrQe+dpGdBXMN4xrH6qTTLvZ+BMkaEkLSkR57HiDKWB0M8/wwifrCu29Grmo4iN9
R88ffCWcjtW6WNxUbxCULb/yWb7JMPVL8MCZi+f/SphRz324I1p46EV+hplO7sumq+3Jd3+P2lPU
f5SJ+zzPmpQAOTeT4o5I0aH47Gpd9wmn7Zwf52dqC95RY1U91suR/Ry131nxdu6DHOTwVDgakyl2
wOW5sW/KotbopyL4a5UQBzkhawKZ4vm2QuyIXpzEbvNEDrns/9jyzv+lB/+pwEDv8fcXpzGX3Z8X
p6vWFl2TZRhEg9M2mfU0wZD8Z7RN2IH9iS/r8XH9IOn0vL2MTKTrzc08IotEpsxZJ0f1fhSfo1NU
h7d5Ew24Xv9Wv3GadYWJ24P38hRmgbBNPDVK9iN8EI3buhyD20c0ChWwMTHCzMZmjYsTIN+vu5Ww
vbtjjGMImGeM0YNzLF8y29q3WPJOizTWjjIM8YSeidkZKYRFer02v8Qjj15Pu4xwtLFZY323ICdq
uoK/5QhN+aY/TOJiPTzTcnG2LzF68BePi8uBjRJEYgNurSL9v9FhYI25yiE3YJ7HXAzVtyW4+vtE
DgIxtV+lg7SLI021ajKXgsYX3NF0PLtUhrK+BYOVrbHOa9GpTVSD7AwpSbDJA5hlXwT3XzYZu6X8
+PzgrMrXpA98dCGp6rEMqqbOL65u/v3H/Kvi+y9uAF2TgC4kcYAdfv+UJ4V+uV0TlqDRSlg9bAFl
t+Q/guGRTlvwy0MANcH6oGJBxAXDfnVAPeuWDU3nYnOYtuZwOALNws/sJivAKSuHBRaMifNaDXIT
xe/i3i3zmJPwhXX0DLlqFROLVEOq75Lw8olwAdlm+SJPnn30sMNRkR0MlhfywYyWSTsJsCKZx+Mk
JPiLUg4O934+XudvcEXqWovk2T8Z2xrJGqIs3NwqvnyNIefvsC1d4hd+n5/+cvt/z0/S/yF7APhK
5PiQ/8VV/jE/iSrjEwZyVUWUPoxW/56fCPYZgCcmJ6KG5F+BZf+en/gnirMVfaT/GxL7kyjs70Vi
f40K+O2p/7l56URXzrkY5ToZ3oYkQQyS6pkJ4lumYDFDnj0DQ4+7nlAXOEgsTklPY6dBgs8Zbe8g
OFLPtjZYfg4nGaUDO/vF2WVr6mHA8E5h0ZkHeENo+5T54zUvDkjAr3iYWAm/SeHhdLh+p1SapfZk
g/FDYmfL5pm0TrgofDCEYCWHBkJ1vYfGMVR0ZHcr66zbzdx8vyJtc1EBazclrX8wP1V4fTaI2g2e
IjlEQiBObzvc1sxisDgmM8cIUsthY2blMBTPsIxwarN2+fjwomyt7q5RFeKGIy9sUvk4bMYPW9SC
jPWZnkT6b+2JL/iPfvl4ewRsosyBsehcwsNJWWEzQ/wRLdDUIIN21eG4DcgDuPh05GqAR4ojduZL
guYlPMTkh0ylfIkYiBb0nNjjA7gPgMwTvzAPOK/8ytenCJOM3qogaESQobHTRI8l21TGOMQiFIly
YaGgDoJmWDgmyOzMSfNWvBwE/Kj924UC0wWT4TyR03FVOfIZtWQb1a2rf5H8DbvcA0/Nqz00tPjg
F5RfVBJKKYC2gXjpouvwgdt3zZKJ1EHAQXHP4HcUZ885f7HJl9btkn/jd+m4OVn8BOTEaiGQ4KUg
tvUv4tFQ/Ek4X9mOPlcTMoiYkAEHLkASiVN45BTCV43tqynu5TldiE7t57ApZAUwKkN3TRE6T8up
6uXTUYDVjVikKyELkseuc3AIoLtOncTijw+Ry/A0seHL0J1NMCcozOcMmFbyhb4Xi/AHNkWOim7R
6XNx1r4TXZDb16Das2yCz/AiyYDKDpJ8QNeWpMPBfsOuDNn6etlZ0B2BMSiWDhUD2GsQzKdnP9+9
lq/l2Ly2vBQclCV5h65cg7nhiZ8Ounyuy2uAHRSMWoicPSHDnjIWm5+ztA0ttHdtg3gfzEm1Ewcc
6clJdOKXs4BMGn4TidljD57Sp29a+OpmwEVXwZXX/Cdmh/IwAErk2lJpYJAhmHg8h/JQHoCUniIA
5UWdqvYwx3Hv58SjBlILWybcwnqQmsvKS74VUd6/sBlUMmjcrndfhBBB20Tg1WimWLUcc1e8ROEU
8x7cTwfxsQdP+rXWBIXHCwtBqLq4ntJO5NDaSjDS8LfkohAY/hp+1DiSm0hf9DG1ggPm9Nixc5tl
MH4P8gBMgvpHC74xZyopBPHYwrpfJtMGUZ+0FrhVZl5xoaTmVf4qvisb2tU8DE/hzOsnDYA/dB/j
ttNxLuIhHhSbHB2phZOLnQ8ZVs4Z2nzw1t7i/vyWdvH9tqZTaeySePGdFJPokpq0mdyPDCp3Wkbs
MZuvNv/S4zZzcl3l4tKru5ZBrEMb1qvBm1rMR0SjPVcjsp3Yjh5Pd9ntM9pduPj1ulyCoJsyBQIG
Mzv5m/gTfsX/dCuiipOAfKErdRERsSWkrBEoFCVkHU1f791q/NXEpJM2GPYXTSzO6R/KNGsy5DCl
XCKZx/N48vWKXxIyUTxv+AtFV+bP03k6F18BTc9gJWuLNEr2kskCyGl6+2U0xmocYQowxOmJObOb
0ssML/l0sjADeu6mF75LsRSz87t+i+DaZ0OoTXXFFgfb4p14B2gySxmbVKs4wn1Xjp5GioDVuSh2
oHSQCw1Vqs1GYruQ2/WBu2gvXn+FqKAx0VBXoLOz52PKted5B8dK7Ju0TUZU40jb6/dVIki1YzOL
qQJnFHuq1MwutAWBp9JxP3ZLYp8a0R0NYw+kqk3kAnmFjRDyVKrJrD+/X7/1zlcTJUzZN4/Ipbrj
o6F9Lqwq4zD3EeFRUxUMUH6Mpt7ojeXX19yVbubcBRczGmqEvp9EqNW7qoifgnPhEj9EQdVkcrF2
gT0y00kxXmbr/jo0JBog/13XODQzMy3ia/7V8rJ4mhdA4tOlpiDAEIv5PXcBF+TS07Frv71x7HJa
op1BqLiU1zRlPJAyS+9cHx77U7FB41bVGxnp3vm5auPOH0jp1PAWyBlI7wadm6KwrmhlMI6L75u5
gquEI2ffqiX5P5qzZLiZwPeCOOkjcQib/tu5buD2/jLX/X77P+Y6tPuKiJZsGM/+hIuJEpMkLafE
5f+Oiw2BjWj/mfUkYDVmvJ+kJTo4baQPuSq/1P//jTztl5fxT9Tgz5cuDRPrz63nTU2eJ6HGTVwK
45uh9hz/Eog3NP/rHJYNdVRssNbdQqop2LqcKaU2FcLUmGbSt+ruN0WUZ1QjXZ0x1ZCpelBe6Irx
WKVML33ly5+sebiMmiHfmGnMubmD6DWWWcVPoToi6Agj/PgDtREunTuxc22sA/NyDcTFjVmALxIg
mUz4YmZJvhIO4IMYMZ3wJFqO60GIdCSrhwBSNFtHgpD4k82kVXFQLSF4VfZ59N6MkkjJ5zkiOCEg
W5hEx8Lvjx4mQ+yL5KLxII/BUH2V8WslC6FBZyAQPr1iGB1mR8YkNl91uSBa7SLRQsOqmGXmuB72
49AyQ1GACZyTjAnGtc66mWQWZS9kzCLLuMEGt5bY4njgwoONQR6zLXNhYXXJPQ/hkdl7TagKJzeK
KDdbSZ9ZQWij9KDfzHo9TLn8ICKJIEeqMckzr5DpdwsmKfA81PhwZQoennm1vh1BM+/L9Ci+NvL2
jOpnr29RWKMV0g2+LhBFh8uONQson1Ert5WbU8c46DKTCULNbBTLfH+cLHFkJ9X0/iIvd97kcS6F
Sj0MGg2XdMkQvm6d+eSSeac93kg8eX3oq+WJTlzFHL0PEmQCh+n0QHQrm5eL93i+pd9zqaP8dKOM
3XEVqp2flpBAQARccUkosDFeEnypnWKuag+wDdGX8ZcWjBAOToXi1pro6fn/w6hzJnXFZgUdSzdn
+J+e+LBhDF0MFU+ZG8KdoRpkBtIIiJRJv5kOVJno5tdBZJgfCFfB08cgBSvGwzyEBV9ZtSSSb4z/
fjtQc4yAXL2vDg/Y1jNGN8io02l1Sr3yS7mQJOhd4gRRfNnNXkcGYmIekQKTC1qZiClfR6bBZMvk
i/ZHNgfTaUxj9Adz87hhGhMWWAIee30tz1PYKMShhDJUxDbSHk+xeEqrwvtZ3Gmqbj5LL2VMWYzd
py2iyDSfiVXOaGQ4k2CSPO1rE2vCd42oTSPU6HqNcJpeI46b/Ot63+TwM+yk+P0h+qTWFzT95V80
wAhYZm8W1Rj5jgGvsZlAtXbHezZClrqHNWTi420mzp3BoXb4Kso3vphJswBkQbti8cdaKCLgRxju
Ed8hmFDOhM08NMTcRIgylg1ZHUqk79XEJO2B5dJfagIfi4ncf8TGgRgjXKNkZR5rBtyB+0u8J8hm
42jEExGOdLjv1Fn2cibykneyUxdsMhQ+I/n9zIgEW5j0wWP/gLWbHFGZMm7ygTJrE57JccKz5gDi
qyTwM5x3837JAqqS4mjAxLZzPt8rRuRfr41DCOaUs1Dhz9vbfp8YU7ZqxnP5mMsh9Xoo1TWnIBmS
WdR/gDcJbhFdWIQ7g6yNEblGH5zkIXp/RFW/vnTiOrimdmaGKqsxk5fTZSY/HLktbEIRtBc6y0xa
3QrdRE6vrUhstW4M3mMEf1cGUwRIb3W/PE3Zr4ytDhnfQuXRX4GQU4rpqBdfba0LsX3TR1hv02UT
NoPkAV/lrg3H036bTTXmmXo4szmQIYnl9TDDO+yj/Sxg93DngkmyDV5hMQ9zHb2pBd/77PjFeo73
isP5ReYqUWyDaQqNg8E1JfOpKuRQZs+X0tA+nOQGoQwktt92OiMcFDoiBiBMozxwIl3ZtfTR5OP2
mF9eyyujLrpGY0yfGIFBlH8NNnMXixAO27LxrodhbkpQ330RMkoiEmcwzxIFRcImsaLHvETFQRya
FrKFER74NPru7UUZ32vE+w/NzDiDzalAWfkw0E6emNcOD+YeJG8VhgAXE4i59CGmgcEhPeaZtBox
Nj3qDWcuOWziO8jD7XCzWHZGoAL9ql2wM2bvzCD1aytdW0x7TGaKfQc/1WNOvBbvUoE04s5mUJEM
UcaiErH7UDXrpq/O1IkF1etAZqeDSyMdLMy8QwMo0kVd9CQtp1eckR6lW50wlcv5G20wQS7BNm3M
YHs8Ljrjm/M4fg42X4TexsLbsjiTeiyFJ142jPRAlcsUKo1CEePOM0hDaUUKKLwMUSdsvFuDOBUJ
8lc11RajgndGBqG+VUTvoHTVLhQ0d0gMrwpTKpRAfxidTtNCjbpPRXXbm2RqbJNlgf2UfdvcxeVl
XDpFOiXYlWwAjYvt6KPlWoXs+rp95VDoLPhf3dv9vL+lX8p1LSJc7Q8N961cYh44r9wCqx5Ddolb
GHmjGp1uKFaTfX0TjKr1ME4kpSXs8QIR1KNY0tNW93Iz7y9zXau9tE3IX40ne+mYlDaZOiUUNjkI
QPckv7MDkc0tyRsiFXB8uOyr3huT4jMj+QoArQZ6g/kiY0lgJYMpiOUZiFB/BInH5tgta2psuAoS
gVPg6pl4JKYWyft5AjwFTSJOSW+7aRsOEQLh6vGvqANalLk/MIMLooWzTf6ByNCC6rmavuL782D1
R/IUWlZmBKjCw2KdYyBB1GASlxeIFdcJ49H58AwZp8w4LIORn84us2x2iosZ2PWie0Z5nC7O8Wk1
GQTQy/Kt3xP+cOPyfrElX47EIfkO3a0LMbDmXeCOhEBG+9BzrhEgDTIMx77jG1+8g7+m4X8oIc70
OygJMdmKE+V/H/z/E6D7++1/DP7w1oz9SFj/h7vzWI5by7btv7w+TsCbxutkJpDek0nTQdDCe4+v
vwM6da4kquKeUFdRqmJJYlJgEth7r7XmHNOwsP7+OBDHqEIilUV00C+kdooFygJO+PBO8LR8P/hT
E6gWlQSdXkWZYrZ+5+BPutN/7eh+v/ZJDPDjyT/Wy7quLapjIwttTd5NLcqJA24dc1g+dDUXytZ4
VVY+Cma4NY/EI+z0g3eEXze3rtUNdWB5ymgTCNfgJXgBUiYzPVcmHR+GUNLl+MXEPEFQopEVsAj9
JUkr5tm0dTvf9TuoDMVh0hciIVfos2CcQjYWXdylP2ew9ygcc4RrwQEi4slD49LtpR29RjSAKpvM
1PjkCmpMAijVyT+4wp5Y8xm7omeVmD5HYhyPQWbd0XPlsMrChYOO2dSHghcUh++HcZl6iIYdnL2N
sgJMvexX8KgOnEH4XIR9aIT8aV/CCEFLFGiy/dijnx9nll2G39qIyfw0GYzxlM6r2aOGfcFE/Y1+
ekdMxbmwn8cFnhH8m95e72hWz9uHYNPtCY+Xb/oLAZtrwizXNDGv1XO15NPOtDDp4warmp6uf1IW
yUGFn4CHVLVzsqt5myZ1QbRhPUPih8j/Ju4VWo4WHYpqDrtglqx63oj8nQ2Qjg126MnFzIFyB5aF
f5BUyYWME/lb+5aP2P5mcDqanQjTul1NzHZtpa2qQ/YJfX8Nt4OvOK4SqCgcK9eInB31vd2SUXKB
SUezNTyOK4Z+q/RIssbUHfFxdnhgJUpsAe6+29DamcGomN9N0PqK9025EMuGFFZDT11fUQbxXRH7
xUsR8a2m370+c+kUSvG6sifvNgeFM2cMJ19NrZfL8kT/5XLBunL3sZxM3lsubzl1dn3e7+Pr8zNf
wrNx7M6m//azu7u79fLCxyMNJaezn1/v1peP3eHpAecKxkRQMJMvol20WJ5wDnMywDeRzB8UbCFT
84XBxjxbjqupPf335/nz/OptMu4Zd40NlcOaRQ9RX9QrCwpaEdl0lc4Nng7f+fjgQo/QOCcvzuyW
8NMw0F7NPj4YPfIDwLw1h0XHRZyWDzv05LQhk71nj7SW7gIuvraOVJLiqIGdaZh5Mpogzsy23n02
nY6ijBqYk/x8MjJ6C98WVxlzzPBMbjS/B97F30oM1vfkXb1Mw5B5d642w9nfiUvaQrimu42/Dtc+
tot0F/K/whVuax7MjKMBWiJlSjxs4h3e6m+vELC4AvbYx48wMod1J2NONa4pZQIWIUpCgpPYVx8F
H6nCNDOn68TGisGffY69sav8CegzZnsULLTZSC0/4vjXY+BbNB5OfiZwENmbCo5KcUcdrieHAiu7
DqmYfw76QKNXe2WB+89JgKH5zRnrmumluzhJ7oNhgCO74FgqsGNyoGRkYxwrbMbBTj5KGLfyT42d
nBWCcbO867hTP5tH6zn+rEnWSZYZaW4f1osHiMfiSpEOXsaDtof7R9DxbJAW1t5bezv5bvJuB0Tk
UniU0FqpRoiRqu+bjm4KkwwZbdyeMTRDB9ZEiLQNoe3iHNiQYc5cqjJxEevLoVsb+nPe31JjQ9DV
VECJ+nRv+eukJdX2bPDAyY+y/Nj5666Ot1n83pjdLJMHu9ozQXeye/0JyeE1m99BdeNJYhBCTULq
eRTs/QGj+zDMJQzlWfJQwnJp2P2NS0QvYTR0Wqb09LfIwTtlw8t6zM0ikwV5kVxKk9ZOta69bQxh
TdPsQX0ax4dOn4m3dvHMKhZSPJo0ELfpyafhjV7j3Gi4gI8JPmHdJd9qXi0o4tJPEVK0BKkTMYgO
3iTcKUsQjHp3VSLyseYlDYzh2U2P8nhSx1McX/nJ6CgFbqJCx8l2raOQnXx0S/FVHByFdYw7+a21
rQa4EHkGno5vvHK6jBwtba0r6Rp+JSrKuLgNCYWVxBIpgO0vzgkP2IDpcNVolximQ3fvrV1rFn2b
g4jBc/aRoKoRKY7SFQVD4aT21Ett1v4qPyR3HuyilrdQEVc6J24GITpztxetx9TdLKvCeCW0aSWm
EKqRWnmPOhZ7tgRM8gmmKXTLn545FfJgo9p+o4oYQaVhO92ElnjSC5P3rXJcgMiRZjdcaxeYj8OJ
QlraFDvGDFKCCYeTadUsY8GOvd7W+4cOAIaxoursP5lcdUr3ULC15vLZFEPHAkHMAVh44NWKIiwz
tNX0pCE0UJMmGPqwr2t0OeRt4gUc4KkWGNfBFCvNTdCSep2lD2lRUiCo76mLSECQtjou8myhS3eW
eRTah+xIGc3C49sBpilSWxd4/haeg+yD5QdgEgYvQDosRPi4WLum/1DQUUu5cxrnaKLM+JNeOJNP
NZ86aH5w705y6G002JJnY+6dBTHs0xkdOVrxfIK805DDHbuN+ayhC0uW/KEcf/p4zrCVrXw8C4wO
pg9/r3HTRxxou+HMUE9l5cGnv52uYTryV0+591YxtvaOrFWc2Sv5yAlagcNkT2fnasOhfNJh8Fo6
gPo9bUiGp6xl1BYsYeSqynvKA5IVBqhoVFylE6DQuvKlWL+YYX/SiGw2mTUVHiyOfPsMrz8pHyRz
r9+bjG0LmMJcltA8UCEgVBb5dmy/eJz+fY7tIeOoybpfwtskNX1RpLeGYTaD7Gn+DtCJpWnpsYvt
Qbdx6tfv+XNuBigrNDdJgDCqJdcwdUf5Fgmcuo5X+RmTAlbf7sw2wivH6/QefAgAhikfstV45Asw
zecCeVfKXWVcqSqMJYULbwD/AoprQnok6EgOldR47I/TlTL1Eha8YrxOtQ7iYjYEiWgeYRsTBQ1K
zlr5nu1R7XIxvI4KikpkSvIhsGIqtqPp26KMhw4n85a884O6Cx5QTet2+zQp00LJiR5MW9ghZ95a
d9lD/620JV85QYUYh8ve/YAm0M2IBQVC7s8INxaUaUJExzpSncx8Euk9oTJb6xfzUDzoCYH1BJnP
wo+QDhbYFGF77l5LzqSH7qF5BaWXzXH+Z8I2JOLmGJhniFDgxqP0bznYn1o/Mb1AumvKqGFQ/34r
Ff9mES1e6pf/TEkOL8nH//9/ivItlOrL4OTr63+onxApazoGPMBI31Qv/whi0MowpTFMkaoNGdVU
Wv0jiCHOihnHFPVA4AIv/mlwYgIgIFVDUv7jEfsdQcxUHf0s5qIG+/6df62e3H7QvNInEWFw0fWW
lD5SGrarviSzSPayZJXXw0TyNhetVh8r3VwS5LgxWTNc2SrWQbvQdAHntVVuqxpzC1EaIaAwhY9T
I6rv662aNghRgnEuBN1a5qOOJNlHLOvFJenApoXeJJrXClFReX5JQam1GHJG8YP0WPbL+2Q46eal
0A3+nbzgrq6DWOG5hWPXvWplbwctIuCsnkSQhGu7uwSBniadBf3SDQU8mYpTnSzchD4vtq2U32oa
+X6ah9dgFDP0kZ7TtYzhxb649xqLSav8LmjEWakAmAOTI2wAZ60gJjs2JmhfTnPP6/RXr832cVo8
JzyGmbUw1Mw9xrHOsxU3J0VBxpkU+h8+jbQQgcGSIJSFPsC/PVSMK788VDgRf3r994fKMiBlqNI3
VMb0dPzzTMmTkmwaLGoiQ1Aene/P1DSMnIaEJg+5KCPv/96T4HHjodaYSMo6n8FT8BvPlDwJIL88
Uz9euDx1LH6wKUZCGHdVEvA8+TX7jhRE+6ZJ9HWTBRwis3Gjt8PN9PIHJVI2Y/ruTzedxN3nJi1D
xYLjdByRrOWme00YGlZsqzhXlrVQws7R3KBA/ghwN5DrndulBZEBcVjOAZZ9+wH8qQs4wNrph474
UGHl/Jd7bXK9frnXvr7++71mKBDt/nct5jb+8WYDiMdom79lLM4X/b6AA9FVpnWapX0ai/94syGD
5G/omU2EPu23so/wDP96t/1w6Yb45W6r61TQLS/Vl6Y4gGeCFy2QyiVyykVS1MpYuZMhfqya+7IS
6b364q0BPj2tw2YQbWKvYj5jBQVDzqS+mkILBsK703OMB6mUPVk9xn78IxqxvzVUj4IgNW2e0TL3
NcfzvYeCUxqjvlgrbV1n3jXCnbNeelE/p9PEmCS8LCyXuoryxNIdhTqwN+RVTPNdCsq30GfciKZP
ObceWQ/MmiKD83UuLow++HQb4HdqzZqOPZ1BZWfEmy4Utl3j3SU+mdgE2YYi8RP0AVRpKSWKfgh1
TklpoEjLNuPfdFWEM2+ELK/TCKcFODi/tGxR3vbEro8ZauJ+5w8PQ8rsuQYyihSu6uNFqIJ+SsaX
qmsdbww59Bu12S+SkVJCYoKblM2mCrLRFpB667q2MHT0TFmJgtC1oIeq7t3YM58LRr9i2s682jRj
BHItJIwWPq8wmFeTiAVtfAPDPJPxL4fS84he3O3hUnH+a7tkK3rZXqmkdRa5xLbKnrzB+YMk8eZr
HPN0/WgK2s5si3Xvo/Up80e24JlfETbXntzGBLErTaPDuqGBmAqXttceTIPYgODdMrWXHDNGU2Z2
hRm2FASmvhUo0DRr30Kj3yhhYVyMQY/3kRHTHm31nazi0p0yuJxISY8i+M7QolNVoIv3FfVlNJjH
SSKT/lhQ3g0hNW6Jj3bRzEcnJDPJqkphl0Ol8JRxnqm3AOZBxvaeVMs8FN4F9uIqg3k1GvVRaSk9
5AGcPMmCuu8e+zZjtAs2VUkRH2hV7ToeoyozIQ2nF2H99QrDBZ+Kc6iG02A8GJbIIEEDeNpg9NBJ
IxCiQ5I9i8hNMyPdZSItEVWlxRtVsVXPRyGg0It9EmqprcbCIlUlune1cqlY/XYs0EMkxId0YbJs
AoTq6PstyLRkicvCsI78+CA30b0vRrsyj49SK+/cJFlrU9au+Oz7mywnPajKnxq9FmHUd+tiFO47
bHx1RisUJbLsH//o9VvBTqDiqzOYKYjY2v5P5dK0Cn5Zv7++/vv6/b9ghF+P3zLJTiZZwH87/X5c
vE0Mfow2dJ2hB1fzjxzd+IscBAYYqNyx4U2RUb9xUph2ga8nhR8vW/pipciK3nDLITaW9D6toH4k
Zl0fcXBp7V7BYJQteuMb5vo1uw8ZpuJvQLQ8actt9SU81Xfl03hX+jZSbdSYO3GPoEa6i3k4PXk8
mh9l/MJAGCUvaK3U2sgFXQi6j8Gh90l0d3w8Zp8B8NxJsNAtBv21vWsusA023iRqX5CNZjBp5371
68+ifuqehBctYHgqXsWcfjRIrX58MW6iu54CJ/mQ0zQnL5VPkLKrF186BSzlLVaZ7bYIwRngvZO4
8m2mV9ByWMrd6c++5xVTI7NY5eipS/96ZuE2/HrPf3n993ue7GQOHgaV3TfEyPczi/SXwREYkyop
kToW15/OLBSd/KViQPGFQvfTmYV8RX2a6EGSATP3e/HK6n+773+4dOULm2bwrUgQiJ1eojDo3z38
jhLFokfzSVkSOouIStwL2gojH8ZuepjwPd8R72uMxcYRdRscCuRVdLmcYFK6b/mDcc2raAHhCYhI
f6U5k3Q7zbvX61t3Sey43TIM41CElIzpG+RtAA/Nbcodku1XbVU858cjXwiRDPE8eE6r8dbHjptu
1XGtlw7hJRl8VeIOfVvAzSDYEs4HUHBg61CShQw17lumXDP41Rt1k69rvjIBpuCHXxFiQZKU1Ge0
vO6dcRCI2l28liDf672Cm7Ox+UYwKBAA0OGvxVnF2yLHAt2/MZkigfkmg5fG3wjaUnqQHhr0c4g3
QDmiesA68KrA7QHvwWyH7e5awcR66Qg0dq9R/SjHTitv6JAW5msEV+2ADy19ySGXyOdJcQP33F+0
9avH2AlZ5PTXgEdB5uqdjc4GQb90AIs/DYbum/BZUz7BU1hMFgSwbM0SBWCsfvTYiePWGfiS9ca7
AKqovaUUO1J4j6mEUVUM7EucOLEnBFBtafOTQHRTpZusglXK7AqvnI2d00OR1Kxz3ZE12+jvgS0Y
n+kBrRj8ceRCxS4GMRPc9Z/+QXx0j9kuWXeOtS/t3G6QGrlOBDPemiOG4/8Ek3Ns0h95NtoZHGM2
b6SOABJXwpEUBukZpZhnXVCO8W0itkJaB5xP0QCb3QKN5IOVNQl3MvgRkaMSkI2YcU+mz7P7wBlz
U13N1+KK9kUxDjKqGpHTGprDp3Eyj4prdZ1uxVO5XWoX9TR5NFyczONKejBWBE3mrIky6hV+kHf1
TdgPjux06/rFfStf8sNGXqhOAQMmPEfX8t6H/GKdJGwvgOyxkOzzj/S+eQ0/gqu/0aB2BY6xs3ba
aaI2wcO/R4PS93dNve3KZcJsBmJC5wAs0LRFI8LqXUTZviKTALGIha7HwV8K4kKWOXouG81+0TbJ
2jirbyaS7nmZLLw7i5FS3q0ajywX2roNBtf5wNAAiSQ0G29WOSGDKG3WPfafnjwrsZZP0rHppyQS
Dz1TXiQeQN42dIQczLijCV86Ze8hDweI94Tp0mG4IzAGXj/w1Lv4AjzXmdy2kEsdY6kta1tbytfh
iCnX9WfjWdmbwUzDFvmEEhzw16ZcoI2fWdinGM+Fs3loEXpGtOguDS5NsnDri+vtWwYB/D8vNx3r
5JkobHEtKbtcQMLOg+FyW6fNAhnLHPrflbzpOddsk4AwFs4k59XuMSuARuOekfFh1r2tEDm2bKcE
ZNOdofeaOK3hvsv2PvcyychTLg4BYvyucBTf5TwIe3WJthhrF6nKxDCYK0IWyHSg6x12mwW9eb9h
DsggFbI4TlqRe9G6aLyBE3qaXjtdBZr1dMH7o9E9dmfa07ThdSxAEBUZ2U09a3PSAEXyCsXOH73H
YlKdOrYiSAfV/DdF/KSc+bLHfn399z120tvQgqJk+g/z/p++wGSCpDcr0lKa/LE/N3ZRynAhFj5I
XaJX8ePRUicJmZRfjgS/L4yxOB18PVv+dOlf+gJDQAGUeIa2zP0eid4Ydx525qaZZlTdSGUdJP2T
65MYm5d9ZxcK3DxBWtdWuM0lJZrLhUI1H8Kql8VzK0eMR0ySbaUKUoMvVm+dq6tOLWrvVjK4c4lN
TSHtnTkg8eHjeOCQcapLvEt1fhfLrp0Ni9o0Tcw7VoykDRVtZ2TrHKByo3nMvXSAmE1Le8thZKWG
AeAT48lEFtlliTNibBM9VTsHTbIO80w8+F1BB4H260wr0ZgbqivNpbEuEaLW8xIwpcTdXynxhXDE
9agZPpO15qr20lxTI3sc240eVelS71HEJFpXw98OwWsat1HJGMFZ/EnQWJCByJnXVDjW3ZsZjCEn
ZhXxjYHoXMZOlsmnUo2Pbv5oZB+KINhJ8lSR/xO6ZMgZyTGM8Pd1ylYoTmnHOp0YTIqVcxiNdps0
94XWL2pID2aqzYPKohoG2NC1M8m/8zO7V+qTJrFtJYQ0Nh2JZ9m7G8VvZZi/qViBZlJTrc2iuuTN
eLMQHHi5SwIxAPqAEbsHl1d/lvr6oFjGOB8NVu3cj4kQzb3JeSUAGA/9m9VViq0pSCnbfD8O8qaW
xL1vMLKcCJfoaxJgllKUHUuFmFp96gf0Zlox7W63XhGHTjF1DqqYYSuthAwAgymMr0bwLklnUzoo
un4zQ+vCm8KJxhbdYhPHvd203a2cehX0LDp6F5Fbrg16GR49DY/eRpzcDDod/tTy6Hqw+DJdkJFu
SDN1RTSYJHm2aOjXVAUCfiZ49FBUWil0VEbVvYo9PxzZwzJp0HVRgpgGxdSIGaaWjEZvRh75/Onm
4hmFj0v/xqWPU08NHUtO10LAxtXtZDkAXK+1xt2fvIDS/dT/Bl5rGhXFvxTmKgvazwvoL6//voCC
y7EQEP5NtTZ+6OJLfxEtrSm07wkHoVj5qUgxkRayUtDBl35dQBWZnDVwOwY9Vv13anOCSH5ZQH++
9Inu+UMb3/cM2evaTFmaijqLRQDxINNETkc6KKtKRU+o7ls/n0uRt0+ypdZ8DH5CXBNVQLgyU2Wv
EPAVVv4rj8mydQMnF+pzHcmPKSIflshlJD9YYzA3GQ63MmsGAGrBItc2croRoLUKtw+1cKmE29hL
L303zEWxdWSPo4Gbb9RgeA21izDpXpJllKsnJchXU1S6HlnzonrPRHAhA5DGeLwkQUjKJZEkLkmJ
2WQ3R72P7d0SI9A90TmWXjM52/QtYrPgZKjIcKRhXeDTLaOncpTmtYAuKw4wLxB8VHd2FW2G2HV0
EhgjmGLYEIUYlYpePsdhOrciGWywtM/6dde+NT6n7zbdtUay0UkI0Zrj2PYEu5feq5QbToKw0qyL
rTdw2PT8QpwPVc/RUgIBHVe5HcWuTnivR+ZWQ3li9ogZNE0/m2r2IscRCJrW6FSnDeHRaEovrKUy
MoFnJEWwE/X2LRMFzrq16ctviTpKszaR6uM45tpCMXp5l/ec6WoyzuRTXcnnOu9JcsKRHvcSqRcu
kmShseBqB8La8pRLloibWNNDiNAY7gNgk0jafGheSthjS3iNKvYkjdCkRHmq5XppxeJa6wGCpY14
8DoJM1G9igiqzOpo16XhnVwXhz4Yd6OpPHluWtuZ5OpLI5YOolSinSotNqaovklNO0aIElCZCx6e
LNr+VBpevNZHXzobYk47U7G74U2rh7eci6MKSsTO6dla3cqieSSWThdl61rwjHmbEwWtyEjM4eFF
bNBhVF370ZyTJXhixHlQpp18LJHrsbXTZ3XnFZt9O+36eRTWb2bBvVOY1bhHeLtuOSSI02nBb8hL
kfUK6QO7MG6AdVidNaxKdJExynjZOc6MTZ3UayXmGF/VCprWPFk1UJx6jhz6NE6uNIKbGzcl4qQH
/G266A1lRH1SLm6r1BpnfkaVmGNGJ6TOteIPryy2uq9uisFCFm7IMU6dVr9IhvsQG+otMpV8Iaqd
IxZjsgk8cdsL0UNcuLAVa7lUYG6nXvPhxgkupT95sdclKGXMsujFmvK/dWFpFn1d7H95/ffF3oTv
gez7m4j857UeHghBk7qqEg85zXL/acPqf+mwaBmhwTAWgYmwC/zThtX/+sZgY/eY8minWMnfaMMy
Hf5lqf/pwr9R135Y6gchSq2kZmakUdpiGMFi9CRV9G6Q95Do1JJznHI6RmsKBwGPqTbxvKC1d+cb
siRkUMMSSVECeRAxc/WCcGhysVj9Sb9vjCuaoPHqiWdEQX58QXe9bi7NRbYth3WtfTdvPnF6W1LX
GFgBSQKxJY2OziwPXOS+X8SnTF42N//dBfiPGiFa41CxsqdwuI7KzdS3fpoR9EfrYtH7tgt1ltw0
IGQock/RpRuxVy3i93qt9i9+Hs7VhtzuVPN3AorItW6SQeRi5EBuTFeQpOwLKLjUX/KHKO/kvfti
7MjJxJNSOtoCvFL/pARLJXEKmr01wkrxpqm7ANi2LQqHNLC7ieQDxYtx3kRZA7IuPnekaPK2GEvO
lvP4yQP+FaCzMLs54UkQouL8GAcvtbDX6sf9WK1GpjIB7a3V9A0trTdIdrW8wPtAdfsSwrqaxo15
ua8YJEFHJY/7xYCtHe0kNNH1TntEUq8lAv3ojrkKTtviLjEeQxmPHzzVAksYAqqYn+62GOeMgIJL
fVe/i+ZiUJYV6TrplXeJU38PyC05TFL1GgnLqr02FxdV1c07CMVd3WxklvZHfckiOXw2S0u2I8Up
r8Q+uOdWe1HhSrWdU8BHtmUqBqc/k2OE028+HCvInPZbje09JUoHXxgkijy9CR8Y9+Q7aPby/A1r
bs0m3Ds6Nrp4qS5ch1YVL+9Qi8FZPylEYovXQrngYAVO8OGu0POuMWjFn0Qasb9i5WJ5x4UVQxn1
bFob5hxTGbbDGYyHoiSmz+UgADKEHqDdmWtiMNLlt99wl/u2sSQ4KId2hTR42cp8U05cOZKxICFn
jB40aclv9TdJ39IwtLy9Fl/xB8cOAtbBER2Nt95viepDuEq6BRVWQKRZcccmLgmn1qbdcmzRRM6f
kHLyK1njisVsfMh2xnI3PHIMz2BLa8tobWvSBm2tfkR0az0bz90b0z9KmkHaDUdvJ3yMSwi0qBbf
QZEAixpWGGbVxXDEKAjVg19y/NTwBWF7GAc+g7eRX4Zl88bjtJOe+8tEIeF95j1WZ7z3TPymBiI/
CX4ENRg+OL02+R392aDft8D4Soo5DqUOkuJQz4drTaet9u9E7z54nCpEnMHpzWD77hGAWwFK4Dck
v4MTwZ7G2lE3BRzUjQxcLpyP2rniR6GroS3Wc+tDwU5Htwz0T5V1iwZzSAzZ1e3z5agntiKkRJpr
4z09qOJJ2ndXzlpOrq+CT6U/iGB9VzlV1rFdijO1nSvWH72psZ2BWyeCUEPcJ//baHHaZr5UMF9f
/31TU2VGln9nHn6R9iFGgXXFCNGYJIU/yZDYWlUie5AbTdOZL1MWg/kKxigo7r+ZvYza5Jdd7afv
/Jty5IddLXQbeieSpoFRTj/jgnOW+SqxEPURxmkhg8DCvmG8S8AnmwTbVAgDFFuyQEMzbByfVbrx
yqn7YZfFMe0+kvo19Z7DYi+J0+PAMY2BQj8W86wRtgHNYI3tyQ1WsoYqt4/mXRYt2uYckPmZMViJ
pjOhL8zCGp05pvrBAt8dFLQhyJMQbzW8S1/fx+r72J+awjhIxn7gLna96zDioi/0vUd5ojJQNPXx
0TDGp7R7M1oo6oa0aAe8n6N6bAoQ3hZeyU7ZyexJVoO9WIcRQyx72KdHt4vuRqNb5s2wHnqmrBKo
G8mOkK1grBYDHSAErTHvmfPIOvQ8Wyf2PTEogvoaWIRrCq+Slpwqw9z3WrYUTHruXQjzdAw/OeDM
wsx1IT32+4E+jojKxR3hrY7TdL+1ZCd1W8dKdAQXHWQeCySmAfs8Ged+EdyEeDzKlvohe9qL1Y33
jSm9ezon8qK5eEOG58FYNHG9dBv1FMPlqSX1IFHZyBwdFIkzhGtdAoZfPhnLZO0oJVjWgVZ8RYyw
T9E48QuFF0No11bW7iLFXBMe7iQuNm1ZsftGdboyd0gMo3/tnnsBjFboHcdOoHVTnevGWMoYZXGI
IwNin/NSu4lYXFzpnAL1TNJhJ4AbaHoqNslEhRTft7KKW+YjpzldANbP9IehYILdpVRIe87x+4LV
0R307TAwAshbaLaDSjOcSCd9oQjlNha5I+RVJkkbAwayp0mHgmM/N55dDs9Zoc0TuojRSF9fDy+S
Fz1KNCGzJrDdQsao/hqRWjVT+kep2xdGuJLHz77eaIawcaUYNGmmbKyYu0KL4LvTdYpEL1n7mowc
o+qVq5Yb9VYMJd5Q3NoFi/1oYcmZpLByIi6yfCRQL+UUYXorX9Q7/CghWHD/YUiAaJdFnNq9D1Re
mS5a8acpPOSrur/WLuORIS32otDttW4AjUHt7YRFzBCG44+3KqrRWHWwZt2QzEelOhPK+iTk0rZ2
sWy70uOYU17zVYfc9mRjJkgkv6CdlVuQImWyEy0q6AjrTDk6rVA9tBanUJHUIPqQIru6ZcivIwIb
el1rj2NdKaGhqaWTFJLF25zxJW7aTDxZqWcbQKol7lGN6BBfBt7NW8zGk8dELQhOa1yb+E3pn0NN
XCSInzQdFW9Ur+qqXmgQstXahGpPG6RQ7yMlokUMfL84qfUJ9cxBHrt57K4EGMZS4GJ6Fx5jo1+V
hgbZkdDqXscbw4McxBV3jScJIJJUwqtr8Rhq1r2g97YVfvSgwHoLp5FR2L7OQEqFNypL287KAbnJ
iK44lzA/Gdp+zk380gvDTS4uJjh5ha24CJaBbNq9h1FeExa5rN/FGaBvxRa1iVmRbq06C9CLaavB
woRjcj3KuBr9YNeN8ab0BqgiCncv6UcjtD626jDFQ1L59oi9uxaDY1ce0/6xSIv7EffXwIOhFy14
/XFjiW+B9mjkO60BAayMa5Hb1085+KOZqFzCW8QBNJhXcebL8mKNt0NUt4kgzmren7F99luaoVKp
23UxTW9zN9vFGSlOHoeZUFdORlNPDVh7GPbCcPWxg8UDjarqdVSEhVYzszNPVvhawSkVlHgRGZgI
RKHeyENWnlqzh9uaw8IH+ND4ZCQYil0HQERc0mYZjYYp9r6s3JTc2jLQM/IJwoBnj46IWkf0Tviq
wsUHG1Z4ql2zujbVVdVyR6ZR1EA3S8qLWY63P7bsVlFcSKZusu8TF4Sq//8eUqmG8nPZ/d9e//2E
YhiGOIHSv/VRp+jAH4dUU2dXnpqwhjhpMP4pvM2/DFUEZY5oEWGK/oNQ2vxLUZFpWSCbKMuRj/xO
3c046ucTytcrN6YTzA8nFDZjURlc+EHotvV3U46XUUneQhqWdqclThyAOtDaR6mo14GOyE8vtKPX
BIc2txZDENHxqovPsO6Oupff2mm60YacmstYfJv0onXTHhl1CZAwsfFV0iqQkO15yjKEvyzkJpWU
aWw1+mRmGmD+CZuZS+BZEXuPgavtff/Fagn0xPwgNUxPImGV5i77BNtBqCwVjaRBRleu0M+lBp8c
Hdl1F6wqPyXHkzLcM+ykrtmOq4y2GEICQ0VzGARF4EQR+lqtkZ54/BZp8tT0+DNZxQdY4CXrGMtn
UABshEnVAufoRZDicrNRDB6wsggJiyvG68CkqQu7CnJwPG/LmO8mB75SMWY5uOaT0G56UBdqaWwC
GEFeOZX0BdP6wXO9xWilm9jEm6uoS2rjHPRxIuuryuJYV5AlRsPDr55S+qAaCnMFqkqKm5VdCSci
qRxw5tN0hP+GzgNhhmldxYS3k8IyQNIiY8rS+IeiZNFkhZMp1Z3BIo/cQvPEAgpiSOvDx6Z07yKd
0QJ0PAIJuy6u9lhyakj1MSKBujfuAuVtgDHqec+aNRw18Etk8wievBxM3JNyu6iwMIY1ByNyRzyl
XFrqS46YrcHT2MHT04Nr0SN/zRhM5XizuuxD6NJzEpvE3xEzq2YbM8YlW6rOBNUaow9SOg81RyZ2
FmDixlPRAQlinSKGARqLoaVzQ+hWEZbUwn9X6oIs1btSieT1lESpupOx8d3XEGQwiEyLt7TAf2cS
4huqjg6cXNInhiGpN4Bnq5F4STyNAk6T3MD23RCu7YsfPt3MDD9wUUp2l+eLRMtPgqVcYgktNnTI
obdlwqlFJ+jZzIVlkz0bWbcdINl4t4wBZQ8VS+oe4zy4jbyZ/8PdeS03bqDd9oUOppDDLRGYs0RJ
vEEpAiByINLTnwXN+O/gqXH51tVyWy2JEikSwBf2XrvH4pLXxLnepK3ATL9uuKA3+qoNGmfEeNkk
zbo3pHnaQHdHb828HIQJ+IKm8DJKPD/WVmHJ1m3qatFhCUYvOnE2Mfe36JXt2vyIOn/e5Dp6rMrN
eJHIHazlsTlZcTmXtfI1qjuSYaLtGO4a/MLKwDV68g1l0c7o42WjqfhZmScrncsyD6OPIZIjwMYx
zUNq/4S6hraY7MEuO8UyKc/QGG+6FMwsLEmDbswFIDyobql0D4nPOWC4EZNb+UvW4LOaZUOR4fUL
3op8I5cNASXxIvIhlvU1hjuKB+0uPlRyuqxp97tkr5cKWoyavyRj4EkrW4C62WYySddm8Fz2UDVp
ZcpKdrXCdEyV3QHssXTS1Mgl0vGbo7bFLrSOt5x8oZGmn99lIoMy6KpVGCXdOjZBlnSlqiJ3Y1CW
SuI6ltHF1HVLVqdGEGIa0qLosc0JCkRcmsOcvTtx330UFTEgOkGBBcEskx2pr7pVIzhx+4ZtS78j
7dnfScNia14CEeNhkgkkR0yW2FUPpzI7MAVmyvmqiWe5eE+ItOw+c7pBITpa7KOZx2N7rMATkWhs
vUcRkZnWc54HzmQDqGUM3j3GT8j2NQaAYtfS6+RmCmLtsRV9BnoJB1o7D1mdyAIpl5a48xMU7GYz
75nHdOSQ6iXlgmZVk5NZG2t7LOJ4C2G/dPDLBewdYmXiehl6JHmCEN0fbrECDHlMI7u6J4sghS+l
9qPdWAPE37ElDluzivhLHxTlLWk6C4ns7V7mSNs6XlKxiev2/2k3ucNPbFpzuRbnUm6CjW1mUy+q
jsTPiB2/aro3AeZ/ZtYLYUhdKxU9KY2/n+22zl8m0atlJIfSYk1ftvjRwcWPRAPFZOFWt4cOceG9
3o966RlasRzQjIed+FRwjgxgIbew7+g8x3u86f2UsC35kBTEo3Lwqi9BWWxLQTuohcWyBeNoGx80
ttulEJIU4UrMnFMMdyKNVzWtcSx2KAF9hN7DIfG1RQ/j3MzDhSo+Vf7Nga/kf4YCtvLkPssYBSVf
Bs6P0ng1W0KxI/3Eo51ZAiorTqNEFE6L99BN42fRHzFkz6XJzlAylYqIoCgNTPEp51qsRvhFHCUj
rzpTP+QACGm+1i2nfshbN+1qu4/ABnXWYqxfmVyKkVMP5BiN1uwfW+JpIkofRdJlGV0tyw7xf5d4
UDF/LfH+2+1/lHgIiBWWNf9BpDPf+lHi0RSSVD0FQ/+ucLfYsMP0wQYhKpbIj/tjtYIXDukvG3YL
oRKzq7+1RWe09WuJ9/s9N6bVy08lXlCEVngL2KAURCOXRFj1S6RAyNzE60Mwi1b0fXr4OWDHbtYB
cvQQHDGt8biw6KDhikvQycnLJJoW1lqFmGnBYQu5884BECyleDelVLG03Qz6No/h57SeSkANGSsu
iAqEvro9Om3yMslNWSyTjAA1fT2SVM2IaEvsNKF2veIiPO7Pww6MNEVK0m10GD0O5D00IgyB4CcW
jOmnPw1OT7uF1jWzXlXHAimNalTf+B7UaWULeY+taTrdWHX0TVadIPKh/INe7K+LFbH0yDUhPvKn
gXLWz6f/JmBoc1QX7Txbqetyn6ykcvbU24QQ8ofTpN3Ph3NgF8hjJf724xcShlko89mXx3AGp5gB
P1JMTsKzr272cblQ011u8kw4k7t7g5ooaM8vCprInpTcYnH8MMCsgWr+muKhldkFE4tjch/MNZeP
xT/5MNVJ36S9Ya2oKfJfyQU5hn6fFf/p9j8OUyLakbOwyTQ5Wqd266fDdHIR6nRiv+Ui6P+iP7Po
3+jivm/14zDlU6BzdUsycY8TMvu3Qj/V6cf/phb8+Z4rxm9qwawczN6UImkOuCNULhULjWjKSYNe
GX1qsovVkTnka+LctyYWLQEtlW2VmQ2y7VPNmPcO4DvjxGb0qwzdujIzVH7mFX3LrJFgrghwLNt2
Xx5l5nL5/VoUFrVJMh+zbZ6+CzHby9adHOMdtV4gzlH/M/461C8QL+8IXnXiOTeMUrGqcHRySKLy
5k24TPh0ZxC94cP3RsDRikDHwsjkw3plYClchg8OVbVIJox9tUfVjTA8h48A3Ia1D9UII8tgMynd
HwLlPaMHgKSJKByntzW+8sWCMmnJWf1YEaHufE8F4mYyh0XPuUF+mHUHLWORB5jeCvZ9+ACZ/mYd
AJDqm5vqgyucE1OiMCxhbOxz1tHcbELRmw6aEs4PU4Dhsp2k68KlP1WEItJJhl+33cgCh5Tmz5J0
Jrtb834nsqedTRHdAVGiuHICciSYu84miTjEHQq3T/nptrq3O4pmdM7VPClfbyt/iGZluRpzW7k7
8GNqbamEix5IovCC/xNZ4DkgapPmmRHtvrBNxEfZ9qbvzORBzZc+8d0F1ocZ82tymNEwL25u+1nY
DOQkiLzUAfouu/L/GqX5TCFPFCaRSQCRwlkpOfrZc5Hs7uWq4pRGVMCj/IZ2k4jAGAZbMS/TbTWs
ojPh4gAXm5iXETCKWbRPZbeR15EHVh0VFG/8eKZGEeDYrUhBIU2PnludUzobVPgsG/lYm5++Cs7r
lHXIpaY845gE2AWQxxBcED/W4fvz3abvwOd4aHCK+DokTvJ60tnnKZH0084YpFi4IGBRHjYp6pGa
Tcj040Sejo8P8Cl25Hx9DXSCNp9T8wVbgGhf95e8WQ9P3FQsMJt0i2gPOFqdCUt0xHb8yvWsfaYW
MhjPJo6I7wuKZ4V45SGLROYMrhC9xWyY30IiCf36k4TwlLAaLbwqyUsCD+2ddYBtUJWRgCsoXN64
uMFtc9+C8uuez9GKtg9ZwX73KlebcnDyaJn7xI8HMMEQhLP+9SaKpLVoYJoue1d0KE1tE7TsJGef
+xTE88p+fcSSMV1g3F01W53DGQyShXN/eKUrfYmYxHgcdVzo2lX+3p86aUZKPYc/XFPDxvvgeyqw
VoIMjyskrQTUeX2i2DBmgM4gk4hui/h5CB4LKC1dP7krzHWZb1t1/U++9kx0AsSO4AfQhv8lw1Fj
mPbrnvJPt/9x7dFhhgCHJKRQ0tWp2vtx7ZkGhPi+/gN1/zEClAiiRveJhJ2ri/RTgQhHASuYZDFR
lL89kH9nBigRR/6nS88vd3wSFf1cIZpCc5esojbm5pbsGNeCZ7CVcAuiwnvtnzUS7xGIJF7w2ig2
0z7tvf5SePW74koFVAhKeEa1A/NNnk39GoI7Yxm8Am2twDKZdsWO83zztz45XNZufNdZg3q9x1fH
F3HVP/Px7y/Rj+jE3/kw35QfnV74DjWmSMQa6ddg3JetIs/owm41Sz7+GzKuJzO+cWUsKFjrcZFa
Zz7ib/lYSvqZcJbeezjx1Kyb+4deb5ncnbqjeDIfCUmFDMKWC+UAW1YYj+oXwdDyiGKHEBhih4/Z
Mr9Mrea7Qv1LyERqWxLIYA9YWhE6XE1aUnVUl7NIAXSsdtPBjTonwFuJOgBWM+5kCkTYs5j14elJ
Xh+syInI7PhN0diYMm+w7/5aa5zc9PzQG1VnjDg55wSSkH7shXfSCJdCQ9FMhLWXt16sLhX/qwiZ
vE0h0SXR1NEUxJi8iK/3b4T7jXL1o4ic6ePkp6i2zLrJZ5lKRzz9LUDyAqmFw94iXxLY75pdsS0S
l9hvonEWP439M4ad+u5xl/HvEYytHms2iXT4XXO61w3EKYB6M2zqRCwHke3jEh8r7iNGAnTeU9J3
+pr4MzFZoR8KP7KPdMdMKPsYLtKm58y4SQ6omqqD9twQaj1H6tRv0ErdR1CdjMwW7TLaaSRKT1+0
4YclEaADN9nA44Wka53lwdaP5YVvpTn6iXXNXJ9Dob85NfDHYSXs5S+eUy1Yx+kiUWbypXhhcopN
jpOcK19C7IXn4qB54YEFLCYFn8WarV/I/2UqNxJk42UH69mc+0d1xehVfRXeeYHcPuBGgjE88Ovr
QOJWNnDmWXJgALVq9ojb7exFmmVnrjeHmiRDba29jbGtyC40yjWsfCd+fDjFga0KwNd4perCLAMh
vSpn1ylSSYMeNpGvTjV4PW8KjEnn+kElX7JfEx2zIpVxm1+LM7OcdJV5iiM5990VdSl+RQ1yJvmV
cxJQ2r3qdiutZOP3qvW71LD7czdnHnDmTjL9JvTEdwnIMdJtU83CC2OWeHP3VHJxV8EK7iU2Q8NW
nXYVsC1S5saVcdAk9pHm6Jh4A8bXc8jjFIXp5vFJnm5Y2XzId40tWHKIF/wrvNTPlWtcW21d1cRa
Mg7u3uV9vDG2OozvVb/Sjoy/8lloEjCO88UW6nCh4PaL0TYRn7Iawm3WGscU/4j6VQfHPiWBnVe1
5TK1OaFKP+Vl6fo3YgcnSymIh323HbYTPTSavb0hWQWNyV6NkAbyWkhWULdjhYrC8RVPTSYoMwAl
a1G6HQDNwQW+v0i34fl2rj9HY1WZwYZUVwsMajMrEU1kqLEZsW+S8TMZLyjQuqv0oL/GjEhNR7/E
Ka/oeFF4ZPdA4ZwwrQQAffs5q0WxCIiGMh1i0G14C9+UzskKGa8ZCw47LCYbtr0H1BzSAyJAvfEU
g2drF1JZTLhTUqoLaVfnxYNv5Sxd5qVQuAVmNyTaVy00AdZkjyHcSex/d+8JGgNoCh/ehEcti0xJ
J87zJbl7/YmcTF4F4bv4KD/yeABHDoHdZzPrjQcYgriTZnA/xgJoq/Umxfa9p+JkvOoYwca/O7yf
QLMluRlug+aY3L1+kY9zP55rdBlQWCnSPstkLfZ2ta/2jb7ny7ptiDNdc/g1pkdGwdpbDve2OCvr
7hN/yD3GlTQrGuSSsd0jXdS7LZAdvz827a77rDB8Wl53+ygDWyaEEbyisoZqicKt87pyxvPDz30D
yUl8QMFup+fF5uXXUH2U1FfEndhoUd9Z9Sm5BOgcRZHpeP4R1m8J8jy1Ocl8oOXyYdGk6PKnKX82
JE7WLgX0jd0BF7H6DdCKWi3qkUEAGWI3zbMkpspccvxtoa9TkyvfijUExbidL615sRvamUETBfEV
kLgjoVDT3Rw96yxZECHnSS6lmwNXfZUipMRgM3hQKe+O+j48j4Sx9oQWVIROTvo34rUcywVD7kZz
LfQ6yVMPkyJipu2K9ZRjxrG6TDfmXnweh1nJmBt7dOWVHQUuCD/F1oIF4HMWc3Quw1twHt4inmwI
lKY7ICKCEEypT4H+/Y7QoTP0eB+jKQPOMF5Hsju9OVHhJNiaiRwmlW9EGs5i3DELV8o3Co1nseLy
pkloWZyRk53vSFzwOI/5DnDHAooenyqfZGXZECnnDP0mERa8SdGFLpQ/rPZZoqW5PYivjczZyOdK
0t71z/GOiL2h4cvbJ7YSWDzudinmTk4DV3IdZmRsdP3exI9kM4iS35pPWpxbT9t6pgcrqaD56JP8
FJ/DY3gUXrJttvVPxmFssVbNws+S/eD0Fx2pvyPI7lE4RGfm8cf0nFxZWLWf+prY+4WI4ZkFSGDf
Od1z8iRElQQb8DiEC7xOq8WexmtK7uV93tjLc4jyTmPY1ao9Sdv0HbnwlS/gy/h4+k6xz+vj5qZO
NY9xyS71ZhuZ5Drs6ZOz23NDMuD4qqtvWnQsSIdnGBb5uDsiR0Au8Gl98qPbuzC7jFcOIhI7rA3z
N5knr/C+vs6xkzt+3MPqlUE0Zjwb4/62MbcEhD4r78TAotAdPPJetPfoNXhtn6OLRk7GFdI8XOL0
0mcxxUtgT418gUevQxQ9Gz54V7jQj99BzRCVzqKI7Dpouvh+G48v+m73A0jcbEV5TmM2qpVdGGfe
7odqlUP3zI6Ftarx5i/IY3QyN4s/lXmWXeL32wKD70BgjInrcGvEAPbpTkwWgfzWTa9Fcfmqds94
xcN1pfM6u/IDZH6/aufyFcaE9eUXvxGQlFQNdMtZ+hzZ7Wo6SJDfoLNaFG6zolUiKXKBQWg7HkkR
PmpX4TH8TovlusiZQWepLBMiywgRSoZpi1/5a/6qr6JT9VAdKKOkzVQ5JSTa6lukd2/9y/iSPOJ3
eIEaGTT0jTPeUW4zXnCfN5Z2n7dru+0fm2Mn0GM6Wbnpbp5uXoPnhB3Yrj73n4PgoIcjAgVMtDpN
Dzqy1RDl6DbWSl7LvBgxjaLoYId9Z1vd8NqsGEpezbfm2l7vZ31dHZurFVN/Ou0n6cvZEQc/r91y
Lz2K5PZw07P6Jhwm4H/yGJbTK//JIsOjmBnMNsVZ9IbMHEo5Idkok4zM5rK+7BbJXCCU4xqdb1f1
qf2UPsdHSFSr+17dNCfjclsrl+6hf+11JIbohRD5IKmzKyRp/oxcpwfGH8CiOspDioWviSDAqa56
aHdc6zgAeDwBpqDtzf0nN5+GaYLyFzUUH5BvmNL/T/6Oxnzw1+bzT7f/0XyKDD5/0Zn8aD5xfcBN
Y4RJW/gbP438AD4DHFPXGHL+GHwa/yIEAJOfamAd/Cb8/Q3rhzzd8d8Gn7/e898kKEFcV7Wfh/Jc
VIVyfeO8bIrFYxA9l7enQjfewqAt9pbRm56qVLGbN+RR+810cUuH6y0iFRzJ5X1dVE2+Gkr92Qho
o0xW2rc2fY8BaXWIzo1wnKcZ24l72M31NOGaf7r58eoON1q20rlSPJK+QIxfCvsseqpJnhl1BK2t
orG2Y0TPGW3okofKlzY+c5uwYffaDUm5iO76KoiSB7FpN7dhDL4aOZiXdxmdn19fkpgSt/MN8Rgn
dH8BGdVQ4uhZ04AjekT3TNUVoceLpiyTQCkuhuAPLngWZLF3QWSVaHhlnJJvhO/5tQ4FGBJdaMTz
vBJKwOZM8WSyxjgb3MkiCzEXUrMUYrfIpJf41uYAMY3ATtoMx4se9Bj43EGv2ZZmIOqrOts3leAF
AgCYiUImVskuGBkXtyonvnJkvSrLPJaOCumuFU9ynhxN3Z/UAWStFnThEpLjWYtK2SyLlz7Rd0lb
XYCW4w/vzomGCC5GLsmwmat+Bdy0EQvOCaDL7GKk2NBSa56E0QNKk5NYSzfIjGrvVHlrXtWUYPUx
50kw3suMmw5EPhZUKIXfeW1tLcNUcoREdRXOoPfmaiqdbY53B41GHOlPbS65d/GCqol0rGTAu0Ef
V9PEJX1CmHi5DAeIo8E1j2jo83KThfJaHMHtp4TJoigoTf1QmkCggwA5jVoQY8WSSoMBI7Q7eZB3
+Ny8FNvpSDMsjKGjavoc0iTBYJF9L/VdXdy2Vp/Ok8446SzeCwFrDo3HWEpzua2e7pJEEqUEYae/
HzqTEC5RJHKmS6lWpPwTf+YOsea6wRUYZclHVg1AYeGaGCnXRwSF2hQTuhzRW6YFSBSJk+yd2Btf
vQ1ud2fFl7NIM7+H5+LOuJF1LjET7cboPcBrB55CzmeqIFKndrGOSAm4VIu8w0zBqx9Vq3nBpcmy
UARj36fvfqMHXp0xKr1jNU8aY+f7pispZf5hZEr+MMZwA1FG6cE1EhhdL9IsfYhbNYxRgKsMu3NN
tU0ilzyt4DJ4r2/ANBdpKaFQrbkyy5g+tJxrvtp8+mLfzwzkV85InEhNCOegIofV+3mh5UiqzTzF
tqQIq4xAv3oMHv7Rlw1Jn/gakoyCEKrFX102OLv+dtn4/fY/LhvMKTXEHvr/cap+XDZUScEYiDv8
9yBx418mo8kJ6IaeUjK0X64bLMkIGDcBgQB/Vf+WdJHH9+frxk93HR/ib1PLJIplRCXaHDr5BbxE
TqtHRkjJHIdGDZg5EzjmcF62wTyEaJ5+L5p1X5zXqHwR/xF8TdfK6x9hDTUi9Qq6KtS7DK8QuLG6
ZZyJXhkzInMwpvaYz7qrqc6GR21Nv1zslTXtbKfOFOom1FwM2KZcFvj6ROyR5fGC+Kd501+qp1nx
5D+IL8OBozf8Cr/g5yD1odI079ObD4fqK7tA0kejMtm4vt9Ujk6s1lwZPuglebM4UmkXFvIG9Q5A
G42imEBuT6VW3teH8pAED9VJh2Ekahf8717uMYRzvm6rYZ3Q8qTNDCvvgFB9o56o9cwRUM40hQKc
9M8+gKh+DE1mxA5t8K90IdqfuIcwxX+9/Y8DCBYC8gs4CLifOIx+HvorHAYm+l52Db9Ybjl+ZIJa
USL/RxX8c93FVoIFAjRVNMEGJIi/UXd97xx+r7vYW0+qFV0Weeg8sJ+n/kMiK5Hey+p0/IBqEdbj
fjhK5yndgNiDxp4CWuS5cVb25tbfqkdtz2R92TjqkWl3wkg87biguiUoLq4Ien/FBOKUg5uOxEUX
dBQjupCKwcGlpje/p1/j7cpIn39PXNznZjyY0oOCrDfQWANau6Bhvle/1XQiN76hQgzsqHyYxfu9
YrlrOCErhMThO4gaSrhdgW5QUk+W/jZJ+SXmlf64xWDTsz/Tp2EO/013bPrMQDSAykS+kL/iy3Tf
aqIurgMxDJV3C1meHVuguUvOEw5oAcKrk+XoTX9Yl7nTH5KgvOkPRgrTeGZezYy5r8CdokfVj1bw
IsbjRuEcIOwKbCqJZSO4YR185Jo5WnYKmAAIL7aFYS2wquPbxKc0HLyKTyo3G589hSFOLPPAX0I6
i1XmCjOU+oRrRkANKEAR3HCqYQCPfu1zAJ73SWlMQgclHR1yOYMFID3cntVyPeQsI0iaszVcwcqG
jeWhPEmbeuev/FXzkJ7Knf/FrN56DlubNQhjsRbZJjrar9sDp0fjPRfc2wPDAQByyOcwnoiEKUHe
i07pIzMa/wVBS/qZqmhVEdXhB9mYtwOmhyp9BhwEKfi9qZ7CM1TirOqQ7BjqSpaxgSLqrSICPaMM
tcHeaMN5hXt74gyu5FhdVwpG17LEzKM4+W2cZWtTFZ4KCiGUS/2IB1hbwq1DsCTdjFPzpb4r9rCM
noNnceKWzbAq78JVux23EJROoWWHa1riLaExtrAMXcZjZ3Oh0hYD+b15Y+PpyaaWdjyJsb/MoC8h
g2V8GtlgfpjJf/Wl7b8PLH5K1K5Owas9cnXCx1SEFU5GngRZPzyznfZ5072CNC3umw+5wm7A/XwB
XvOqNfrXOUwcF29QR+KmvDU20lJZ1gvGWvmTuCNTghP+iqBh1rPkGuFwmhKJNRK3ruXs4Y3LmbQv
HFQLxJ5MMShMsVzCDo/Vt2oJdhmPJhdIr18yCgnZ7JbLzFUsstJ45exAMVWbdthW4opxVD+HcYYX
B/9tuQZ4PDjdHnlieFtp2MyY978OIsuKDjHjBuxgultl0H7Cnd/t+MejqC/Ha5Ve+GAlusgKH3Nr
NTlQjGrHjSpMWXmhXFkk/pOvJ7oI/Uaf2mMEQxNe7H/18QBufy/I/nT7H9eTKXKC0mmi7iCN+uV6
MpFG/49nPrlM/tgj61hJpMkwMgEcvmPD/9AZQneggScK0ADoY6nS36rH4Kb/qR775Z6bk8DpJ51h
mAyFnyaiTHs9D+VZ/UX1FexA5mRrtsWcmaOLSJBd7sqkfX2Hvyi6S6QXxDwBXX/Snq3FDUCtX7zJ
+BMVyhKDkXk1aYQOE82h7ebOhVUV1ydMZFP0VxZ7oyQzq2cqa48iYWaT+dWCLxjsydBBtxHdiL+y
yRMTm0cQCLbKWfLsP3JdIATaGVb+Nr5ogQsax8u/5Hm4CTfZM3nAoR12OlzGZSZ+cX/JmROPN+WE
7j97JlwmJi3sAI6CoDECAGZTpA95HBH7JFZMe1Y51d3VbRLXWB165ecUprVvykVNjDPVpPRAPVnJ
56iXDpOtcahsy4s4MVrFMzp7zhqY3BPpbDQP7QGbATGBOOJJ25CX+Le48OJJPyoL1lOy7JVX4SnC
ZreOgEQg7hj4TVf3pa/T9bPPwQRyrx5z6ZJlX9q4tdKZSngGJMzU/mxm7+9mQ4pssLEeMeqzmsoc
E31O8sGeSMC1s672w2f3WJzT672ceQ/xVXkqYgIDEw/ag7WPYAVADYD8/p5TpCoflfaebeqv0ZzL
2Zq/oftMC9u2do0cdQ4cy10XtE56MdN58KprEBsPSrVAWmBeBB5NrKazKQf9eHdHDz/BpjoMu9i9
nbERguxO9sEse1D28DbQcuvXzNpi7akxUd6f0noDS0eNVniXxg9Cj/zX4K1cCBCQqQTm8DgP4o6g
Wm3V7oHbslcbl+1et43W7k5MmHnWgJauk8yrTzJau8ZDnI/DaOQUXsxv8g78kZDailNRP5yqAQ0s
cdzZg2huleaDEThCMsbhwuUWkfhltNch49RL3KJj4UMy0kc20DayPsLi7GgLX97l63DrPaAun91v
DsImnC2DI7jjwuwW95ylqG2MH2X0iZR8wULRTp5Y49nJbKOjDPKZiJ8ZVIfPBWxX4ZLxEsAdgUgO
PV6RrkON4wpv0KaWl+OSQHStB1DlSA9ERHXcjRF78c3T0q2uPfXtYWpaitWSIqPuXKWcQBqo1s1X
NuYD/kL5UA6bic4hBSPqeZTqIDBFxIBo1Gc9EVL9ngNNWO/33xzgWlwFVBLeiNqAaZKFRv6iGV9l
xsE4SA93pHUnVV+oZwNxVD8DUtS+98ZjB9vfya8AnNggTfHaAZUlMl5lJ55HOjilHe3SWsXdqj8x
kVMZS0fs//hMba3CwR1Zou7uL8KlqE53RIh8LW/sKUBOQArBtLO02NMcpVkKdbg93NhjRMfezB2l
e7a4l57Wtrb6CHRk0e20EkCVj3HnkEQMQd6od8lNJKbTbRa1rtqsDkXFLdFZ3Qgj44G050nBWJ1Q
L8a8kRSgoF7w+KzOb2no5sgOBXWFopL3YVs4HXBw8fEeYTljnDZX5Z1Zv8gKB+HdtQqu1OED32ho
tsiiC7O3heKtdO4OojBj1e8U1JtgbfHbZNJSUp5VUVvebs+SErgDaVvGnDWNtm3xuEM4fJfrRb5M
XskGD8eFUXk1NfZcPaOr7A0AFQdW+IOxNOpTjqE5b1a6vAmabjmg83kPEi/5EoeDJB6hDPQi1gKZ
JweRX/MIi6x6ZYvFYqexwXPp41r19RlelTQ8MLXDa/SJYVw5kHHHK4okoRbBQZl597vb8xgpHqwK
3Tcdsf/MFsjvKYR2GlWzk7g+6hWqRoEDCy8bfn6qSOhse1iw6vTssKGh4NHGI9IgTvMzKqlkXmr+
POfgrLhEYJPuojdE36g2rBXc2G5EOnQWkmWbLmBf71pIJNW0p2K7x+IQbSgrL4CI6X7KFBIjl+pu
rQus0Pr99AsvMAgBHlmxoqKiMhdsAdujCSfniVxMJHyDbOOTqY5gD/nH+JlyxXp+zOhc3pH0lh4r
MISAJxqJhd7a/+RCyfge36iqzr5Dlv6Ka6ihSvtvk6ufbv+jUALeYVjAX+miob3+ovRGeY0jjS76
2z3L0OiPQul7ciVKIgAuqiJjmjf9USnxKW36hioS7X938n+j8/5vjoxfHrryW+ctCYJRmUOmza2F
/1g8Zw0Nd+O1/AHN7WRLc27OFc9caV69aziFp5452oi+htcWoZbiFcstGlaiiAdqmAojAeoCV/Cy
xilDj5kO5vj2JXoyNvRWxBfSyK+mcOBi6c+Lh+LBXAFefwoLr1t36tIR3xhwl281OxARPYUr0THi
KkujBfoD13Dbxc1hcj3X1ZUfLqeYXwCnLLVZjAYOPFahn3EZEz5N5G40FJx4uD6CDQAPLZ+Fx/t7
eDG2yhyc9bxc1kvJvS3UDdbFvJh1SxncNM0RqKJ8iZ10fvfQDXFitGwCydbxtl2bhwpl8JOwq9Yo
IICMR0vhugGjNKY4iO1wN33jfElEoju64UKzb4t+jouvkZf8bS6ms4i6qObNVn0zkSNYXm0dxeGD
xQTo7mxOzq1nOMZ3h5X/oxeQkHBgKbOgk1WItIhb/1fjgkz29+PxT7f/cTxqWEY5UMlios34Vf06
hewhjBXRszIKo6n443hE5Soa5D5Nq0aJfoq94Y/jEbooKDuodP+B+/yN41Gedpm/TcJ+uevfnc1P
nUtrDobS5a02z010SFmtvwzQINO83pGS+1BAiYwBxmRQI0PokVUh7/QJJ+nDlQwFoqgl7UXVkiNs
XS5W74kMjwfGh14YLqTFrdLnZ/JtFonBpTOmy5Z7mQlBh6oA0Aupep6ar8V2dKOwgAx0qoTCyzNC
tWsQMMoVAOfMZFhQ15VrMrwwjfhs8PIV20PcUIzi5e0ZbCsNrEYLs7n2KTQXzUddmiYtQUsQgu4i
crdW/rQylJlamM07QiyriL2V3oL9JedAUqplDdn4rsenuA23/hT0E6QRsSR6+qXQEEz1TlBVXwLR
AEHf0mkppGJW1kK65wQYkPFak7p6G3Cd3Hr/qWl6T43+DcQsMCZIXbgAFj3XaUtKsEcLgxI+x9yS
CYJ3zyWvNrlCDoon9/UC1uY8HRcNep84aOaCkj51anLOdVqmpLqM5UfVfZQGeHrp5mWo3AZTYIqu
veSBBk8/yl4NsHXq9LjaBJcHv1qZ1Kv8Gqgqhs47M3tdH+dBgCQuZ/dkCetY6OxCSZ5LSklDwwIB
BccED1aqw4eMJXWIS8WxxnBZsbaNhp0UKCtN7S9pRF9piOshzr7Au7ZuLennMcdmXGvixyBGI4b6
8sPK75dSGWJ3+HZ0jglDF4UAsBG1NJz4pme4b2bmutJS7G4lE3q9mCWCucySdyguiJN2IbTmqDyr
LECt/ku6K6s21eb38LkqicWwrL0RWcxJ6YhLw4Rcksp27BO2rKfCDUYfbaPCOrnrMglQLADPwgIr
lRT4jTDxH6rBDMmvyJqPru6s7Z2tddbQYcT9RYcgBW4IID+LCQiKdd+zbw3MRQCsaKOqoQKjW4Ik
It6Qt+XwWGMYhiIj5QyBo4prPVTkal33GcLv+kYQdLcTv0mqo9KTTTPhVUc4qzq81WwCr/6TayKE
+MQ1yqrKOo+ImL84B09gkF9roj/d/sc5WOf7Tr5WjHUs7X4xqYIfQXuiqhMWTfoZlg9tRKd+QR3y
XRLpv5gQYO5zoeCO/vvU/Xe2EZL25+nRr3f9Nw/C2KJx4CJhzAMpA43D6YdDkDAjlRR5UM5OoIhs
CW7EAlvd1jShRdUNC/0YdzoxUtcsTmM3vVFmF0JaMnDPaRTzyHAKJd6XUeU21XM8pXanBr5WYlvK
m6heDEMVlvKtjh2NtLu5leO3qshI4wQ0gwMsPBRt/B6Omj4z4vs51SivRDgdSDjipeE3m5sYn9U8
RaoO40nglAttaea3Joj1k4UCspTEmVSTftxWB3PM3iIzn4diCYI+BkPxpdXPZu6Tjx7U4ovca8zk
BbOO3/XbfUT9EajPgSgYZ9aphssZfZyLgdm+Rwp3eFaL9xtSuGRbp6WAKl9BXJI9AhZ2lfD/c3de
zXGb3Zb+K1Pf9cCDHE7Ndy4aoXMkm+kGRVJUI6ORw6+fB7J9RNI60nHNncsqly2p2Y1GeN+991rP
YrQudvc60r76GkXz0EAjUdX7Mh+2xKetowvzkqEj1x69O8B12W/ugCi95eC30FOCiPLvTT88hKj+
dTkHvpad1JGOeJUXDDpSL9d8muVlvRzMMtmQVB0ovb5qBGXTdW29vHTo3npwYLNGKNAbB5l0x6Jy
3xNKF2ps2xINm2CgDjCyU5CPKoIM9B9znpZzJRduJQWWYqvxRJSZ9vQYF4WLcJvm/U1mXhdToK1f
4ZetqzWIHDuv7vWLAd4bdXXlfwvJHqWA08NH08Nia02JW1KUnIqLLM56TkyckwevrU2N/PCIBJC+
O6gVZjm/M28bQ3kYItZOeTmIqyjWTv/kpxFWWYolVRMpoyTjVxWawT398Wn0l9e/exrJIvox5p8i
XMhPTyOeUkARwVh9tswTz6EikWNz+s1R/35DCC4J2zDUpG/A+r9lmecJ9pcN4YdPbk5//m5DyG2t
xcoYaXMtVhGV0jOuRs9SrvOMKOaUqXuV3Rh+ulSkfKH0yaq6YEtP0bhnBl4d7KDmU2yQy8NkTVbv
Q647v48ede61XMcMkB+r4EE2KvsSx25VtrvSPOvIaC2/mV/TqztgXa2YZNKzK5t0oYa1I+Nw1XXq
KvZr0XiQTRqHGYNOyEeXQISUi3EEBVGhpp6Fklgg4LFqjuxKGM6l6+zK3UWrpFe1haheN0KKTMoX
T4lSeIP6VAjWYYiTXRpuYxBnMfPUjkZkERMDn6GGsgxmtHCPlefYwDEy/WxYR4USbapOnXOa1dm1
BNprVqsoCV6zcdUkwmmQGPN2QbRm0UE3fYvm0Um6h5h2+zUrd0CW5swFlZZ5oPh8AQJrYtKM1NzR
S3nHnY94/aFBQlylAuz4CA04duUHLRSJhzcg1wTGna/7S+apq5xzw9YESygGVnKlmZ/WB2Pi5hS7
rC8c02oJeoLjqFBtSptGhFo8Fg91PWA9e1IJAxkv0skKcVSP3dHonqJsZV3oQIVPQAGPBPBRIacM
BdRJFK1I0isX4/QItxBtWRltwBGnw3W0pFWjxl8tvczsqj+rtXCGZFh5aazX7hibgn2pkb8pBX1U
PSnkjWB14Uo1YuVBoHUvaEG7yNKmW7a8dHQrWb0TBrJPS0JQFcJQQ0JRS8JRRXaJKv0qQ2hcpd+I
Cs5sjLrkqiLDcnKah1dRoZX3mmqIy4loKdVWmsdTMGsgV/quJ6s1vsBBSO9lTFgI8OyWRNeWZNeW
hFcLcpdE4mvTVXMLybGiCm8xzhBRINjr0s46kmLl8qjRsouDL3pivJhJxJZTWoxRfwwUzTPUEfgd
1uIpfZYU2k5kBtA8a53iDtdmpdFfTs1jVdMpYOcrsJ5xV82LvvUi5SySb1sUzw0rdklLt1btazw8
R3H5qEeTgJh0XIuU3Iy03OT33NxLRaEzhCtdGmzfrJeG3N8BqFcFN6zL+Hyd1qMoXoh9uC/kAd8c
xnXKNMJiNnGuKXvJ56610xxS0GDcCvprpbABCbCBXNF/Ggm6wzzcZNd5wGSY2QBTTlcssEgU9V3a
H4x+l3EztmzUC7JR/8krBqNEGQ4vJT3bQvVXajTjrz29z6//vmIAQpmcsqQWGuxSP+xfVdKhYfl+
hjcYvzHaxFqLS/bbn37o6JGIzloBXkVVYU38rc0rk9LPDYQPx61/kqIVtZoVbZhR2psIXvUrmG3T
PNQTIw/8CsnD61FS1omPo5FnjXR5SmoTeiexwVTYNZrUlBEFKRgk6pyL4k0O7iO4VoEq3sr5q8Ys
kZrLrusnA9yWj+L1gvK1NAn9RAmbILOB9+MVmoa9qfgyoJjtQiByAtKfp/6alk4Wm/NWQlZ8VUa6
9r3G7stM15KKIF8x94FoOdcaSovebACfXkEVQQinxB/HtZz5G7FM51b9Jmgxqcm0GQzpoDc92IKg
u9aHMc2eCv8cD+mcot+2lJ5Y62w5tq9maqERQt8KX3wMrqjjrGDAsJusAz+4MSLtbcwxEWSoLGjx
h1KIEwdNbgVLj/K83cX+psyyvdXJS6WKYLqL9by8gvfDn2T6vSfBEj0EfaRvhtJYRz46pr5gPxou
zewyj8Mzg68hepIgQUH6uvctnngBlpEaoLcNvfPe5NkmyNdwL0R9YCPFNe3qku/NsDxl4zDc/mNv
ZLCQKBfESZoGnkiSTDrUP2kGqizxH7Z+P3r9nzey/Bv7d4NIdpl9A1xuNo1/ykr5I1JRoSL9RRVn
/YbgQSMomAeAodEp/L71s37j40HzpjXPvhGF3N+6lcVPvcBPnxxh3MetXy/1F6HJ6VZFzTJpZBMN
mnstN2JrzZmBmhCEu2ibV8aijluG34G4zmPdyfy9ig1avEqLq4o1zkyfhPHYyKlXId/O0mrRkaPj
5DKDLwGnmSAz8iseLq28liqscTiDS36mHHG7mNdiEVSIekzquAGLdIYmtBHMRdbnHo6DTRqgyw6m
JbHT4G8+jYlJBoC6yuhDpeOTTrJbLyE265kgdxisZbjH5LhcQArm2S5I4B3VALlrQ9wQAnvd1I2C
dRKFPwtg5YREAGk+SUR6RyxqVQmYkVrfVk1BR14Ack8bJDcMtXlUR/u0kmCOCDPZGteC6Oo1M081
vrwZibEzG5PCyxSXYcPAuJx3mdI5Vr4PjaPeFy9I3DNcP81QMFBs+867WCl6L4KPykrfmBcxw9gl
7zQ9dUtmqem+UwLXJH45LmMaa8NuvCTUrpH0VlwqzWMKWDAg/SffspMIHC04cDP2L8qvqjXko++r
tYkE+/n1f96y0m8skjwJYJV9W2Q/rL08IAwZfO30rt80Sd/798o02iNNER34FFn8/Z41f5PRrE+V
HG0lmlJ/a/mddhXv2/efP7k6GYzeVWuVmBWJGUvGvGl9SLVlxB7RJF6rVRGj+LmrXzvH7ALX6oy3
3k8WTQ0iMSlNZrnmNPrSISEp/EVPKrpmmUqlhDpG7DqqtqkbI31rzIDpER+NqVuTCPda8bXIAbrS
ygnFbG7Q2hG660Gk1XOl5WNO5lftSN27UqeGEI2hggZRXrKIhbSMdFpHYpgux6mXlExdpexS3dSq
xNSchlMz0u4YaUEVtKL+sRc0Vw2tRxafST/NJk7+hTKbBeXDBf2j13+/oLlBtClHnhHxFHj05wok
/WYaU2NCZQT2B6flz8sZtRwXuEl8kkZ3gqv3++X8DRJGG8OghWmg0P5bwmx9ski8v54/f3B1+vN3
13M+hmmRjBRsCM40HDHgZoEFld/wuCQaldgTLqoXE7ULBQwVqvLQ5serfu4gGKXsXhZYceXX7ujo
Z7ZEYgHHYF5jM0AY9NoXCxY0E3uN7/HvzHjmDy/RjUzSWBvDLvmin6kS1S1iMupdmvjI7TJWLP4y
Imofvei6K1KXnoj/ljx8+5mIrXhWQ/0aaOsNc/8NxgLyKwzjD4wL+KUmriBuSnTN8JulTXRxmwxn
nEcs0dFaq+64THPhHHVTWg4skeqZfhR4PUHydPhEWlIvY8Y0UB7EZtldzFWrMNeIevkAzCvjx9Mr
KEGVNkdCAVz0ygsQoMjlRn2Zput0kS4sIPwnqAo0VFQ+W+XEIGYK3ikgZ2OptVTtq5oVDERMfSwL
EUPbIc/u9eoOt2CursbLAfFJlHkpci6UI+bJuhz4ZT4LuLYvexPuWLlvzW2Q7ntjL5uHrtv3Nyn8
DeQn5iEfj1f5lPGruYlDbHFn8t8sbZl1u54JVkZ8w7Ju1gpR4vVNR42rgV7AEcvXz54IzEzjmdds
oQm2IDwWRz23QTBMzAUxuJG0mswqG1Naa2zhnCAPlxj4jFMYUlDN5Rjy9Sw/Frb+2pr24NV3hJZq
yWr0bwjvvrVIUzo0NzLQ7BkJU7NmQ3jRAnd9nmwuePKaVdHNY8XRnq+n8DB+1QGVKIhfljIeQqAq
fLwMhXpTPwjWjV/DjAaQyqqwxI7GHHLVOT2x4muF0d8D0W6djOPFroPt1ALIEnkmdc9yJNoBiHvZ
uT7LHkbBUlzEdEnwySygoD5cpa02PvX+jiqhC90x6mwf33MHZu4Om+U2JByselZDt0mfqtApTBI3
iHWdlzO2M6PpxERWhO6wTNpNdduj0y60r/B71XA+PCpTEjyqgmii0Jkb4VnfWF9xMJe6hxQ8wPUg
iDaKnXHGbxZXOEALA2dpjH38xDdkTWLx6Bl727OQOkTWxofrjqSJNnMj8vNkh6MROjpDaDG5Fft1
WxAychMYpKeQz7hALJ+OXv2c3l5auBGSLTB7RSK1CIBWTjNfIMaz4ku3lC6eeGs8pwoR1gx0D83B
XCB50o50Mrr82J+AeaftDcFV6SG0CyfgEvCfrleylOZxewMNjAAQa3Xo4B44iKmQaSQi7Esm2Ggt
My8S6XXOat25rkRe8YCovMIXrmGRciZm9qybww7sXWMRy1/KbFe81sMiW+gQkVYWzRduv0tzq8j7
CoOie+ho4VjxW73qDugR1YD56hwpZFdvDfsyHGqal7dktmvVDIkanIPkdC1QX2ludwJ58UAPSJ44
C4Oxzx2AoQgV2Rsuun19RKhligjNUJL2u8ITClSn3kRS0NnNvl6Hpb9QHdJCZyoSyYnIMfE6mVvO
nld4VBfnaMYvf2Y/PrLTnkWmGwDUyz3tTfI3PdvRAi4a6vnpB61RGGrQfXONL53OVZUfkXglicNj
LhpsAz3nA0lS5crmg3Ed8W5bnFilOxkM4Bh0ewRfaMsahGV83tTpCWPI7ZLwehGen0QQx3x0um25
F90vd+RygLgGlSK76guefyR7APLWgdvmNo3nGESEuO7Sbd8fmXHH7nUb77GqYql0iJcsQQzETnlG
CS2wp6Hj3KgLvMEFMS1nJd7poSe+aPkpN2fleexvQUSUmEHTrU+E5ppuow0GfWYe9fnoxTsC0XeY
b4uXnpq8CcuFCeNBsrMYZ0nH8Bdy1b1Bash5ohIg63UgAxkhLhFSN66biIZfPE53FILY8EtmA8kW
DkPrhfkSUF9whJW4VfmE8AaVdX5j4IGF1lHWhhskL8O8hGe8NEL3n731oZpFNYMtDQsZO5SflN+K
Jf1l8vKtGn7/+u9bH3Y8hm5QJpB38S3Y993mByMpVOIpgpItF12sd5sfGXMpux9xkgdNLrkqb+rg
3/+SJwwqgjoLV5ok0UDX/l79PW3W82S45Nnyy7//NdUKHz668mkzf6mDKjRaa+KP+jdGlSjJLCiS
eVey+AjMJ/MGvW3yFlTHvL/recyFYrU0MOUIUJdQoxXX13Ea2lhoE2iGn7KOrlyjzzjucx3r2zDM
Ug+AN2hQOtnwfJZVGLv9FHAakSh8ibJNkJQYhIR+E5UZMBEWK2n8Wmu6hx/2OJLQbqEBtuInFPve
pQPPlBr7UkDjQbLhaMEcSzcF2QK5LG6lPhhWY50ucuJPFXUsMFxVJvpcRu73mo4LVA/DG6OJr64e
1rdF29/qEGI6yGMStucE2ZGmlE7nS40wr4r8uS/S2u302sK9Y6YFbbb4rumZ9Da5gaovv4ZLiAPk
AU8ZN2nqw+jParTlEafAtqpQfI1H/VjjgbP9nsEn8fHQf6zD/w4rodSUJkDKr4EbiRp/kZomag95
3MQJX36a3ffId+VU8ORUJ4NiKY3IjxFEBUbEHiUK7FDod//smxYwBn5p4k0pFX5503J/fRyX6txA
H17//aaltsCgqlCFT1NRKoI/b1oZFiRPivdU43c3LY2AqWSXdKqdqS5+d9NSylAEKRa4S+71v3PT
cmCfb1mEetRNdAKsSaz3sV5RSWmWcz7/XEzfTMK0yJFO9++eaIff7///lTXpgTlLXf37X59K/Omp
8OEtPj0VsrGsiaCRwRFq11WaWDdpzNxJhLRzMyhvhdZ7UC5WP3/PXx0Wz9j3ZdgQ6VFLHSjPBVUH
qLCIasqMfvH/9yaf2o3WhfgLgjPkeTbe1BN1CP4ga+7P32Rihf71DKGzZELO0xsZzcdDMctaR67H
u0wW3TTuD1qvLaTMOPhGwzgCCy4eSB6BJDTnDrmIm6G+seqSGK69og1zs/n9tn7t/+Pylv/gdH57
in96ynOtfP9Any6ZMlKHREklzue83VxvsbGXdsKkwDHnJWqa5QgfT0Otsa5n94Qe8JlmmavZwya/
ZV443DYbjB+e9uhjlvz5d/XDs/7uk3260oycoGpmA/K8w+yZdOCw/cQb9OXP32UaCP3s+D9dW5FZ
C5ZZcvy6ji6PgGL9FzfMj94A/TszOLocUBo+XVdxmlRSo7byXFG++mwOK+vx50fwg+9JkkRDpH3C
WE75NhJ716SoTINmfFgTA5TOi+tGb+8l4cvP34KG5Ocvie6PwSSRrQeX7XSM795CSBnp5vFVnkvD
jqF1gq4rlzd9uQtJmvn5W0l/VXzw8H33XtPhvnsvspBQwci8l1m+4OuaFaroGsjEBiVeAC2xeTTb
amocMhQzv7jifnBzfnjrT6cqsCIAwB1vnebDrIrwR+IfyfV9mv7iovvhKXt3jNP3/e4YR3Z4viUU
8twadi25huJI/jwI8Z9/lYSV/+i8vVvIPh1Qk4p9FfmpPB/zltSImAbUpQB83UunxIi2egwwNwoM
TyhH4qR9ispLbRzqwA+dQDDeUBzseg2Gh9FS1IAVF83SelKnsPvWujxk1UGN1VVVbhXjOFDXy+3e
aN600BUDiG9yegiwqEuT+Ddxs2BrRIlH46MLzLfeMomP2ZnCWb3c19nOt8YchhzSDuIUlUMueCVZ
yTpRNyMyGQQAItvFQ58v0D3Q1WgtiLV2eRuX8EQWJU9rIXrT+nNcMlmRt5iD2tiVsk2D3RXauxAs
rWElR6sYvmXrjOITc0vcUKbq9tqu5OuBBgrKp3IrPKKAG+WXptjL404MvYZidphhY6qFeVAsS+su
N1cwEFLBrsiBpgvFkCZzsCOKyowQnuAs+1CftvVxbBbaWxuhapuiptv4K2MS6vg5yiT2j3SbhwUD
JqpDkjapulwFkXp0CrNDBIdSmo06eVOrdkRbd6kJ47rPQOQNdlS8DbCgDGzuyYr6u6FHCMguIG7q
stHMQ9rAxVRW+bAbUu9yY8JaSLSDVDgqBD6aPMpSpkwVw1kB+i7YMEFWwa8o+j2J12Nz5ueq7JvZ
gscO0kK9vROje7F70ugnidq8E+0JOammBJrPBd3pE5c0bKRBZedVrdv4L7nyMJ3A4djxCeDndYWj
1GCeLjudk0GGbXeZ9+2yRegJ2OtFJQtg3Y6nS7Bl3iSp+7wR+TRPgeTidAOUf6m28nWZWQ5dm0Jc
RrrbmIfLuFflOfLDUNkR1uAIksrX3GCblAAuEOTR654JnCyVeUtdwW/WzNSQ7sqcJL0YLIG+IQDO
mMRVBDvNh+g+mFj+OCm51nSRjqcGbxa2S0tEr38iOPZinisfvbl6KvQ3PdxoODPFpWnuE5049nmp
H/z6YK6V8iH8MnT3IUwAY5hNc/TxqIZem8/JCJKsk9hhcMPBIHtNum8HaIRN70XDicheVVxkxspS
N5Z1HzKEk53AUheX1nAsCz/t1GogB1tyteJcFyeF7R3shivsx+uZ+ARReFajF+H6PEa0olV91jQP
ZEpRwNy1BLv099CkywiTc+z1VwzMmAp4xEZ2O67yzMKctwizr6q2hR9NHlzyGtcnWISSeuybRdHd
IRXylPwhpAE00o7yKWksN+6PGQTwjJ8zKw0Q/ceoW6hPo7YYxVUhLfRmL2SnikipfFVk29BfmvGq
NFy+ED15q68tbk0MHQdNOmWqXVAIQZnMz8boGClqM0o7IgVSstMWLe3mCMQZtAyY2aF825t768Uw
jhUeUmUJt7bqnd46GUSJp8vAXJn1CvhWfuSyDZEz0eAB2ItJy9ogpe12YLyNtwYcekW0MtkPPJS4
2FzJuoO/UeUb5PLhgJu8monRmpQ3sZyNhouxuhpXl2YjZs8mfu9xYkRkLR0mZGduQIFMgzwdmCi5
obpQMjfNue1co/DI+mkBiUjPGCtjkIziegTHWa3pjvaE8pra1ocMlh56ibPeuRScZCHW5ZuA1+xK
zaouyZi2TTDfkd7xhCSWuCg5zbv0m64w+KJWpnsxoZdyUVTDviGAKm/oa0KpSJSbMkrsOMicrOt2
hJiS63ExBttsGnOFV//nq4407Rg/7aigIuDRI7obUc/k3nu/uA3N0FDMs+hc+nTVReNKUTNXQJBX
pa3nC/VWG8KtGZ8aGbCvX93+4u2nbeHP3v7TzMbX6A/4VsYinpWkHkfL2NhW0cpMUzfM9MUwKvaV
Vq4CB94iy6LCQPftE/yfD3vq6pvN6TW/DmV4CepP//uft3nKr/87vea//s5/fvxfXvLHj3Se6+cP
/+NmdVgPx+atHE5vVZPUf3qqpr/5P/3DPyra2+H69u9/XfOqfk6gpbz9oNIFDTZpueCATf7Mn7e3
KAf/Uil/fP33StmkBsWyMMm7MJy9q5Sl3yhOCXYg6/UbtYw/el8po3exdAxoSEim3fL3SlmjXpo2
0ubkJGVY+OfXcvj9/P9+En5c97Dx/tF18l8fHWfYx8t0zCJFTxFbz1sLCBHzYG1WPohHfEWvLCCI
NtizFEthTc+Z2ZogOOKcQVlwcasVw7u9wt/337qjutVkO3vtDBvmC1E8DPPAW2DAD0sCRggmFVco
SDRHfhpvGM4x/dPKFbM/QXSsRWwdmMhJiisEGxNEBrEI7H/8jbrl90Rjx6wRi/3vv7v17/w7pmXt
oSJ17kRgDH3tG37WHO/0k3/C7cVsEv6FMjNt32b1SvRFOU38yJxxeKfuqCGE5rbnycPHdjJEnUg4
v4w33XGY97g92UnguZqNxa3FHP4hfw5SmOxGsQ0rT6435JkyY3keBLe5Mx6iQzfa+mp0rFm+K5dI
5wiFmIhG6clfFbt2ORGOilO1u6yneINmJ23w17mXwYnXRrDBN2EzNXNVexJld7npEEXdKm5u3kNN
0qsSBH8urvBWwI4TAAT4psPMrw9dUO/sOkvhrE/ggGVHBIMTPI6b4HFgMDTrq6NIfv0WgFy4SL7I
d/Xt8IzSGLeTbbBJmhZ8Hu8xOB1SnEvyp0dlVtNPG0khIz5gv4czZxuqzZAxVFci4UTyTAF6WC9V
moBKapuZKwVzMXOSdH+Rr8AiUbNBoGZBXDPLbNS11j2Qo6bjpYcg1DrX5MQxQVKqzx2GYOz37I12
2qbbNbt4Ue3GTT6RoFbmKt/lO+Clh3R3Xaqr4BDvyk28C3fCPn42j8INW9qvl+eAsVpJIAV+R2er
H+XVZXfdYJ6/nbzFxqv1ClOveDYeeMBeb7tn4SF4rHaIIp79legWuzxZEoqjutLs5Rsj34v27Bna
enZx+/u22fmwkk/+oV3X93Jnl8lWP8D98tkSsTnq7PYl2F9W+ZZX3YRHNsy2cq+8NOfrnn7BzXA2
1vyzELfxeniCfAHRw0Y5n+4Mf4lr2b/j9xjRxmtELlwKww4CS9UCJ7OB4sOX3HZbUDP0IVbFMV8x
hH2q99a6Jq4KHNJsgrCz6QbpheR+A1gsIqACJKCdLdKHcYfzGSG9WBBpNBPUtQKVdmmlB0KIKWIs
O/qCrdEed7yupNTfMJ9ymDaCqXiWv6APGR4RWV3Xk7+ZwdO9YOtL7YTSs5Vc/VF/DN84BKdd+4eL
TkDt7uKHrCskkRsW+v+ZkTsXdgWXN41znjMZ07AYpH08RdqFWwiwNoJPko4Udjl4w5tlKDIQ15Wd
en2UhIoN9uVCXtSFHZUrpuLMKupN5kPbSJfZM5HzFD5YFdfGCEnMFuZarhMYLsd2EfvEUlpehrvS
eqmaal74cA3Js1RKr4U6n3Rw9/GUUioQPqiCya75mglwh3nPU2/lG1+7PY7B2InA8dZfenkrHYUz
cEQiJYYHSBVLQHIMQVMP+mF1a3rZyq72/ZbBYM88dppezlLyXaKVvFbXI+Gpex4dubgcvkJRsv1j
58oSianayYyWUnTm3wqgsWEGdKJgHg7B3d+VbK+A1z91xj70YDrUvRtxd/WFx68cODlGDD6ub2F2
XUGXGI+EQwOl4CGNyUjx/DUjyEx32KKWzOzIg1fSXS6+MR1sSmIa0NOBLe/28at2LleAaGaJ+89e
+XVEMhZaTsTXv8KVWjJ9ms8r/6fXf1/5tYlTbTCLmtSof/bHpd+YZyE0k+mB/zHv+r7qYz+a5lya
JLM1UHnV91VfR9Q2gSIQpxmMvf7Oqq/+qLn0/VOjcP246CvWGF3HOpPmtVxfztcWZSZ5BiPtnlBV
aPhYXcuuvugFedVKAnpuBW5iy/TFLQ0ekCObfQzod2B0xQMgZ1cpz+LADlcUdlkJMPBqVZvU4jcq
csnKu2uq07gytae+eh6kZjv6NHnpuVyU9r5T5CMbCj+xPFOpJmIPUhCrurWCqnsSLcj2qZUFTpsS
sPOPvkzxBCBaJPrxm3bxFxvUSZv26TL9/Po/L9NJ42xq8BUUCKA6eIPvl6r8m0ynf/L+/qGAfr9B
5SKEx86V/E1pyd713aWK7BOyAj8LKaVs/p1LdTJgfKpjUBkiycQaIamwGj415hu1aZROyNX5Hdmt
quvUide58W5iX5pf8bJvuzNmUs+cd8/NDorWC1qkeBUGKyXaSy/jIiaZdVzJD5eDMAdRS+bqeK7n
8lpYwgBFaOEE7nXOFHFrOWSKOFAUcIgudPfLzYoUdLtmsUGdkVG6bePlfb4ERehqR5z+M4KXZr6d
L96dqj926O8HS+avDngq7N41RQvfL3VsqOp8mNOI8cAkrhh4Ttk03rBT4cp9y6epjuZdfuqea801
v8rPtCKxLBXFLC1m+TmlDbkgE0hZVBjYHGWRwfkhGZK9V7WbomoCL7SNraDNLj7BDW79nB+6fXmU
75PeltcQpG672/Txehrv5I25SI5D5zXBrHzrXuBZHuV1Pxc3xa1yV66uxynjZJG4xM7sU3MmQxyd
LP4z/ZT/ntz3oZ58/81MXvKfXgqfZhTNKPuRKGZTlu91OWVdREv/SMbgONPhiBqL/BgUK4KM7J6t
sOJE+2XqQoW0tX37KtxcTt3qulEe0lN+ChHhJV41x2ct3adn8xDOMTkeyhedYJgX6yTt1D2hEGSK
QZOZd0hsT0RDIJpBk0YGBkEXjNhnYnpsz0AKFs2vmv9TwfmDQ2VEyr0JAEX8dKg0JoPIauPpItD2
PPkkb7Anoo60pA09zFvugXoJta7kwiXr48CoE2Jf5nD2ZynhvWtsLcjgQAsOq5bf2umr5ID5s2Mv
QcgXP1GG1aOfxhuwaERUGV59m92Gu/BEKeJGTuARELUxztn6uhYBRodvfegFNzSbXR7/M8vjLpyz
wZrncw1ZDpdW5Amuegu5zgNX5kRIlb2ugyVHbgg3ElRON1opjxeH9s2sNhxlJbnSOVoku2JDrbAV
q5nxYngElS2qeQcViM7vrEYvVSw37SxxWv6zdYU5FFV6lTNykN3eZgepejr/CHOkj6B1SMHBIT47
ZQ403Nnrc7dUPX9WH6F3fEsrqZ+IniR9qXUpbNdAzOY0HhcIm4dF6GRb7UB8G7mct9bvKuf/9tKl
nv/FCf00OpLUXJECM1HnrGWmaQslZvddXzkdSfVYxxHofQler4KjvRTbrqcqKfeSDrkYyaV9WSeP
VF4CwEmZnAdXxkJ52+z058yjhitm40JZw7ZTOMS9AZqDWF1/2qdeT9rqWXIRkK4Gp3YfacivGu5s
Y4WecomssvAe4+UzsQo3NMn6nbghl+ccrdNH602zwwPf7CJYCEcF4+fBX7dzlUwLW1jJHk8O0cm9
8S3izGyNYUUYGo31C9xmtpOgXJ7Ml+jcHfvDzx+O2g+/RiDvEz0Us85nxHokBbowpgFf48O4z782
LkDyleWlq55qLGu9kjFIve40zGiz22BPG3RGlB84SXkpH0aYtTuiEJxs1m260PHXnHQb5NJKX2ua
E3vC0ne1ZYKwjZAiNtHbbqF9Gb/kzFyPkCRr5xdH88NH/bujmY723aPeqBorj2WORoYbCY3Uuok2
GdwSu4CFQElg2ttyY70OhU3Cl6csIs90wg1jBGUOeuHx+gKThXLNOgc7aw7ymCc1MtTIJWML0cys
8qye0C7fo2AlRs/lykG7KK9JuZild42tPEq/GOjhcPrRdf7ukKZDfndIUY1N2FQ5JP8c3KYU88gm
T2CIMk98y24iz9pZPJBP1qmY98sBJMapOeI+3wKU7l80nqkRWC8nvXrN2RLs/JjArdmVh3iteSJP
fGbxA+bE0KYGIrnOci8baUf2WHhWqjVrH7HTVeyO+eLSs1C6JT+ic0WmwWRXSjPUwap5qFjAWxII
rXtK8KihZQ6kZqYeaGkfpLv2hM+nnIceGkLWf5G6cqqQBuexCZzHaGcdJUCJJ3PZtMuS/QXEfQiV
QburzuRgE/F7Vs9IuI0FjekMD6+OCjjzQPypX67AOkpXbezwi45MeApfa0W3HW9jiXM9K3N8ih45
xAkxRoStkMN5n0kewxMrs0MVLIhNoEiU25rqVOryYnlRfCBAQ7hAcobCNOsWReuRqxbu6Zh3U37Y
2IH+n6n3pFcU0HcQcGPrCsljnJkvPUjLdX0abto3mudNbDM+I74JmDatBBit9aEDQ00EwE16N+6F
TbVeq6cgBFwqHKp77Uv9+PO7ARvFj64dXaYymhy19Es/XjtdnRVBmkyL3mCPid18bcOZIaALpwSw
i2RB04rnIgu/teJMXvdwX2OgtqLb3RHUSZomBFjxS7dt/IExcglDnpBuwELL0zU7CERLjrSkttUD
aSCDq23xgW3bxRzNbbRApwfr/cysdfbYzgmsO8g6uiEA3t2CGwYiru9c9v4OdS4JBt0MNsCOpx1d
zFvw2eSoghZZC4cGgGdvq6OjMQBiqmEnK5ulBf4CE6zOQ/ZAALR4r64X6KBP5kl7jOig9HZM73Le
0OKYdTcKV5O0SFYMQ5e1dUeynMikNP3VUPwHAgM21u++7U8PH7O/Dm2XsM+0Fi39DDZN7S1twO7p
stbWw1vE2tK8FU+MkvTMHe4yny1XcddqbnynP+G5mN08p6jPk0X8KG/K45i4Wvj/uDuvJUe1bF0/
EREY4W7xRt5LNwqlAwECATJIT78/qveJVSu7TmWc29Ore0VHmRSCyZxj/OM39iV6qCELH+p6cB2V
xDXu2ribomcqJKccgohYiiMmNm6+bRE3S51I99vowevuv4nuwW+GyZEnJ72DwGa721HWnWp9OrIg
UqZUkiX6lOkkQ2teSyXOrDrOvfJBBV/WXhozkauMQIXhf5mmxx3VAOs+1oe9buQUKhNhQaCQrYGv
FCv5qwaKfYVCAmor2114m+EnFpD5OpaZpG7F2q5PNr9xmWQY/54ZAw+fWPfJToIn/GGKWuuuMyq2
hEOY+kgldurO3D1jEV5QMz9zU/EyDZpRtufx49FwXRkoBb0UJZibeIeRfvPZ3G9IoIdapBFKLDvM
Yut5F16XzclRWrYB5NFsc4nlbkLc15Q+LZdRfSivK6qGIeBuhTvybXgbX6nv9+0qmxwgr4uEEdsc
CydI4V+kGUjUX/xw+2GtZT+j1/k6GlYxvy1Vm+3Jlf1ZQFhgJG6NLc5tZL8zZXdhYdzJWpxkrmjJ
Q4QAX3eXkCbFhrlun8w+xNjG056aLA/RS6dgwZex4j+91kMmZhNERE2JMIZKHG2OXSxZ+l4Vnfrq
cvp2crvWPtsv6w2GK6XslFKS0pU4TWNYZ1N9fo2hjOY1/sQHD/Mvr7MKDo/U+Rws55LTORgTUdFy
wKigtmqcTbo4ny2zNYXdUcWl0uzVIACBJQFwDml/fp9Sr8WYne7Jp2e1s648Eu8c7JrxSSK7kjA+
c6Qf3I6S+v2KYURD5TBgVyAnFRwOFelUHb/807AprBcJ6Sz3GxVEdXLO0/M0M/u6qIn0GS6Up6U5
uj6t5uxqpCU/EkcQ/YH14s4BuBRWvZTFMSR5PJHJ4rzTjZYRsY1Pzb2OdVbdtGnoUssZ2nUaKiwx
+zQ8mUH14Yc2w+iHT9/aDEqof2AFUKV/ndbd89HpmZYM/DZKw3KovMNDeJxdlPb65A7bDu/Bs6fC
CfbBKcmBtJ9gtqMDRnVYw1iXXSMh6rVUFUWTTNTAhTANlvoZFNXcpxfykF9R9q5cwk47XhTnyQAY
DxAHiwG9Hd0pwPzyg9mytEV28/J45RNxchcm2HqeHRjNohhcUZHAEhTXTAn8y04mwI/hx5AwRUw4
zJtf7IoPbKA6p6YX5qoEFLlryen/IdCrHtfjjqi17dNeywF2NhZqLDrlWRfyFr0wqbMzMxjYTyYC
t+OdIJGbe9+yQ9gsCXHULV8stdfdr+fMs8eG3851TJhvfb85iAC7SQUedeHgy8DIHDziMHu6ZExS
jWeLbtlzD+bPEcbSF+RYYToRKFc4csoNB08oeor7GnUj4Nyzp7BKYQt5uJ6cz14x7tdXYy9K32Q+
tBUYEaFHIgJk+9aOaN8/iIPGxtiOBQcmBH/yBRMxn9yQ3i0i2Emh6h+J/eHm0TQdEFFJjNfXKa6i
kRCpa2xSPdM3mDod+tDQm8h+KjvETkcir1bhzGvbtJjKVVYzxdNgonPfJBCIwjOO6NiuS+YPKgJR
h8Te0iFi5N7al02DykXyFdyIwvOyK8KzQ6/cwUByr8CAn+dfRzWmiD5qH0ZJ9vmL7fx0FCbVuA+D
PrvS8uFnnjx9TtCky3p4IYiT3hG2CWiF+9yLLnnmhn16haliJwdaXgSsR34eFvTKhobVRtLTg4/d
/OT3rugUk9FgpHzcqs0pnVwVDo+rIw0Jr3SaYCljvuObiwZ2xWV3CSFqrGmEnT5JxeNfSax004IP
TicDxi0EzcZI3iaSbZjkSXsDD+T8aZlhLrvZjAbizP0uxo87uLyvR+jRCu9lswnkQ3liwUSXl2e6
4bBhODk+zcqJhqs5Ro+Y5TP5Ou4ftil+IioCsM/cJpLszWNXPoZ4XluMqECpcNJBwvOZeAZkC+Z6
YcYI7DR+rHG9qAo0/pRBF56Hd55B4lqdPtEi6u5hmft32vvbqMh3hQO4yvl3dcjXa+2v9PPq84bd
nMcbVYkxJrfPzw0begkUFyivMEzMuH/Db6RHGwo/mzL5rNnSpkktWCebM/w3wa5n7b6Z6G+o/tRB
eK3dLrizJt6SSHmr9vm+25iZnUSFp6UBJUXlXQ/2k/bSL7GbmmHjj0awcB4Z89ppTTQ4nSzCrkiJ
lfgm42VgmZsc74GZaLjPziZaRhcdvH8JJ6Ze6LzaFaODL7vC5hy8nJdX8CjLkBULDlTbSw/LAfvB
EDi+BrVNebY9ka2t1azpJ/ogRp2EnVpZP+ykmkscw+WN073KWqM0iAhksA8jFcNxOrB7eNm9rGkV
XtxpBzqBbI8H2PXdJ+gFc9ZiWoZr02Ef9/oKsXIN9+sDC6ygZgwToM5efOgXS9wri7QfwLm5C3Ay
w4Z/c3++Z7e4U1Zlaal+vpqmb2dfil/x2S2BOOt5Hr8pzlwcTdoXNYJos2t2lFCkHpjw2WCt8cBT
jnyX4doIIIaDq/Cvr/XtvJao5+/0sMuOoZVmxJJsG/h2zZm9fj5ownjM7KmvlLT6cilMLuGT3QKN
WWp3HvNvjQolTGLIOONbw1slvNWddUZihQdZXKDcxeufHcLDjalm+EQbTSKFSPtqP9OgeX6UtWt1
j94snanq2c9pRQjmsGokwasyaEvPfM3wrM+9k+jIppd2ATQk5bpXy8rtVhWq3dcZ3yfvple2Up0m
rwFOKkw1pYN9IfSsBocQMLUBHlFikyNThVpQi0P1FJFzXCCCCy4zSuq7/3r5WqBoC4nc7jhjoI0L
+oVUGmiUSHk3ZeEW/WjtyYqeMK7AJV1QnXsawtuqtNDIPCkN74Vb4byV1wHAx5PpPXEgr5V6Cu64
S5h75oAk0pj9B132/Q8kvkJf3JURdQd70ZCWj4RkhcZrQxIO7bp7ra0iOr93pstsEi94NmOqFOgM
yiBK3mvdf2AIk9jtzbr6dHZZlPCOX7g/ng4xkdyLFzviYa/mDp+FwXTCXpWssZZfdaMBze9CVoP7
TG8+zYZJ63WmSmGuuc96wqXY93F9oTxK3WRBL8MNoYofHeJur5P1aEWvT5PoJ1oSwWlyQiqRX1sX
RNGh+cDs0WolN9dnhvv3LlD5bp7wS1mBfwtmDHBmere/f9ckRvZ6HsqbovhJYT2w8V5Ux8vwMLp9
me/1Or1bFXy2xjOQKy+k7XXYY+OsSIyGmxxLcpIzw67HoO3kAb9xX6qThD0QGzFt/4JvVx2vDKyh
KegUAteDgzdR1j9sB6+2iixx/B2rPH619ustPPundm9I3v0tW0Cty7x7DNrWsOOkiDMx6fdBHIxp
Z8yAATYPOO1yTELWaXTwluqGzfD1BqkNwkAJl1O3BLeJVVBL0RG+zsuLpW2vc9aiZ0ZZ3PhplEwu
TJA17zashwOvCJJtNTHvLohaPakmAglNRQjppAxZJoFhePmEuIohbMLsbL32WDrPLtFLs8hTii+z
zmQyLW9Kv/Gz0rnO60kaFaCeD6fB3FwhsEkELX0456EaVdMBDVzu4RA9edmSe2EPOodXOtdHgPrD
bSdfs73kPIl/QmdlbrthZdpGdB1WdFCDnnuyplMvZWurPKmbncuyT9c4JqzIi6VgIM8FU8XeqGH6
Mqljd44vNrRSD/ezl8OwQOr8Z3BdIcojNcw2H67+WfRf6o6kFKs0c8lkv8bXj0zzSN/pmU9hfJNd
hjVlBOo7g28LpvemZhYqz/5HmzNtguOM5D+Ql2NJtX4krhQRp+jrs2ycT5sx4thmVu55M8Lb2WqD
W3CanCb6FGsMmVT7BNyDL4X5sjaSwuwzZaUXUFzsgsPzrdoY8+eG7lLYpX4aXu7WwBfn/L0+LnUm
eHVcQra0n2+Pt/aNzvBD3OfrjHZxeusbVijggIt0klMoEdTP9q/nsL/DoYVzWzm6nXp5lLi4j44U
nhJRuOSU0aD7lxlc4svDrWoXf+jik74zPBz//grKf6AOYmfJKNrAIh3W2rfpsCqUjZZpEv1rVBLO
lsT3RbGT3dZG5W/dnHP4HD6Xkqu4A/Iq7uPMzX5oTBgR/qEv+e0K+t//DUVsBmlWNgVXQAscql4z
bSa3V3TuYIxbyoZ/AYpbA3JHjIDbLFeh/tn4h7FIUka7BCgiyP2nuZz6011hTvr7NYnqpdUPN66J
Wo269xSVnuTIURUf3MQBCEIrVHrlpJrJia3ELXX64rQ/015W4ZEGMci9zG/JECL6LUqDGmz94gtO
FZ94G3EoI0EHk1dHDpigkYVuz354qP8NrtHq/XNLpW+tXiI8SyXD2t5/2tvzmPrK0/gflQ6VGXYJ
fmIP4qut2Jt3A2x/cADAESgU/34VyAf//mR//f5vT/b06uTTWeAuwkYGJ2CduxQazjV8jB/7x/42
v4dGYeUBnryL6tPYNcHBOywTMnZX4vTgXWJ13rfkFJfxxaN0eY6bRbPAE/S+GewG/Aks14hgOGxx
58QNy5V1C2MpR8CsoxviqA5+cffPxMJs+T/uw8Nx3CWIiOYpdc9OzgT4QHhFHRtjIWxGWgxyANnO
urmntWEnzkr2yIOhbU/dZ5z6tZuMUUsEZphMIP30XCYsquKvk6OH2rj54e7J/dH3jdP7r2f4DSC9
DJ5nEa9Pxa/6miyQvME+GZdLmtyQmn0ruuDIvjKut9pEmKFtuIxbhrT4K7sfPzxHpV8uf7uUb/Ms
1ahQ7PXPEXsUdBPbG2q4nu9UhOmyhcp0mXbDw9drePEQ1K84Se3Uaa17SNW5wjfeqGxm9fScDw+9
QynbIrD1jCZwqDiPUVZaGtOC1GCFVJ1N3BW54k66MT5qRu6eFgou4z+G+lh6GNt6KUSIDGTmgANa
4hxfAxzSxqQL1cM2FCL0mQt8ykISaAORvSH1cdW8enR/k/uwJsuAN5oukYdY0BuCszikGe6Fh8v0
K87m9ZBmPGK47XS+PLwyGWh8crfv/TCNAkywryR5NCOmwNb67Mm8PKYvuaULbBz8b3zH/3WO+NPG
+AtC/+310RE7N/WZ2w6kkY+vTGwPo4R3po5uq9TTx5qTD4vxifUX5SHtZtDZ7jHFocTR5tIPwzh8
hn5YBN9KtVxrz53RsqeU25PkM4T3GbYAcw1llabUSkgt7hYsC8gIvubn42zKgLf8UIf4gyzoVphc
tvB5b365kESrGlXJrEge7l3BocWYNaF4bCtXPBY7wk3prw6IUsHZ4fTlVniKxE9SD4aAPqwxwo3F
zCFMJXPTGmDWUnUPTGJDJxylE6Qw77vEdodJdFhybDAXtw2wEZjFYy2EKgdB3r64OD3ivFK8mavB
B7Dj6hK03q3/la9WsdLNHWVHUKyL4+VoIF2ZS6iPHGk2eE/O9Ppgl0Npf9shWSq/zNmAMqjDFhc9
vpWCqOJusaf1GWDLZWFV93qQF+7IaFzxCyjh4JEbE4lgxwCdIP9MnKBRw2aGCtphjcLg1zOkt0tn
c/wTb2UOFtdk0YpzQl5Ngz6JIlHYXT61zW0BEs66LEeIoT6Tn4S7PQXtr+/9t5MZI+xnquYswLsj
uviy3BzqshXNPcUMkysr9zWO5WKs+grv/DXugmZRE+gHv9iJ6P1HKEiiJ9su3vlWG4kzgZ675za0
AeMTvjmm6T9UE73O/b+vmfBvUeM/Mikt/P5vLw1WqKrZdVzzOj5b27sjTJIjPRPjgHy8L6YaMNBh
dfWMvbCQIxTAdGkj0oTTUODIplM8ebg7FaPUPzAXSsEcjIgoNuAEjp2axMYdDBIMoTe5Pxg4BKx6
tfN8pzUy+arv16CDRkv0bg9rZevTsGCX279mDy8T3Efq5NN62o1vi56RpE5xyjeXDeOB1tXm6g/z
5j8QaKgB/rkRv0ZCv92I0zOrjVMr/zp8mYC9d146hIaXEjmkTHGI1kbFUJjsn64yvO1BWtQNeATt
EcG5u+QTAjBThee03naROuuiE5mNJ/KRSEmKponfOuI79Cg42VbEM52bjkwsE/tOL4oWgD9Wj4O1
w6HBbsMCMOvJhnuwjR8etvLHAuO37/itzmn0zmhybEGIVxyw6XTOkwKDCFkwrBPorPbZ2gBkMJrR
XzmcLUB6hy3mmnREVF6Fn/rg9eFPlyX/sAa/1z23x1O9Pftb30aPKJnXR6DLGbCjO1li2104jOsZ
LcToqJguoN7zLqP0E9WS//eDW/tjCfHb7flWQkgKLtulSnedDU/jsxgYpZ8NbIXUq/X1A8F7s1RT
Yr2Iy7shcbaKj8tHOc2RLwxcVJhWynZI+BABV09n4CmfCb0iMc3D65EMLTzOaF7Lw1iKhJHOfFVb
klunTbovhjEPB4UdhqTwcWQIY8/NQKSVth4Hp+9iyIgGdl/9/cv+uZH57ct+K1KepVjgQf/rplPA
QW4yIiYD1pyjxy/jgfNg7ZZjcCeKBu6Dn1s/XMAfq6TfLqBfFb+9cJjCywdN5QKSNbbKDgcjNbfi
dBYMs4urzCrSwO0jbYv3wbz7h1dB/gPL91+v+7fjOa1r/SJofLoQDziZJbIviRF0EwDQk5/QGkvR
A8pPb1yQ0LL+/burf1zxZADrGOH2hkDfdt3ObO6Pe0u6FElM1H6GbWBmgybGhOKFDRPb5CBkJGJn
Y0p2q46gKqaOMgb3fINSZgwJFVXsXcjkM5lhxmyfhq/ImNxBL6opxX3p0g2TkRiY03ojSpwflXvo
95vBD68MevQ/nR//fJNfbOrfnuIA/1o1F/kmOO4NAYgMv8H9QXWF9+Zsj4AngTsYXuQzoScOSlb1
row1wmtrZ3qYCizwlMOhQ9g9wlqPppEwbQfK/uwaNuDN+u6xSUcE741G2VL86ryK9qOOhVibpVMm
p6SsNigoLYoUn5OUZunmJl/kjb6/EL8Q4HUUv6DLDU0A89emC7QwWcmlp+lrYlg6sN84nVBQt8Ds
muqIK/5UkLjaVGbWP+3JEHcC7O8YVdudYYM21OVOmpnH6upkF/cSQ87z2qE+w8FoDs1qkTWTHnkG
M+dQINrWA2YLi91zVK8a1DFEb+ue+FE7LwLAmaRKNAdf16MMcQ2x0RZKhQbRm6zZ2oImkSXhjcV3
iaBBGFr0ZISQ4Y4HUn5alAML/sYDyQnMFiV4XSeGPkvy5fM25U+8MveJLEb46Y2V+2X5X40NbvES
gR66jirg36/sKTvcnw+NOAR1ISyU9+4XXU/7gmRKX/oKecyRGQsDO0cOEzJcrEhpsIz1c/8AEFfD
Gv9I44gy5Q7ELndMEUWT0E2r3PUbqYDyP3Uq/MWrKVDm9WYTeXZDkzMplvlcuEXP8XXSjpCHBXkA
uv26BH2ntEL/DcYOP+dDKYZ8cnEdmWBO6xwbAKRD5oZU5nWBFo9KlLH6MAePrH0CjTmV0QFrVjpO
j4jA4YlBH03dbs3G3UmhPASZtPJ16ZP4GLbL5tj2DYxqH58LRlq4FYpXF5NEBcaizx5p1y75jkPV
mq0G+VBMHYH0VdtoAjU6IYV2LhyeF0fDEY83MXdWJAoP5enhIx9B7dKmBOdOrq/g0boHPdSFIduf
PrvRHyAsn8LUjOW4Zubnq+syYo58GQHcNyv8A6a9IZtDdQgTZlGODmN5LJLWbPhGpNmMj3L7DPEX
cwIH7lx8o2un4Qtub41PzuoR2zuMREurWhgxM886jWE53D6A8Csa5n6W0J9dyXsGnUy2mxV05qid
vkYF8pp6YaDpmTzj4vOA5PHve2Rvk/S3xfa9IFPl+61MScbwY+DhbcfIUpogXdv2YyyoXORuClvi
MSEnQY9l38T/I9mTNHX6RMZjP7Ge8Krla30ipzzuhUfi22ADjv/44a34RbL/y0vxvXoRy+5wUq//
uU6iUzzmtbNkJowxPJI42CoiorUPda5Nk9w1x5B/5ZA2fWL6onMEdfbxqVheaYSUsTQVPoBYX/CA
plAt7ZPHCOTr77f1z12yoUo4wCkqNi3fjt0Sv/xKv/MOb5G1WI2Hs6WFKbKVTUcEhKxvLlw4N5uA
KgnQIje/huFsT0/nKFo/HIN/iHKk5v7tWr4dwm1BsrWRcS1XrxlC42ZvUGkJIOn6N+cG0A+SgNWQ
z90Z/XAb/ngC//bR33BcXayqJB/w0dDEn74+bLb390axZYoggm8cKbgHCfkFNqmplOVROq6WcAPw
KeXV+akW+WNZ/s+1qH2t8tsZml+URL7317ImSJ6db9iEynAZnm1Gc9S8gl+OH57u8/mM1QXsG/9+
L6Q/mhiLKrZkxIAgoZKVb8XgdXBJKl2+kRdO1jZ4fRli60vUyzb7YLJL5XvZvm6LZoeu9nQOTnjH
v9wH846OSz13jlzbSYmLZK+Bbc77p7CAw60iJW7ZRg2n3N0/njnmvVY5mYg2NC0rGdXMOIb40lNM
K0NYR/RSDmmEzzCnvH9C/zztynFPAhrEULxAwKy5v1GiOmTiTj72dZ5GxHhb0B0Z00HoTmerlw27
zsYQxoYfCLki+qi8GLgARwR6GGE6PvnHzh+a9pyIdP7JZU8af0qzHSYlKGEejqs5LWTwh9PLYaqJ
DmaVUbevnhbjkXM4PaAFrYfZEXuG3qYUKjFte8Pwz4NGVnsITmHhDyCZA2aA6WkAcvwd3RXgcylX
q8L3sBehJC67q9/Q5duXgGIvhFJmZ8tsWK/BydGrvrd26RmftbU/r6vjAy21aEPtfaxfdL8ljdH5
6VQWLI1qnMIx2JdDpMBfss3ovp/VSw5kMmhHwtZY50y97zH0XjtH1cEsEJSJAbYN8DNAWq1va+vp
6p75ZsaQ6PKg9Ppac3IaKSo2HFazwSu2gWPzsAlJPQtzmnn1DOsEGtu0tZXgpm7yWelBRS6dB0Qu
PgQWG4QIXiL8hEg2MefnETzf/Y3JhNv/pWW7av3SaeeHYq2/PSCCav4jCbNkeFPH9w3ZRF63uBD6
PStND2nPItu2ov2AwxIRlQmxxD7sgIIcMlCGxa5hvBC8uCI+qubH3qc6KglG/fsLZoeLC1hW8bCY
YN5FSrkgbH2ILOGBwpuxOLfr5kOjgIHd0xjgrOD6U0Sk6H3APLPTEVnNqd0AizYUNDuoX9aDYIV1
tkx0Jzk2Q8NPAvibGqhA6aiiVX+eYEl89i3Ua4ZQGN2xPD0/AmxNPrDrdU+Jn4TdXF+Z7smto+tH
PW4RE45fy87Jhk/du0UDP1sao2c5VibntWmsUtkhHrFcPt0m5EF5l0nPps7e9VgKmAHAaMSE2lcC
0MRY2UAVPCeRSpkYgXnO1bHgSjGEGuPYTGCcfCqV84pxlzxFhDPwgLqgZ5ObXj3qNs0b9VHPQ6Cf
EIho8hEJ4CxkCePah2Zygy4a3A1olvdQgoE/P0E/gaHmKF7Xy2iItkqWEMCEjbJ5EW7qX9HduJdA
npyo5cE/wP1gcSW70w5OA+PIUeN3FaMVY9Pt1c8r0D18j+dKlqZndGlFgJUymKDhHFCDjLWgLzYc
yS3wUA4RVyFXOdyt3W5DnWkXV1vAvWqCJJ35A7i6GeMd4BLOxQ2qeeSw5iDZKtSluEOTSjMrPIXB
acQsOkf0lXm5n4zIwCqk1RNzI2xzroDu7QiivdHP1YxdEQvHw/JK6jzMCr9ZAKkSKYWXwKKKXsv+
yCDmLB+WRyxPoVExv7Hhi6xlWCowpRbFhGq1T+PuBfZQNAnkcUxXXmKX4A/s5mAh07uGMjK0XmEE
in+aFVBFmKflPbmgGD3YQHK7a/eXkQ5VielzAq/bK2ew11X0bNzJAB3zfcWse3WjW7g6xYjEbJuE
tdducLaKFXfQ3KUrgLvcZ03a3eS6rZj1eGdxhPFWOaS2OljNMF3W6/bF3AHnGv8FEfgcVajdkcJP
0q9LrI+7TftwC+pCPo8ebiGOPDiPNX6rdqOGL3QBUfH+VlCd8qvw4JwOZjxsvIEtDdbF4e12Gp0x
CmBGDAqFAmfMtOqAC3T/7dnKVExj34tFMgsbuF6kStp6VC/rEPctDHTUNcSvxc0XR/rdymP587Fq
VRphNpqezdRZh7DOuX1kORWL+2MqY40EOIyhdc3k+upmHxmiRV51l0bkgmcshCcJEtVrCYeJpnLK
5S4gTb0fKA1cyTm9fJD4cBDixH0yJhd2Hidle9M9yj1LjmpXfjX2zWVSd8cSHGMKD1XK8+wIMK1w
yZoeovNYjvCeypZXWh+IoHN2Ebbd3jOIP7D8NSNXrMxXl4PRIzIn5RlBvDG77owX7v64jyDWv98s
KVRDOLUZ9bseKiHUXOYJ4P+PejzoVgS8icc8riICBMhyOdi4baUGUL+G+72FfcN5pM+N4fvtHnO9
WS+QuXV+a64fKCTCyj9H9wmxrKMSWvIKsTKVKn+voHHlsBMtfibkkSSxuyqsO7tmcCVOxYn6tNvt
BYSOUHcM3gbew9H99Owqo0uQj+oRheQhpFEPmo8rNTuMcgXEE4i/XAsBvV1f73Dq8fo8nzB7mF28
oGG5GkUZowDsz44cVI3gtERyeWzVtS29HaipwUFOA6YahSdA95Rw56eOuyLyg27GtpZzNmEHpjhY
oteMQ3IcRmC48WrjLox/0/wsTaBXjzluB586YT8cUHt1CAEMbiqj3+zwZsLFvc378IEpRML0A7UZ
nERfILOV8zFfVasc9wk6T8wGr9417CBvqo7+0bKF36kiaUjUeACLrnJ1OsqJ7JOVdYsU1R6MnzMl
bGNe6k0z0h9u56cxYg5gkWX3JTVegspiJjrSZ+7dmNF27wbeLPYLkyZLnA3wOHXTqfF1YnG4PcVO
ikPeRIhnT7YqVD6+2t8rZOiQCC8ThY1+c48Fdv6XU5OmbQyVa1y8Pq4T+KKUYUHu0k+nB+8+QSc3
OFLiYb3xBpNRBaIoM9IaF8Ui30toDlPyBXsZGWQfBpdYUThpvZCunzjWCdykjQkPgfM7D05LkhFK
ep/k2D0ZWdlJtZOfXnYEA9V159BL5YgGcl4uVsfcmnVCVhn8tzKqNdiawQWyPad54rXX5X2WKaPz
DtNy6Yo/Q9J58LzumBO+MJxQpsXF528mgm9qnirtSeaG1HvWPi/NB9EIpM9CHE4NR3gSDL6/3w3H
KOyij1hQBJySnQN4CzT9own4pJhWTSsLcaFy01W7KVY0jbiqC725O3QooJ2o+NRppVEgCa75jl9c
hUHLEkEBG/DR5FA++6+3el8hEHLZ2pHPdvElIDTXVV3Q1dL7VXGxZitXdfDdkhxx37GhV87tLSGG
A+LkSt4Yb4bqM/Q6Q37nXveoEKotthrkDHnjnhT3tM3lcdFOr6eAZDSZF3RUT9qPHmh4BMqUSBBK
FAQhncxkqVsdNo9LcF9BIdKCHEUjg9l0RuMXMtVloFZ5+fvrSBhCFsBdiU1Hd8QoHydr7oMPvwri
w1vxmQixiZZD0plR4JI3PUxeswpLmLnpnn30FcZUSb0rkmoSRlh06SVidonDl69p1mvZusZcx7+l
5QapWoTH2GtcbAbLE6Suzi/9GxsihXWO+SBH4M1nJVJL11tpDNPBeW1Yu69Q30CaHXcxLomIJmYm
eC2SGcxOxhl6xg0lzWmmbDLWqepXsnfaUwvx3wqHjw7yeg1QJyHVhB0qLRGxQGazlBFQEfMPFY+c
afoBkywyVsVwwIBEBZHuiQPXt9rWY0pBEPozq9Lv4eqBXTItgVEaUps7K1hrUGnbsLQ2F6puzT4F
24eNOqlvXqSgxVoIax0WzYSfPRLHPWv9hlUke+OL3uAeGE5zRhX8ZLNABTBnoEStaL/sw2UiC6MC
YupzkY2RXUvHU+08Pq4FEE6q9jEFVzuLqkFwQugLg/uTFX14aye9+yN0v5hogVyP5M2F3d57Nv5l
1TACvXJ3tFFjuOaOSWtxc4S7y4wVzIF1xyiWfCTCCSBxd2pP57o8qCaCZCIUGEANxnUVqNmUBFcT
tFEJmALKGpaSw7NEbgIo5JN9YCmp45se8UFcVVbimOmKuJWD0XjCE7pz2PaBB4cWO8onB2MmjXM1
7M1wOB6zWZeE94dblhjUXPeZyQ4iIdfr30I4qe1GKN9eBcPsJ20IvleQDfCYx7uDwx47peRpdeI2
A9R9fD34ADPLIrIZLQIQ1Cyjiq+wxju4TbtKMY9B+Iig9eJIaVAW0wTttMqe0BwTLZTpnBRyW+Ef
mcW01Ufc0isYdRqdnHzRsXcX44NodavGHCqoKkmz+Hy0tlp5zJixiRzMz/H6V8P+/6t7HBoaEuSJ
9dRIC2QK9Bf3uMEvUtQ3c47vf///mHMQdGZoxB8gdwaxUHQgnn98ZAx+TdSJNzXFX5lR/9jISLjY
9XMXrAcVsYew//HmEFFWauaAWAS8BUz5/8Wb41fu0zdYUNFEQ9c0EzN4ovC+gTpKqcnnq/LysXMa
XRM2eazb0GWjKeOE+ZISt3oF3RYDC7YXDc8obai6gyW2AgHzHJCEq3u3MZ66PBkr6oftzcPRqQ5P
U5WXHZzDz0Zo8xU4lgoau9/u+vQ/V/m7m0Tva/Ide1VIduB+4Pkn4v/z7eJNLTXytL94FCah8p5O
Va+gjbnGPRjWrLX3x/bhHb+IV17+8NGi1t+Z/7pzZp9O0ZsCwkr494dLdXvtrVVe0KeESd+i89Ft
bdFdnyJkzf1NOfkpDdZ9IYCbeP3EbuDoIxRWeOaqnESFh8Yuyhz/PR3TiLJFYzKc4WmBbcKGAFbr
vKLhW8EnuDgmkz/ICF57bNeU3ZTozt3TRhTr9mGsWFt0TC7Yi8C59bIOjmkPVVJqOpTOybKl/qRT
taWvm0OjkgwZAhNXQbtkJB5wShLnBE4scZGciMxUZ8+ZOcxgSjw2cGNnxuay0qk5OErspRFKcYXW
I+XgeqtsJn1cuFtFj1+zFXg/jmp9pO4HPmaTl9fh4UBfzjoxmKUxjADj1z7lT+NTWpa7xzkCi2uP
ydzA+K2jPhXAY+aXTeq8wE060LQtozTQuy3ec9ZCizlGLGMuOAvmnbsU7zQfISPETUrPcgKXFn1k
2h8T40dQ2lfoN9EH/ijxfaIGHFKVfRvxgHoNDaazfNxLprzJra8nzAbI5k4/nljB4w0rmNMgdNCd
8ZdbmlhunC2OSCbe2tygpJLPwM/iDW+CzU6hFIGS7PMmWOg4eOISz4D6PDofK2sCbWGS4qdRMCXG
/RCdFyN2Z5BZCGzK3BYHhLkj4eIW9niF4iBEodCM6eusMuy//VvJ2X6fJDEnMC54svsca5+nmNQc
GNwDTt2zgwY/mctREcozqAn2fvI/3J3ZkqPIuqWfiDbm4ZZBEpoVivkGixEQgxAzPH1/5OlzKko7
LWTdl23bdlpVZmUggbvj/v9rfQthRIwSnLbj5LHPDpnzMb2gG3r8U7bUPdKdGdm/nnoUZzJGqBfP
OZ6W6hO39w0MgfrseEuEwQh9mucXqDLo3ON9tNCc4nBaDotP475ZpGy3Tl5XOzL+NPYu8+y5WMQM
3dgmAsWjZkAe7iZeclQDbji6rcxZw7JbPBd4djj/3I3r92r+Xm05bMqlvXleQWR+RKDOLoT/s62P
7S/tXf2TS1aFDGvuGvKKbbsi6w3qC4IQUt+55xvKOJc5xplXAfnHrF+Vx24er5QZYWYt7iKOrBvE
WXaITOTPogQ15Zst3LzYBE8RQ4ttxfOAyIXZYH/Li/Y1XyaIvb4DCI32eVUtrUXkNx7uRvTk4vLk
V0tmBDavJQAOwG2RzYCnNDDHVcbXRZwyT+bFql5l2OGEd+ofzPKT27wCbl2ggjPn+jcmSX1++W68
d3xAi2SuefnChO0M5oEv+Hqe19gmH0LCV22cYfkeXw0dD6qTNN++6A07U0GLttJ7aBNLTHewRdnN
8YIlgOH61njYmCayZ+tjOeaEhfoWVKz3ZLrns8MWUH8u7koUsyf7DePwDJ6LtVF3GipND7yg0aJC
pMSMKuwjfeud83MHbJZu8E5Dt2kQNDUPgSD40rxYEKsXMJyCXfJpcn8Xih08WAthDYgFeTkngwRl
m989BXfHh8g+fQn+N8aT72Rmud+y/Xbik1PLo9O5THeXTTavF+kOg68T3dWeaUuejLIOTe/ddMxh
Q0xFiTm/oJ23ZMLS0G85TUdAFkO8WJX9rN2XrBem176kjrAvMPKMxNEd81euhWzw4chTJd3Kfpt0
LKK9+AY2u8pBbrB0uAoGRlYCXAT3+p3lw1UKqfSbq2g1vgXNvHP/lBmepqRAbJvFNrk36X9OYv/x
PdmUC2DXjvw0rEB4bIF1u/g4NgSBMfkKj9LdkvlOeWN72WhP5TFmkeOG0H8AVVrPKs+ixc9oWFf2
feipLxTifcr/jKInXBJoLIjqM5BVcIIRObewHc93mFWaORALNv7vcJNoyVOcokaF7/rOmN1X8Dnz
l5oCX/4JrPSJCjSRQXPzswsWypY69iLb7DFX2F/VRluwVjhMJXfLRHMeSg/fNJUEyo50CsI1B29e
NrPqA3SJk93T9H3RWJBwYUPkoXzgag+SZ84G+9v0tCM1Ds/aK75By/mNCscWrQ5kUfSF8oz2tOWV
W3GW+TQiZqW6TF6E76pZZpVPIhjb2I25KM4e7slp2rrYaxF7dojyNI7bHovtY+eqk4zYtuYf1h0c
KDoH6X1fHsRvuNOQWA1eJWhME+8d/qvbPZRwbV5hl/AuqoIlKs/U0Ty8KsNHGjn5Y+KL/uVZPKbf
a28JXD7dhLv6Kwgco4FGQkiZ3WGOQxfM8QMeF6uRjlj4qC4OhnsovsR3kfcgpsZ4ptWv1WVphVis
IKK8UPKsv/Crj0CwTU9inmvbZHgMmm3a7tJXRJ965VyoXVyMTWa5BGfG1l6s3hrkhvMm40VHhbdg
sXkYHzUaRjSRHHGLxZs3EPL4peJSVqU/el6lqB6d5n0ayZxw8UDe0h5K+t/UWP/a5l51QoVRifUx
wYZXuLKGrUZgXTz5Oo040QngV0ELuL8szy02CnjjdBtGf2qnvagPsFq3uY8Xp33uGQYH6zhQsTrZ
U3mQmmTknkBErRvWVc039tILrbUD6jL7yXAwDHjSAbwScs0L+1DeZlMG3wjQpeMo5KjPwrx/5gDb
7wqX0lNJHwUSULqBGo5qSvmItySKzLPVuDM31rgfoRbeUTQNEG8+qksOyIPT8CAGWKo9f1kj/TN1
x36bgrfXKCThvuZnpPe8eycXN8vpXNlRWFqUa/D/WBMoDN7LvGsvdDzI4sM9bq0Mdj/Z2+CYTrUS
gL/MzkeUwP5kMZ3kP1MNzlo8v5/cL4tyi7yPjvjpmYYuwfR3k+GXj1fPnpVZs0XQsOZsiFDoDOb4
g6IdmDA2XC659Gzl6uec9MY3+ZGy9W7wuso+Xdx8j2JrKgyoHjW2+bhq5hhR7/tg13Vu7m/wgpGJ
yaw972VOrhUTPXON6llvYkdRvqii4u0VUYuo7pn9Chsw9LPvyskx20X/hLfewsQGOuyMaAgFcXna
daePWt31uc9fBNNEtTaqnNScyTB4QzvDzkoDC9cxnQnM4fAoGfqWY75dDGyZa/WRpizynOI+GE02
LZRWabcLKwBKMFXrdb+ufQAC4FMRXLOfbNcm3+oo3lF6Bq+TYrJ71yhhnz4pNE8lbttk21JOOwvg
adKHuMQgokGAdmFD9wTgIqeiOCd9kk4Lw9lUZoS7dncSUC6gQPel369bev3hgl0Ed3HqaMULtpI+
b2L0HPAIqPA/S8JioNuhtJ5J6Vq1L5P6aZJF7LMnpaCuaAsr3kUP0rF4rj+QJPOiRl17tmFmaB/g
BzQapdLknrCH7zJ4ox6k8qDNOb/ypyeZoVaQnXq2i2dhIQLeBvDcQHNxhVUl706823YosF8J7H0d
z5sYezxrJDf2IYx9fqm2guBOjG/xtVqeLv6k186GhawddF7R0VRFhJrYIh51VDrfOjxap1qatIqp
dWBNhOhUevy86QewmYAeQ3/NcPgPsuLILex3Bg9F9in5zli3StJ3B6pyROhm2Afyx47sjM00LfnX
cibojzWbiR1Lk/SUPneHBi08TZPctlJlcenvAlQOev1I+O6+lWzF3IzHItpbJvsHhueqnOXPlJFW
6sai4EMo3el4ogW40lLFgQ+jFZBTZiqxmoMvkLs77/GeGtFrcXkuPgQ8v/wREHQ8si9gLGgEjT5i
ME4C8WqHy9Fgg8Wuqnum/VacAdB8ZpOYba1w+eBxtABJ8cqiA6ADQImaQ9t4CStQtq9gXswBKpjU
yaL7styluRNwR1vifbMFqbJ2PAK8WnR3KVCpWd2hMaeXFFvY38sX/mLdeEL2kKzE+KBF6O9XqHTE
0eZPjNaxdEyI20bZmG/Zgs9UzNt9IV74uFz9gjka5dMburEBbMW6wA2uuPSPeAIGlA7DlpFZwt8q
HXrxwxbNu2f6+SKEDU3tjrd5nROnykcEvEDoCu0bolKVOzJWZ9VL0IObrjED8Hb6kF8ydu+pWzCn
YFvZhA0ka/34VCMwoE0B5om17pj4wqb+rr+FwZl6yPcCvfTMPTPmEcztxNkFdOFzTzGbhF/dNkAV
kG/IPquyq9oLlLXOigSVBNeJL/hk0MizIL6rlYOMDUy/q9+i4vtMb9gsD5bxrBFbghyZTf6jjMbP
pkge155NMK6czsBiIppTKy9G3HkIdnycC2T8fFWd1ufGaSC7dyvDcCiEDTAqyOlpQnfYESD7cYGu
zO86gEtSLGH3ib4QMPvfi37T2MNnOmW4hvRqkYF8hrUbzCL8b3dd443bjxOHvNCW2JoBYRgJXISZ
wLkwdvhj6427z2TbFDSIIjAS8cJg69MedWA6otcPm5O8sGrCHLZJZwtv0MHl+5b3wZ9EW6KavepF
lZ16KX4CyIChRaCGXS+z3Bn24MJV4KeQzS2Hn6Vs0hV/Pm6DGW81Huqpv0sJ2V7wMfR1Y8z7O/Zj
+7tBpGoJ6XPNR+Cf05VI1q0Q8psP/KVz4w+fMkgph4DfYEGKkOJS6OELmms+fL44fwSVy3ecZDN4
eVBLtGsrXSsWbf4Omzl3IEtmYeqYtECyD6BPvLkTO7z4MlWO7bgluXd9Mb+4a/wUzeNeRRTFHeGR
G9AyPIfPIFq/vb0A7abERMkJ7/VsII3YGB+oyF+e+Szc6f5uRDo8slHgExoA2p0khR9mi7zw6d52
O+GLr7g2UVXwQDAGZVs+Py1S7rnq6lNvEmwAS533X38pWHT4OKYfki8C+AUc/7FHkAL+PG2PUdfw
P9wT/mmrgo+F8LTI2cYcwUPFwpw6d0OxIgjnp1Uco83n9nK6g1Y5qI7pjeME8TaW5yOR4OB0WhcU
OBnAExOAirG4bs7IFvuHhmTxZaf78AkMI3TOTE6qElNSAhTTA4GexjiXI7ZI/KOJ07uwI+vF+IPP
7MEGGm5V+XG/zl8B5nIhJ71jBVvUuESzaL4s7kCfz6uFcl/PsifeXtVTM5XP2elCe3eYjZS6C7Yw
9xD/150fUEvwGnKjmVa0LuenEvRkjbWmBDXA5yabNCBW+K4hsgb3nI4iCTMKn4x+EZ4owB8BezIK
gt4i8qLXei67AKLneIx43azOSMUpRaypwH9kPn1cJ9ulnvE4KcmCnMaRj1IgxlzPUQ4rFaVtp8Vx
C1YK+arhNDnDqF9e1gKNat8kX9AWNmrj0IBH/gznfW3ab+aq/YIIQXfuv0yiFl3qiAMge+wGxmi5
nXz1ontaxjMSlHQKQCF2weZeekBE5pq7aIGOI3NBC9Kh9AwEufCybMncwMvJfDYTAYQ7PDEHOptL
zT+vAO/VH/E379uT85163AXntAGJNctgU0arlMOj+Fx+GxsFP9NbCeJyvh9emGnKq3wMffWoHNJv
bcPApbTaUNFARH7243a5PX+iLpE2Jy+e5V8CA9FNdtC+6s2wmqglbNI4MCd8+nh/drunxOXoy3O7
C+/HJQE/frIGpz+yaC2tByYa7XGoLCS2KPN+ni6LTYwvzQ53KYfV4g87OfNx1zUuQg+b48e8BJzG
GRvNBnfp4p02MT0c+k1bNXOqzxopDIxH2qHmiirSQ7LDow8HoNjkHNQfDL99GebD8hH6Bydk0AbQ
+BYEf7M9ZGCflhdgdBp1OEBg3oQ+SugPIqefBimcvbPsAVo8A05oDxc0OhOwn2yzSXeQAQctbHy7
p4d2gwxsz4vbIeXBnbaPJe3hfeljGJ2p+MBow+MkDT+sAUP+ZQYx4e3sa9zjlgILUqTaZQOrbD/e
kg85JsB8Soos7kiyD4YZYWsBR335cfhgJ0qxR3mnf1i/xxtW5/Xyu+O1Y1P/eEko8K30J/GdRhcd
TghEPApc5JQbOVJTR1QW5hbPKiMNxBm+fF73XnuZG6zV6LaPIrVZASEZzbiMw/+ezQHGr2cE3sJh
XFKCmbOtvqAfx2CBeo88Ca/yo9WAbmSb3Vc+fKpXNEzuI0yDfn/x2lnzLSyqBYdVi76+1S6iA/Fe
B+s73IMbZV4BQYQFAM5gcBU6sEBemIKL0lHfywckCGuMuO7ItGKo8/ZTnewD4sq+pg5LW9wPJC86
iIvzLObQdwifm730Nr45pxBzJXbNnXYIjqxEZz/gKONHi8Fns4ZEfgOy1hNcCcXktluFuyxhIIDu
9syjsuTcPes3kGvRIJzwAUcH44xOuphqSVQ5Jqm0sAgfH88Lomj8nOufpvqde+BdjdyFwt2SHeaC
fhzUy/arnVuPF19zmt0SPtsD4BjSbfamvb9LdxnVgd4pGHPg5igwbaYOOvKrHVFnbJWnSiJ1oe2B
MvOh3CA0z8h3CCmzHf6/7pyJOq0XwoINXVUlFMq/dM5I8sWac9U5u/77/3TOINrTPAMmOjXlpvbP
f3fO5P9FvKVO20ezNAPDPD/0n9aZwe/IpiZLBr9K1Cj+aZ1pOsRM06KjpimG9H+VwPA3abY29eEs
oif49cqlmBe9OpzNlAmJ/Jvt+iVHAhTeku3/Z5OJT/rPRa6aTEFUGXp44iIqqlUNpld4lm7oqqea
zVUfi0YijU9JJsNd/uOm+SHrViyhksNLDBSjp0SvfkpUwlNpfsmefzzpv3Tr/nq//rmOct2s43GO
wukEEKTl9GE95APqV+Pu94v8zY2ha8RGm4pO4oB1dREi6PPT2TjzUFRheVLukhKgRwq7qcdYfjH2
YXaZ/X7Fv7QBxZ9XvBoGJykpDE3KgXIgFQw4tEtU43+/xN/u3M9LXA0CJSssS2u5xKkjZPOEx5pU
ysffr3HrxjGhfor72xqRUhNzDVNaypQYiD0srYUFx+rEJg7Q4u+Xk259p6u+c23klXESeVAn80Fv
PnIUExzkGnTbFcpGsBJ9/HXRn3VAE4ExKdcQBGmX1djeyDSWppt3Pfx/3tzpg/4Y/kmiqkGq8UGU
y30kyI4hbyVEemO7KuQPo87oqt6figTVyS4Fe/f7bbh1F6a5+ePiYTiIuXbi4pL1JlaPZbfOqPz8
fo3JIvLbF7yykOhDfi5GgyebxDSvMrKUdKp5mm6XkCCNJL1xuT/z+LfrTSPtx3e6GFKkRu10Q4Ga
Y4WjWXrStiGxAGjC+nCyK6fDPWFu0YCkC1I0WTHmvXV+GsxF23LSp3HNU09TPxBnWudTfryMh0x/
Fwu/0Veddejb999v0d/q2v+axFdGV/ESnaKw4TN3TvxYIZHFpIAKGocRGyt1/7Hn2ywRq+PkSGbs
npobN+3GKCSU5d83zTLO/2eKa2CswNvVcJmNJnJi1HtN/0xCEfixd7lexMmyjr5+//q/L2GqKP/7
4k11MWWcNTBAJIjb5YPFIe/3K/y+uqjXjky5z8U6+DPOhfezDNRcJ/v1OOjvWlgj4NJvTKu/P0+d
60wsHTQaV6tLfg5FISsSxrxt7XqXKi4C3Gp+F9pf+z3uX9wypxVFKU4g0GZufFlpelj/MQN+XP1q
SQlOp7KqO2ZcLNPDEuEuJq8RrQ9R3ckDijQy6766/kY+xV+xAPqPq16tJdFFE8pYmb5ziArOJNxm
vDc0Aid4acjZcxsslZMvp/UqCQ8i/S31IJJ7dz7kpa/LHBupKRjWPK3uulhFPPFRScy1hTgR1PTQ
BWw2RFtRhz8vUK6Q7ozzPkDpeKaYkvuB6YvAe0sOK+X+rN6J5MbKp3ke7DSchBZSjRN9bPOULqSQ
5r721FpHo1inJwpR5305kN8Ngz9DlYBhuR2BNEK4lGGJp62jExyrgrlX7iNED7Ue3hgsfx2bP+7b
1XpVBae0VS4ZTU0LPFuXz6ILp5UEVdNpGwn789n/fS6ot4bH1WIjFZWg9RYPSl4OWMHDhRbbwXfz
WHK2RHAyIIOZAiUhJnFvNxpTMqOSQbWUYhRuFSphJzuc0VQvv/IlpRqfk9D3yv39U94axNfbtajI
zFAz2HmGiK7P520HpUeTvzviGsMzGppqyZsTQuONtUi+cXeUq/1UU9V9HiY8DnoP0KpFoLgJJpkR
uyWK1WH2ArMCMBNd5lsGw7++jP8ZCMrVMtgFtWgNKlfOZO6/4XWkBtZCcmO4TdPwl8VBUf692GZ6
IJ11mcWhzjm2tkgqdCR0UY8W9Pj7I/xzq3671NU6pMb//YVWvfvIaRmtE2UEJEQb6PjY0eJFh17n
C3jJvISjBlJ6ScYPL2YSE3Ln8/dPc+t7X21DBold1WWaZkrP7oqadVEOVDeeJYpov19JvvUgr2Z0
EmVFMYpMsAEwPbVdZXZZ3o/vX+0fEUGKbgDjPaJlY17YzB0KD8QSrW+2y299jKt5fq40Yxh7ZlDb
a2xntvC1rJ78p3KVS6+ChXgcqEAtwvxGFRKgYQ60Qzo8dMUtZN9fd4D/DOw/C9KPHVmfxVI+FAy5
MmyAwD4WFH4zxRZSUPmhcuPuq9M0+WXU/TGi/7haZlTGKEzv3g6lHDKMe8CzSAd3HF5Vb0rZpZnJ
708OmKmXn2xM8BS0m9wXPCWOtdR5MoX9dpm9AVpGQnSMls3i8fch8jflKCip/9kgXNvLqzQexyzj
loTZ6CUCS3BP2MpXJH0Kl0PSfZnnrYxqAxa5a3AmCSP8V7VCzocXhXOF036QfOvZDbf3zU919Qq/
NM0QCNNpv/Ke8TWjp9goM8m+5y7Rp6LLjsES50HqLW7BjW4t9+rV9KzFxMgvIdPTUnEEpO9RtEkL
X9dWRds5qokyIm+wFeQ3VkN5Ws7/Y7SYKpmZCJ4tRbuaJLEcnmTRoCowHDJMZir7blzaS2mBL2hu
uh9Ppk3hMT1kMxHJ4Y1R8Neh+s/F9atdt3ZSGmLbuXigEM9wyhfdkCzkBCuxMSPpx0JN3L60Zrqu
h2Srxvc3Lj99t1++u371qtPHQE/zmsvn0vegvFzoqjZd6Y/FRwbKFvl/nK3VyyLRUFv0vgmFT9Te
9Hydy34SLdXz7tLkN3AWf6o9v32m6Zb9mL2nc9nmssrsRaRCG+HkI/NAgJJ5Go7nwEfWbNMP11lD
9y9YL+kstJNPwkKFmyG7MW5sQ/66OfvxhK7eltGZmlE2FY0ylbhpLH+VuBZCujzJkeR5XGT5jeXr
1gXVf3//weyRAvV8fw3BRLpJSz9qI8cUPrrkwajr2e9D4K8r84+vd/WGlrNsLMSaqxlD5Hajft/0
mChVME8VTx8A9O+Xu/l0rxaYeByqWpG4nakhcaqepJnfYr4Q6TTld5dynSVLg83PGStlUsUgD8m6
ykkKr7dKRAkEVILUrxuK7yiPYJq38Lp1UBjJQQ/e9NOmDPNlRNkobLa/f3Bpuu2/Dcur5ak1rVjU
p6kSAG13uoGPReHA7u+xd29S8h/QyERTE7J8+P3Kf94Ev135ajMRmpIQDgFXfiSN7U1DEIaFzj7o
NBYIFsCyjVXav9sHoEcmdEJyiFzU4FM3obXnHx2hHOJi2QGDiHc1/B10Nd7NvdWtu3O1iIpS3YtS
OFWJS9jZiKywUf1+G/66l/lnoBpXK2XatGleDVxB6Z9CeSVbO/PWM74xF4yr1dASRDHoOcHOz0zs
QmwIzobAzfk0QCvWhfvfv9CNtde4Wud0ORVL8cLMSy+7EEFp5QHxsfPsqxpJRMqWWhjfWMpuPKQ/
iLIfK2t9jtP8REbGvM4elIEeW2bcmt63LjH9+Y9LjMFoCFXJl5LnwGWblAQQGChAOug2LvS9SX+R
bptTvAU0Euj2IbLcVKtbG98/GJZfpszkePr5MYZ0VAbZ5GMg4DuiVHoGaGUs4uVdQrgU4Gf0MHBz
Zp37xhnWWeIKpcf5wht46gQ/BbQSCwdLxu8P/NYIvlr6lEw8BbIyrSDI+A1VXub6MREy//er/P3M
9WOiXC1Uadk1vTztfqeVYpwNeB84aOGrxAL+bnjparIBQXVD1MuK0R1TmvefJk107Kt0rse95lIW
/f1D/RWmpP/4UFdrmNY1mtGpfPfTCfTYbgyDeYwqMmQFLem1xrI5t5KNbi6MlgZ/YPkJcqK0BJwr
fEpERdWl18SdfVb3vfCU07FVzhsd27o0PhTmY2SGTlHRiE7zG3eThtyvy/51kEQb9labTR98ypKK
Cn/nE2DmOIlxY+f917e+JWm6KYkydrir5S2qAoSIoiDP9XPi1YHhCO3oRaq10IvnqgDHYQjH35/J
X4fjjyterXaqfOqHoeKKMYntI1qDqH8ry7ffL/LX9eDHRa4WuVIR4iCPw2l/ex81aKq+f//5t76E
8u+JLlqywFkPprOcPJ1PtMqHp1TVbozevxLW9B/f4mpV09XeupxPfAvB8GVpNwrUowakcd0mDFHr
YPQZdo2IEdhI7ACOjvWoxKtymBVApRu6jXQ9UBFAZ+wflY6DJ2is8UNDhlqg5wpJYgIiAc8sOwt2
ik61FdZt+lEgT4xLcgHRr2Xt/1M9/MdXulohe81QY9HiK51pfqDrVgENp1m2EYuDeUnmVZAefn9S
f325/rjg1eqnZ3UsaENECaDf5tZIHE47s5Jj2YBACm5Uom9NpqslsDDO5yE+8+VaaK0yy3r8meqH
uNzkEQqe4OL+/tX+fnT98d2uVrcmLduCZGaOrsN+jFHG94SZVZiwLtg3uu++eDKSbBURBXTjwn9d
nX5c+GrbVddBmcvt9BShdwcSpE6UlGijVYJpiwcxWBZEkUfPKciKG1eeJu5/vGH/EV0oV7fYNBoj
jzsmXiXi1BUhilLkP6GxlJW7MHvNumqhXQbbvIzzUJDoWN3aj/99PP2P6uPPnP2x06BRCoZYNQHw
J2i9w68Qd0PR7dXB+kjLZW7Ex7KEEwM6J6VdphTxiu370WgPfdqvBh06f5Esfr8pfx92/3ykq6dR
GGGeJy0rahmf7S5NDheps+mbo1a3UBprcxV3/++XRCEx/dRfnoR6NbHyMtTN8wgZ5LzVe29UMYzN
VUwb2vTGEhD2IS3VpgQEiDuAYC6dh68jIzJEXcEmSkB15k6PqPXkYfKtvyEq6KfH4Qvnwllfxr1r
Aj97zMgMRst8X8LaOLbbUn1KU6eWIFtU7wVmYMEeMdyiAK4nRGvPZfY9Mt23HDHTyUOxaDw0KCXJ
TbrTL0cMCzle0pVurUaAcpeVqGWO+Z1Ud1FgBxS47BDwfwrTxgl1tknbuvPl6SlWGwMbMqAI3TGQ
ouXvckW4eQBeqL9r0ZH1EXFvs+mEqBN3VYx2qLxepM+c7BwZMGjB2vxQ7M/H3JRQuV8QQZtDr92Z
uBHKzoFP+WDWKgEm4D3UVPLYsB1VFsq5VBpklEKkrgUUqmbnW6eGkVeIsA4s0NOaSnZEHWNyFML0
tTLIztIL1ZNBYIzBc9t2G13ovmJJXhQdyIROXo3CsQZg0nonbFa8H8JFSzEDmK0IQdczg5Ve2SWg
MzhwnUukBKFhMllN2CfQNn4ZmDm7hzD46iVQIKd5JH7okLIkZ5AdpOu9GHqJqrmZYrkhoLP4Mx+8
8a0j0rC+H83niDZy8M2lOoFdlDPG2/J83yiLDPEpElrzw5x4N55Q7NijWYpbcru1VY/LA88uh3OU
0ezbwhn3TNHcDmfr6UFuwAuhCVUW0YeM1reGZnFomX2dM3QzGPV5QK9O+2hwoSae8XAh7gQfP/UU
MFGhR8QWkKomXJpwm6Tv/BGlZnKfX+ad6XX5nJx784tkFnTctQv9tVjWqD9fFX11lrf5iFv0tK4J
jWsNHCCVb6JZD7N1qCiuFs6K7CgAJ9fEBuPLV44hgAy6Q3efab5U0GsB30TsBDPHPD1k9aLO50Qu
SMaaTiQAnB41eFAvEFBWKD17TwGP1i9L0cNQcE7ugmQtJK5RuzRR0vNMxDwD17n19O/uawST1joF
jisUpE8F5TJSSClSdS4QMgVzaOQSdZhn9wPZX8jldfui2YPmF4knlfuuvI9ec9xPxhxSkKzueWDs
k5lixlrGq0Q0srCgVqLjgdSbOQ8swKwfeemXas17eEQBoUZ2zrPOXOTtqr65mIeYkmrrJOo6OC+i
chtJfoY9GOYbja6OoHJX9Mc3rolvpiRPcScD93w1SK6YDC42EatIxfkHGSwgTFZzLa9j4SWHQjR6
iuWkoXMByoTGGeoX1Xco8CY8llmvrQAHKUgdE8UfcoYquVuVW9XLKPaD9yyeIebUlBmi1PAD0W9H
RFawy4WHE+rKSQtEWEBzGArP+ori7YWtUj1lTZafIyGmG0M8WOIrvbLUIAOXGwtS85VSZtAtEeMP
qlt8k+EHLbjNFilOUZKW/NMrDmDO3C2i3Nem2CjVjNSvSHUMFNWKoyI5CvcDcaFPjUCeKSkfcjE7
MUXO990ZIziMIUS2+pT+VlWexaQmL64BAzFHw0bEZA9bE+ZcTUbAYBGn56qfqrRSjGUv21h9pGam
mnPk3ECHOl94bT4DSEJYHxCrY2SBOocxFK5g4ammF0uuCcaBQg+xdJbbTqsqloMBooJGdE0mY8rd
idCSUbiOUxQjiLr0MF72mr5i1WwvLiCYnMGjr6Vmb0rrE1BgIAUAHqgNgV9C5JvQ7bbPGIJiXzM+
DRwbz5CAhv0ZOxb+fjjQ0SwvDw2plKFdMsLlGcBB6SVfVqVftrMCvvNjIzlSs07amSDPkMtbpm0x
EvFrfwifFsQkRgcOQcyMoAPwrRd23M6DfUe03NKytpay0OFHswAB8ZTdSwVFo5adIJjFkg1WkkDp
i+j3J7ue8pFbDC4gDYRFUHviM9gk6QkRPpl7ffvQNW4CcK7zosCXBCeEt3WehZCVgBLhPRnmF5Td
Ca8Qb6SSTOytAQMd8BQx6pjVO18M9woMTeXRXIVHE6sbtbOLU9JzwRYAufWgET0KXYh8V9npy/1A
eOR5kfRLiExt7jPZxlrxWtL3ujkvxQK9iRVvC1rn/YLFqmakYrIuHLVEt47PLGU0geZuAQ3SHI14
yW1E2a/Zq9wjdxAY6I5Y2PUng9XkBWvOM2I3pTNaSa//FFU3TLcm/jRewiaUSD2a9V9l9JwVM1LE
VOw2ZJJ+RQjhgVy3WBXI58Zsx5roZgwafvDlHnhnR5JAOctYg470R3XTGV8kkklplV5sFmsBEvuQ
3qGr5nVFde8szpnhnBp48Y/SHH9Fe8ZdvBCHddXMeV1auSdaNhNVIG4QdhL/5R5CttCtyLxWt5TY
uIs9nDoIsiRXPCFPockTJG4leJE0Mba79+I5BjIazwawD6NtodV/KVad7MblfGSXC1VFxv/GCF8T
9AmMqCN0Q9v3xGxqHi/IBIZjW8xUAbvWvWjOdZo8GFt2TIdLv2/Z4YQOPWCi8wx7xJjd8S5zOXyh
KogcJfYyY3r0XTBTYBGa3GfW65LChYMj5rQ0sy1LVfuVQJXIVqLbqPML3BN4bQM8Fq2dhzmMfV6B
VTOTsYgUExWtqxcSaa6AH4EKECiWufoGJpueQnN3rcSdfIXmLDtPZgSq7yrBYYj2wxk18qjzysG7
dJtGc8zJ2zqvnyJ6RIovNm5/R1qlFhFazlzGeQr1APMLdXDm4ACJVxs5BdlnItILT86fBZCcO9Kp
EjyI6lEzXGZ81DkSvnm2Lo2jtjPwb+oWEB/ztQAQYswgRRG4cbrrxwUuiz7yVcsvKDKVR6FYpgO7
Je8kH0Kd/f8szGf9t7q32NYhucM5Y3ndZT9YnoLCHQQ+K8FgZ+OS9SRLVvkTMTa9OB9igs7nhQx8
BefUuO0+jGpbUSbSPy9E2Xf3Wv0ysOyknKR6hRbMfaR6OeHLrVO2WHxstFxjTn7T2rQWpgAePGYz
2vo0FRICpN/IHDXJnC/WJMLKgAbwwpO7iFU4YJb2hJPg7JC8Ul5Hz+bJNZkKqj08s/8jvJ2RynqT
PaQftJEv3yIJ1cVkQ8XwiyJpdONhJjJWettqcG15g8DgworrRLA3khVJoyGWIEJQ7yh3iYDuNuyZ
M2yIIm8hf5Sw89kpbIRxx/u9+QRkeyI+OXTAGrDwn2cRDXrD6XlFYg0xbSV3MsUN35thjaEtiD32
0bw8W0D2pRszo4i2bBzpkbFWEWJJ+qw1kzDsZdgjsLbC6DAOkPf74JGA14bubv1kVkf2nwr9ln4d
46R8iBizkZe9lHD4Ar6TTaK1AAwBA2oDIKZcXJp5VcysdknwvcZrenXmFXVyWXFPwMuiOcsVXLEe
th9pRQoZt/xtFQc3RD4ln7FZ4dGabPLn5UPyWfH+tHBHOmm/OaHRfOp7t09AhQAmc+Xt5FmTHD3Z
DfGMFZnoK+RH0bfFAqfOta8GKZ1oE+NuetFpUepPieHGVBMHbBwadJaVIHrje/bdPTKhx3u4N8Iw
A51ZGVhn3YHoaPjDx7O+VTCxvhmIBlonS1cnytXaFFst7wo474k7YithMlQOPq/yK/NjecXks0hg
Is7x7IOVLGJXymiBYD52S+STKZ01JyWAGQXRaCOALUdXMp1GRSE3awjvJburcc8fJnuB5EMQHnnS
lxc83Fridcr/5u48lhtXly77ROiAN1PC03tSmiBEiSIAGjgCJPD0/0J1/310dRSl7h72rO6NOkUH
fMjcuXOvQCCeDdhYPRLISrtL3GWE6F62LQG0l1EcLXFj8v2BP2dS8fAy7pMVAOSqZ2h7DOtT/Zep
xY+CqKEbEmsPcp9X9q3xv5/kWi8L2s2YNgD9YSBm+CWq+alGNidJFtd+nW9ywxMu4i9irPmT2vf1
tb/pLPgfDJRjen7pTACzhcHQEoKzLviPx1o4D+vTmrF5agYna5z3fWxvqcjG2PQJ+4MJrrD4r7/n
Jy7AiuXPBncfSadNGhq5FgrisszS8Ul9jDVW+bJ6livGLBZG906fRPVlKqfsQEOUefDJTpNnMsug
zMWYMSp12qgEipwjWxLXCdPKa3E0q5eYLehGoaJNUid5Ug/FZ3IUclK0zHXR+EK/4X4nEAAZu1KD
iv66Jkq2YOW+5UyLZa/FnROLHNxYplPD5C48Xp9eJQeaBsPZWCg3IWwp927xMOP2aRQi+CVPp6Cp
5NyN5ZWscCp0cFqaX9SX336Ib0pHV5/zy/nGRVCqEGkUFjqzzIvim/t3deMnjefL7/3dHfHM72X3
uCMype3q9vGI2ZTLpw/OwfR0/Psr9QrudxGFpR0uauSbnjDwnzpyfnqYadYYMlmLtPW7MyvCf3+B
H2War6/w7Su7aWBiqoJXQN8lmMOE21W4pk9uNd5CIskDM6Tq89oxBXQYo8izkOymLkC7dhm5N7/7
f7qR//nI8jf93zgrl1aoeENPs37JU1J7rqHMxZsn3DGbtuDO5hAt2XeVxd9sAD+fIoaKORr9RDfN
/vf4ot41kmxduk6V/bzFGC0nG7UDqsVy4jXeZCQggTmHkdQ9mdURv/X3n+LXF++v7i8vfi4Vheg8
De1SJY+S54xGGIjYzi1qYYECJZOm4tWvWp515Jb//cV/vtD4zFCRWRDTvn/wRI+TVOCDZ0lmRw//
kurO319B+fHmNP55iW8ntC4UXZpK/Xcb9iamZDC7vPS8urN7eVHdx6bnZRGYsWDlmZQm6ISnbQd1
1WO2EYhjnL22PFKO8qgkPfG3wMQ/V9W/b7R/3ty3G62NtNMptnhzrW2Q+izbLDRyI4D2JMHqPOG5
xWBS8y3f2JK05f9Gv/1JojUwkKmGIhmGJH77+tPcOFd3Q+bgSscdythTIsXwenZUcyg/jiWhLX//
MfSff40vr/hNnm3uWpFXD4XbTHJi1LKmzCHFe8RSmO3qetszIri004xhNMJa7RrC4JwNW22UkGJr
wlBO9saN/K5uRzRmys7MvciGsXSzM9Tde743LuObqbsnUsvP+sszd8AQiMqnKhGKwUhMIXeeWP1u
V1Vr8/J6g9Jya0MFqKw6FuLwvlWsuXnfn4Rjex3pgltU0zNoivtEUoPOOKZVINPNnm/+TdzdY1fs
1t09FM+h2rxchEP7DMi1ppSB0kOsYO3oN/txhrGbfBAQW1Aukj/ROQwmlF4psetNRRNO4MPKeI4F
AnJi+4IAKDsWK66EAv3RyohnQyog3Kxz0fjklgwAFFPMyZgAbRHHi7jR8d3cVyKBwOXWqOxz6ncX
vEFO3fe1g4ZggNy77R5rdCs6DUz1Gt+24lKXZYg4tQtLjcKlRK3A1IeOKA+pcZs3jaQxc67DI0Ek
JZ7E0Q83TmHycisPPJGCrAWYAqsRRZ/pmN0k5hZOAnH7UEh2GVh/MozFwlUt9BqKfbL7tnXtiUCo
qAB4lle+3Ket9OI7UXqEY2bY7cLT/SMp5tduVqoOsl7BxhJiY0F86dXRmFOQEU2cGoJSe2QL7s6r
GDa+LdrKvUW97+W6L8YfT2hqbctI/4qdF5fmvjVKgoDtTpkbJEl240h3VNBQnU8VLgE0JtKH4UhX
Oga7zjRDgheRiG84Og8ga2qgJSejEy2AESZnpyXwyRj0IWGqm0RjXRvcHguLWMtTcAc64uLLiqCd
9GkLw/Yxl25jhpzo0WSWKfdlSiJIt1ZrTzPo646lxghialKhSzMYzzkJTvd3ZVnR+hERfl2SP0nJ
/dBRGZ2uJRhmwDNApqEiJHidE7NMaQfQDEdobKOfMsIoyBlW7NIcXOGOkH3Gcjcd2R5VFumoSMKY
ZFhcBjxoNzW6Isyr++v5frg/+8FUenfzalHFhAOwYJf0aYVRRGgLaVQ5PbVI3jUZCESbtN61eKl1
vqSgJsU5Xt0JICT6I8cbe/YlIsBj9yYt7vSAwLbIdVBsxXAQrLPH6CH4irmKDuZ1dKJjU6txh54A
j7pCfNhw1z+6EKWxJrGbyP/mMZD3cefcaVU7j+sSOUmpFkoGrM6p705MZs3Vg+DRaj11mNXS+jUj
55WcpNSW1hdpXDYuP21+nl6MwIick2VXacAxbx5lRg3kQpT2nVgIa31DEkgmGRDPLVtQ5EWV8VCh
bwHHYU0l9pbISe/86PiAKCgPdVDK9C81uC77AvqEluziWCB2UH3zFZjCCFJITVecUK6lA0N5Ey5h
pUzz7blynknQIXq1/oNGTxln93GLGje5suPffKSnadIshOYz4gPJqEype3qpWfVA72vC+6s0LV7V
k3tHAyakkDk7gNsXrnWKcDFyNRK5oUF8nKV9KraD7EGGWEV7jvo4MAHplVxAbNxj+nn4BZsO5qLI
p5KyI+Y7QfHc38kNfPZahAcEicTFCoTBjW0TgE5cbgREDenubh/06RfWiKpLULafUTbmhrNjcfCo
JhysRcIAAaHE5+Y3keElzkenJGnhyUlNlGs+yizXih6rk6mNi5Tj8FEONGBOz6ASJ/d0LRCmVD0W
8Y3p02n/BIMWtSOpHWsp8zLNPz9QBi5UKeTHvfLX47rz9LwbP28CfkQmjHcGLDV0Hs7+iybPxJQc
stx0Wv3myyxB6TqpDah4EQdk+SRtrptJ5MujN4i0C/U5vTCnuCyhbA1l87IppBsIGc6Dx3P/jLMN
7C1Ed+rFnH2JHBxFUxoIUkjjTwYN+lt5em5w+cOkeL7LcTQXFyVRL9B726n5PJoP3oxOaeVqtGyP
zyLyDKaS8vRRDyM4IozqSG2eXy2PPyI3W+cpt2vaOoxMc3Uaya6EJP7gEGwRcyddw7bspCAaibNc
SJdl6hX12GQYJoek0QiCXxRgB4dNhE+Tb8Y5gzPJONIQFMKMVFYaaF1+k07omoNH/otXsX+m/6vI
+fLM/1aBZZUq5d2FKoOvypWZRGjmPIK+eVV/6Yh/bJC+vNC3akqIxOcz7ygussuukxK/vY2fHcHO
vVTy65r+j3u1X4qnPzaIL3WzFHe3OGHX0dd9aEY4yq4gJpVxOTsvHks0GTAmt531Jvmwh/z7i0js
GNseC3rb8DovSehIZukvtqkfbbkmMoRkyXD6zD9OwC/vSZOy7HmmnSAA8jpkjspi/8EkiQfGQyCA
4JqTaPmLu0T66Vv/8prqN6/WqZFL+dnxmp13dZtDJHnCsjuY8yQk0ei4KA4n2a1Jw/xfLdv/r3H2
omqRc2FI5F1oBt/hX0M5+gXa76Ec3/77/w7lkP+HaLGtYYFEJPlCMrnov4RykMZBJocsq7po9aaQ
L6Ec7IbKfVQ7/3lPNf+SyWHRDpmGhqylmLrxfxNnL/eOs+/3vqpLfGpVtlTt+wWpn005zs4dtl4G
TQNzUW/voUUwew8MOk2IUPNfhoV3GzY+6Tif8uDzF5+V0n+1f30H39pbo9M7GasVBtA74bFMzhg+
EdanBdqBYoigX6XPq4wBa6CkMMaKw46USXFSvJ6hcSb+A9nW6V27IHyW6a5/moUXr538IQONSUME
ChNWjL/2TEVe85DlUSIrZ9oOj8njERD0eYREZEJ5oY473teqNIEIVHc2buqmAYw0uMzzUNmLQxKd
SDXPBq/xrFgwUB8LK9jxAavZL+JSXljSwFiV7/omIrJRm12nxVTbv6rApohORQEjmPM1HicAmxP/
SfrXRh2egqejrKNJ/+9juxNm8F0hC6/FT9XmfZKHyGxqRKlcbbBQzJLh4ZVPcgNjntOFxCBSBtK6
WXnJ0AzJDDUJvGVIQyTR7rQRX/RxBP5n2w3xgEbvwmezfPoqE8TgWZDhwxLAEpz9uBnW70BpK5yu
fPXEoUE5U8mwJOwqd+fqzCLXTwKNwT4XsXn0a2CzkoG6Itxunu/IWcKF8pK8PknG1ByWXjxkxIBw
OFtcQPklufXuPD0+ntMwQopIlyec0SehPdQ/aap7gJL5en67rNtt/hGZTuUbPWGHr5cAccM568P4
aL0IL70guTnNGLf6ys1JF1QXpAodW0Knycoe4OtxVP8+3lPdlR8ki5SUSSwA6b4QMCl/IA/oAQSd
kTKvhu3wPi7IdgTmWA+sA89kemsAjmhaxFNFXu5GIeyV0YnIPTKY81HEOc1MZZDvLjwx6r3MmJWI
x+rlucSvdznkgb6CjMKIooAICdHkAxbe2wWQF4HLl8GwmPVBxHebSARQW8N4Fr1kbAfF5CjqCEm2
EE1NaW6JAepOAT4+IL/OOLvI6iWvzHx/0hqD893uiIskNmxxKzw1px4n+ZSixKECu0+xR2jlBwWP
8AegxwCoTMGK4s2IA+UPXKUake71m1f6z5rB306Qb4pBUqqi1sScILg7hvUb4/U599fcOoDwkXbZ
IvfofxkEres3NuqdYtHnsCc8iLsO3BNUQTIGd9cJCMq10Y/WO79+rxmmf1JAlVvF3qxyn3mCRxmH
zaHanclt8+uZOi6nKbGGLOBmNbmFg8eMLzsara6eeoiZftHhvjDJLkbKx5fDfv4/P9pXisZPIAvw
tpJBbI4hI81800ar5HozDJMTiyvJbsEWQGV4PJ1sauJc6VPTzO1tzpa6x1vgkYvFyHtn4G9jLNlK
Q9VhTQ9jwKJiP/uKycPBBuJBOu3TmVHOR7DAiBCLELMq1xhULjMcHP408QcEL/C5Bal/fbL1b6tj
/TPs3yfxP5/re6FwvYuRmZUPAodsnCaO5D1Bf2uj66LY3IlrC/LA8Nux4t59Uu5QZ+zH/8Fa5Y8P
JJMMK0uWRQlHJG/yS4VkSg810ZUGj6hLy7RJts/9nShjhBAP0Hri5kCi/2R5fz459Z8sN9V2R+Qw
8dHwDdVhNo18wyNdql+NHPZ/QpsJj8ng1SA3G38hYMsCLl4yOORhD6hLXPAf5YhFg9sAHtVaDbFa
2MLELCZZqHslyYA3FvuAu6CwxFA9KpfAflLOsHm52aodEWEYVuHz8+GVoA731zWZrM9ziHeEHMSQ
5EI3mZlL9ZeZBmlTP/5c/3xT38zkUpWedUDLrOSy+QpjQVzIE2H9nJOCwlaTtfrDka3djBy31s8+
8R6BPT2xThykZI7a+kSbRcxzyHVfxePGOwGuqjg396fpnc+IQMFfW9HmKTYr4bf5OQCqOjHVKSLz
aUOO3lntI6/VF/numB/s59x2OVqo5chrnYo23VoujjNfd24E5zM2ZP6mhyV66aHMHIOHFe9xCi6V
7GR2y4fnTTLh5D/VjjFVQxVBBRyGnR54vJcjEYz6w8MFQ4YkA1EbjYubKHdP84fDjPIako674O6B
cwfud5NDYr/CW/WJI/UNR17ieyS+77qTPqJjsoPcMI8Xd5Yw7OcEYCkEqTnINRCvcC8EGKRycJvU
u2fj5hMA8K4wvM6jvcZRPWg9FprBLFigC5pADzW38vTwMjN2Gq6BhbGcQ4kZo1N+Cgt9xgH/BBVR
hHcwp+nQetGn5x3hoUtS5yfZqpxYofKhzdVpNzcn/HzLCFY4KuLfzyurP4/+dUJ/uaW+qci1eK9O
V4sLZdR40eIZu9r7c9+898VeM758qGTtgm8dmQWBKwOJNE6Aifd5AqXiUxcDXIXDZhzFdooC2i/p
RH5/t92IrGf4ZKtrfkAWzgIROYZI4cFzp84LHsiYY0jkyAO+LL/zCaot9iiADTGwnc3/BY9u2LDx
Q1yhPOiXlWsG4mRbP+y68VKG1sPSNw8aVRSi+5EuW3m7sf2/ZNQlHQuv8MygWPVxrgvuL8dyIlde
/v17k3+sTL98b98q07MSma0lcBRtnx5aVDe+z85B/KKMY7A8Hb8+pqeeIB4+xtU6pcJ4+sVKHLHT
4VvB398L+92//Ij9m/1yLiY3qxUloyZvbNN5pUOwi5ePGTpJBNaL0N10l6pqF20rZnQyMY7Ra7pG
OMDb2oKvg3Wyrpf3UJIHHfyZ8w4/k/ROuU18yrYMsYXF7nlpflbT9KNYttNqwbn/2u2SMz6E3ll3
rDdFZkvBfYbQlM5gaYz4v6sznr/gtDgtoC6hfBxQXW/4MwcVZbEwqLPx/T7QH9RN5pgTImX1c9xN
T+EFcy8q6UD3KMoWpU1ygI4AifcMzQVAyCM8AwZxqpFUDC6n8LSCPEeKiTbM3zC0Mdz25ICibk9N
6+qza6gS9ollBfoAtz4u7PDuAu4GPT3gTB9hIA276dk+WLMH0J8cuHlvrevsahqTcFoh9/J8wT+1
KSY3ShN9yE3hKqNuxPkGJHkiTihhrFHxahySBVikZ2/bvve4YECgfO9PAlDbCTs0IaQQl5uYo22t
rdn/dwhk39MkrNThbW3Q8L9dwQuQ/18c8T3hfDucXvEb8W9mG4nQJSgEIaV/kCxizN/xgNIfm7u2
u8lkmlcgMPx6Ws4qoM7CVKHCULxmbXn9VYnaXE95mwTvo53Zmhfhf3otQbMmQRPyoex7CJsxwffN
4hlZFvY2ci+TeKIuhTEwh9OM7E4q4xQw8fY+NomPDuP1eYpleAj0eyYsyx1yCcnaArvs4gzZU1tU
aNnj+yfRqrFtqF6RYLZFQ+ylZEL9bttLN6tj4BDe2dpU45I58j7faovWY/zikk+AaXqVzfJFu5JV
IpRDEeKOMeo50rehMNdU5zaJoYO4t9fTu3Gm8K0orB+a27xxfBzz13gRbx6U9eRGv1BB4QwteYMf
zVb38A8uUyCXJw6OZhmN1BG2g1Uz4c/1UA9KP8LsxBLAizpNx9Gk9B4BczUvIkCfmGRpeJp3hOnK
Y3VnzeVlN8MGZqywVjAiCgvcCwIBtdpWHZXHeqe8WKTqRwumNOlHt35MsteIcYDLvGQQJCv8ez1d
w5gLa4207fCyiRfyjlbkxWKBMx1Vq4Q+bRKPreBBqhOPEiffsJ1dzPhM19lp1nvUJvA8mYx085Nj
ju5+PKRl6D/FFBNQiPWW6aO40w/gn92/Hz3yn7rvX8+P3mpAgqhB7OW3QqNT73pqqZyDl/FlbQF0
pJjdl06herSxLdcdCBrsRmNgHdPHpNkxAuLiFienkTrsVnBGook5JEkfttmy+JQnGgCJATDYsQYM
FH9YmGy6ndbMWxqsnuEcEymMRo/DVR6cOzsOhbEwx4P43BQfp49CxlIsbRWXkV86aIcYZfF5Ix4j
pPOfQdEdEw2jBioW+rd2VS44Voqd0puEdSDwnDRX9hdQZQcYu4u3+D2bXqeQpfihGnXAIAGPSPcY
JDtlRoDJY5GNrHmz4UnDb2O85H0ic0pge2++RqigNNJm8QfFk5v7EIADi6KpcK+rbtuq7pijaY9R
cr2FNMY40K+DfFPsUFrlgXQfGjXlpDRLPjmFXSSPUcI5CkBvcDLGZ7+LRgq0XSa+mXOJHOZj0jJ7
r1+M3mYzwLN2gSJmYI3rT1iCRqRsiPwfF36RInQ7TORKfHC2TLY0okjlCczhdCapSyzVmL1r6aiJ
vvpOy58IQ5WxNtXueae/SmilJEKLkQMfBz8oRkTspF66uC1UD2vfQvhgPpCY4J6vh/RorG97nkTT
Syh4dKnSR8lsAaKTTjrSzZWDeoeZjrYTnu9zkO1+uTh78fLf1+b/Fu56de3rY/EaPWJLeTwVPwYs
Q67zmnHPAL7A4DQpnHyLtdmlYbHTxcmLbP2XW0P5STn/Ivt9T0/Vy9PjLFe8+nZUjm/rWwgVxVa8
85ISGaCNEhQ9z4yeH/CXXa0b1wAyF3m1g2YFloveYvXY9RnzCZHdf/9m9B8bqX8kze9xu89Gz4y6
473RQbqSxxwyxMVN/3Md7PvAtJ4yjt/QMSnnuDMH/hUF7bzo0VXoQDYncYAJDcrilT+rA+K1vXLw
NgYO/9IQeG45waaPrO+7I3HwBkfYMYOL25fePRzw7x9G+zHl7Os3/a2GvT9iDRsMPXf33sAiu3Tz
/A74NeAerodZQBxNFoj+0+N+GDBnsVu7YernJVPRjfD6jx++MioQGk6vyUQOa9gsk+u4ZeLp57Af
rpqtLKOPGnt+E9wsTxkZI/NY9aj5ksfvoZ3c4RcepdH1FGYMb2fNKJucF5G+U0ap06dgU9OMYpjZ
w9usndTT6zLnEGNYXe3BCt3G8VjfPAHw0WeJwxxWTnXrUUM8b3UV5FKyrKatrTkMpVP/YZexY73D
tFiqW8lLQ/pg+5OVB8LceZT0kfWsvnzevSz4XPAoIjg9MFZSmO0gZy9PwN5O7zwk3NbXFw/3HqYv
dMr849XoMYrdlhr9Ccbu5GQUN3wP0M0RRuvPp9fnyZd+wcOZZLNFSwQHXT9rkqANSZAbiKOTE9nK
7HY8eYKHBZ/PYkOTsjUec5ZD5otzfW8Vl1TCGp2OtHrnQsohCuBE/MxDHhw4wp3rAZATL0pvf+dt
qXaqwDqH1jjV235Tg1Oct0Nqyd0IrtutBgaHlShbPBh0cKdZu3vskMXqwFxq8yLo/6HHsHnfR6+V
e6ZOt1Zs+S1v8wtU+iSwPPYwkJuyab2NFjrXB44xC4aDujRe2qDhxKZzvwwvU3pLpGVYjvm0D4CP
bCah5iuRJUMIOGQN1ANpRXeshGppC2NWengT2Yj9CYcfutgy9Z6JVKC3kTKrYjte38fn5eWD1b9A
JOEEggdJP8zeHXCEY7YdXbas2s/KNTeNJ8HRObngIkSGwFO5mrUIe9pUkAOTM7zpDmVewq56UADc
ufciXprELbtKcAWtnovnopseyyDZaNPL6MoPI9GBp2A3yB94DNN0dZVi3CG+RdV3GVn26Uhj7txL
L/1E8YCe8uBvKk94CLM7kDgwL2xNvd0/JTANktMNuy7MypAh7ZV5LKpu7JjvVr59ZHzgw21bdVNJ
8vV9TV1wGhFcyV6VxkWzSFbGS3xMDqCWFgxVseYnU30ovsH5cXQ6716Of3qNF49ZTZwJe4xGGXds
zJ7G4LTSlwqO+d1pxsJ6jcvUoz8AZ86czKvD0wuTbvviV6OE5hEnDJdtPNRpnyvGq6E5RSvMUlug
3yVLFFDqZdicxymwWwPQG+vsrE28mKanvFwPFSjD57ENBITWzR34oe7Bzimh3pGkGeBWrgN9qq01
ToKnpxPB9lKP0sWVHfTrjGDeCfUPNnn/vL8Al/j9ESMb/RPs+xNOk+Q+aQGUnPjdwRzdZP3E3LAP
B9FmFO8dd12vhwFJ5eyRoJ6a9ohbjS9i3Jf5DzflMZR/lB9UYITveLd5vU1f6gU+lRrNgwHyRhsb
u2pSzrTxFVTB5rIyRtRiiytUmniwzhbqFiKOly1rlmXYW3Cy1kf4kW9LklKvi2ZWvTaCXdSOeQOI
7UoEJeIAYnny/fGG9H6lMYRci10IN1XDKYM4/djqWIt5tBwuh8cL26xj2gTBn2pvPYSjDmCSsxbo
Xuxu0uMqzWVKkd5sLEx+OasQycd1zY6gMry/WcN01EyuK758BJyTHQfs2SABcHuckQWaN4XljG0d
ikgIFicNeyAYQCCWTSja+NnExXVkhPGwmYiB5eA16By0BhK6cJD29IbSRkc2tsUMDMfGmGejengZ
507Ccdht2T3ASs+36N829UEL5cmTf5trJJnpByggOypHa37fXBbpIn3dyM7dZ8mwO6aj0wuopfP8
5rKJQ210mZ7mOhxIFVWrJ8o+/WwWLwC7e9W49XoOpjBPNzxqQsk7gH+FG5ht9WExbVhzEUa3MXvR
Q5xaEFKUHiM2NHnOm+hZl40Y9Oc8YqV3Wap7+BaBGdwo3sCyWGgDHmcs+lZK83QCk/j3B7X8U0X0
9Wr9Vo8lTVNeywtaU97jltn80lDAoxdWZhy2KtCM0FoDMdRn7bihbePGrdDD2l0x+vsb+TEE4+sb
+SbS53Vaa5bBG5H9MwWA9/DPLgMzvwzU+fV4WZ2HGAGGp9fCv3kcPWdXcNVQ8tPpec7C+FChghOc
DwYP43ZUPu3zSpv/Vj7+WKJpMoZ+gvxkhT/9Z/FaXSolkzGw+AaHYjWMQ5qS046G6XwoqcPm7bBD
jsg9YYqsmuFi4HY6+TWrqR4MNd/Af2pNr5uIXfipuc7BvxguyurZ9yuP0/o2fXgKuKYrxWc9VoaF
I7j8507OOQgyChVrfZ9GI4RJJ9s9GOTRCfxWuUk/qmhfP+Q34So1K/1xepaKr74+91HrCiz6xA6L
e7c17MtFXjj62+3jBLWX4QfFhPYhnceG9oHPrTTe+Xs6O8qcC2Z4mmYuSFDmv6Kbz67ucwzDeVxr
jCwH6oLdb/mTeo+aqh2epy1+bGon8qQX8uK8LZEmlsUUhQW6tjpQ56wbJ5P7YCf489MQMOqMPf1k
Yo6vFWkDnrmOd4+zpxdY3Ab5Z/7ZXf3ccGIxLDF5nw3BvmBhufkqVuwL/tKMer5d9WdGvFFeuP+G
8uhGetndvnrp8LZhlQv72qBe3ycigkJKOUVs7FAcFd6F8Fh9Kb0U9ImcM1L49xtBsn6SMb/+AN9u
ycLIu9JKuBNK7+mZPiDcq315uS7NFtifcw9VF3+aOBEOxVFymLpO8znj8SBbSs7FgWFPoDCykQin
uQt6MPU5uLyXK0bEcOQ+TgGZTYxTxTeFZj3oKOmoaX1rX2yVHgI5Oo1yaMyONlIcYc84bIg7jhXb
ec4TqZwpo+foPOw3T1Y54+1swoAgAXmu7ZIFq/v1UZDsZBGF0Uc0zzaoCs3u4t28op8/FBslSHQn
WxhBsRT2qe62r81KIjCKUnx7Dcs3jVlpNHXLt3xqcqYCxtk/nHgpUnsJE4VhDSuG82rO+lsA3Cew
VvU2YQoio4kVO54ngdBvk/WrjeyUoVPfBoQ6Vc2Q1VoiYXDkl1Ols/vl2C2vIbhy6Zh4FhnkDy/L
yxT187MInxOknBVuaB+latMckxlVvvDCFaHB/SncT1Sw/NgbFJ8gUQb3DlkcJ6XXWl6+eVCv/P16
kHvV+l/1hGyZGE5wmJh/LpcvQvJT1PKm6fkbcXgZs73DPlQzj3W2twZd4hlTYauz4wAQPPVU4Fn2
JUCFUlUu7JLLhCrs1Vj//S1Jf2Kp/vaevl2iQqFiC7MIU93TUbzcQu2dB7VJ1T8sx8R7BwWy8tj0
0WqX/WS5WhTDamp+8tZPDC8+T2+4g6ldBE9ZRUc0DObELN1rvvBhfGQ0Cbd9ihAqug8/e1V2xqHa
aCPW7kcMLOoXybA1xE2sqHrInNNkQkGT7mSbavPYsMeUVr5e2N26WmIC9c1POMJvTUjI1Xn0mEbD
Lrw51D7FImHA6J8WlpsH3UKtB4Loy++Md/PBA/5Z8yo6EnWGOgJ4x+XBJivpytfGTuZ4u204tbDU
wF7iQN52wLUub6ToQl6LBxveAl3fJg7khiHx3S5mbz1EPYJtBaQQDhyyDPWJAb6rWhdz2Xl7eLfp
Bhs1FgkCM0Qw5hKv0E+6GoQQghHYwmK0Lg4+THeVLw0OMeqSjMXNfDAHJ86eI0uxdEEJecL0WgwR
//6T/+ga0L5chd8ez2IeZcXV4CoURtifOUqqT5qm9ycOWsvDSZN4lwUleT0yZjWlKFvqOYuQ2jgZ
CTs86VwBfSV6ZrRYgPKEgzYYu9MhgYSLdg890BhknK+3QYOIb7jakvZ8+/RPe/QgLOjMFMnhdN6F
BauN1rBL7HbdCrbOUUXrwZSdsDmWLdRfiiNL/uutZ4nfnHhCm5SV1HMjutWDIW0Gg80+Cy6Zf5+3
vbEmsOPEho9m6zvanw+dkSCPuGM7aWa31ZOVX3iEmkPTNctncb++e0GHZj2XkExmZIkbFb29Wdrn
oXzUj/IG1QMaOofjA5B6FJ59ZWH4jQuqUGSXo1yfUDB9IB3t6F71+E+RFgJud5huny7nWxuyVENd
3JPNOiSOjEWc92iQec1SmhSrgliNgz5Sd3RmTFeDv18g2k9ZUYCcjB5MhctN6b/LL8eUpV5PlXHh
u1IG+16/avAinBc3jmDSKg4gpusmaFOnRfocn8bcRmNz1Ug+kyUK9dK2wuI6KN8NafDBqXW4HFPk
iuvb3WEX2LlM6BRHMN4MJ1oK/E9tfnntM3l/+Qw/HrVfPsM34TwpC6kW+uh6ulzIq+zi9qN0aX9b
6wgi95BV78X1iTPdPpFUQ9AhvqzAsFUg7UV4mksU8fmG3fNxjmnr7cI5Yg2JAPB5mNj07QM6FL/v
f9md9Y0Xci/GSK7DbGbMn7+s3/1Y1n/5JN/kt+oq1VZa9gmV6IJseJBx8kqD/vfv68/a4r8eA19e
pf8+v/zmT7GTzDrlVU7LPgFzf0cmZeHqoBzSP44BMhk6ftsITfId0895dv2la5D+mIL/9ha+leSN
kglaU5LbitPwefYsFEXOSQKCyKvd1sxFyxVSIFkdkQ9Rm8WE9eXlvuJdFksVVvvHqd/jtZ8f9SLV
Q+RD+dishIN+dqRDcXZygSgEF7jwk62ieUwSA1nBFesqvrq5LihvSMko9vjw6vEDp8PTOTd+MxVY
6LcpYeAvVodsp+7ux2JGgtpLxCh3X60KzITmQGKqRNs5KqfJh8Hsr+UZABRwywSMeoUbuwES/OR7
9MiHUcTw8nSq2NdHNZON3W2hbFhEX+gkwRWkPvQTkpatdn154RGy1H554us/3t2qgie2dyYrfzqj
L790W0WlXPbX0xmDPxE9b8Y7j3bAv7N6kYh2vRSPxqE42dLhqb/mlidOqEA3MjFZfEfMTPV5PnoO
H++3bT5NR4Vgw+geFWsKOvCoq/jt9kZUy5QcgGT3fNFebhP2QqOoZ5FSxFCPMbVb4fy4T+Ezoo4B
fMEp9stsAhPtT+c97Z0sAvrTyCj8z+u5azvQMjdaHw7yd+y10v4yv8+tHSEKrGxD7BpI42JIqedy
UUzPzFmfIZbT65SMspamdc8MjO01vGWIp4RPW7BMELjYCztqI4yyMecCO10n+5DPupE0qqfZFKb1
qtqUh/zQoIVvT7WtYI3IJxXN9zayBuVbM4UVi7IhMkY8z+qDOSUay84+9AMTs+Ftqm2L1Wkm0PtK
R4aXR3zpuU8shquBmGzQDstpG1JLMyXYXMei5+qeyeyAvwUgMsJfRP3DNZSDKK2pq7Nfngw/jgLA
Ev73t2p+2wTOY/FyFky6ZsYYyYBRjzQ4mMMnjq7j/MbTSnSeUzSkGTrdL2MI6cdj8MtLf3soaXfr
9l+EneeO6lrWrq8IydgGw1/nSA5F/UEURTmADdjgdPXnmdXS+bZWb/VS91Zv9apVBM8wxjve8C5z
8dKfJDjzON6f9XwVhpRmIQHGIp8YNPAvp+LfXvSPW2QQD9pB3/KiAZIMYE+Tmi/3Dn5uv4wtqKP5
/ZcX/DeqyQi16VQeQcJT/gyfgiGIILbn6sWqxnyErXn08e0GCfTI1WEMhMoFpoWoHv8W6yWLz/Jf
x+//vfSfmo32LtfqteGlr7qZn6jvj07ukm8APP7S9f1JYHTQhRYUykB/nf43Nvq/VWhjCeIhytgx
4Y5/7NjmneUTwrcEfHULJWfoJV4RPjz45hNj4pebcgEXwk4vmnGufVABYBS6h2W8GDgMaS3cdjhN
vzLnb1DRv8Mo/3xnf1xMdyl956Ocb4Z01jUjX2dwfnmCJp8RlG0M9OSQrkA9IKmTjWsDNog3/6Z3
euvHVcbnuVv4JYr2fHfblIyf4Y6ocFEUWJRMicwOfPkYJYuxz+CJ+2IjRaMgswXrk+zy0qiD1r3C
egJcEnwa2M4tNaE2y6PUGc5wVEIGzZQQ7rQoV9BX6jSQAnDD0l0i4PoZQvWyR04REMrkiZ4lXqg3
4EhxoiB2JFxGtXm+Y5fx1APSPREwPpZkEPHkiU2BFqV2FoET/w0g+R0R/7nm/vnN/gFQVUX5TDOF
/VWcsSL6PEbT+W1kIcQzIFmZDI1C1r/fmv0HhH1gKg8x2fTcJ2yN/ATlAxxF+uG4bmAaQkEwv2JS
8KjDTcVEJmaVbjeHiE3JRGyRETvqUJ8wTfocr0dOaw2tYxBztsoTkV/tSPYQn8gVnmwcrPfEBBpE
XI7ly2bgAFv01sjIVrAdlvH8aIlRX26mjEz+6tT6b2fOP7+TPxryidKNpbcYOjAspty5YHEJAfgs
eyFIysDD9OVvduP/7rn9f1vvV871j5Igl5IRE5Dfl7zDYkqtOyYAQDtGvu1dgm+WInuJ4YJxdFvj
MGYmWL9NrCExFYG68beTaCj/W4kylkbqSFYUaSz92ayV+e2q1YMMD3C+9w9kHIM5lKrGajpoLMz4
kZPdCDsczWhEma3nLg+dBV8ZnVX9QKByXh+y34CX3byXLfuqD46pMpnGZMwt6d9UM/V6vwV7xJ4l
GGcWqpKIT0lsbZARsUQPamv8JHPrKAekblbjHcYbgWC+jizCkMDBus+R+4xa9JYkU/xuThi4Sya8
P+PSHA0sFtMdYtVwIcE1peo7XT+gTS3fa+2EId3NGjURA14wrk5CQQHxpcsMWtDpogmu8/v8tazJ
TJ964xkyBHze/qZM+/f8nn98x39c5U0eP27tnWp7QJ9PRXQ/Idl4zq5g3hITJUcwSEmzt+9h6vF9
caJkH2/n7rSB7GnssmJAAAhZK3cAxPljjdbBnMLyxgjWbT1gotccQJKpCHMYD8+9kU3mHtnfhdlc
nlsIiuVeXnC6XfWxCRMZ8yeOt9FK+yXYHO3Wv9NYCig4DZXlES8nfVK5yCxwmkjN51cCsUSyG3sy
z1YINJl9dh6mS+WnGhBk/oqouZ8TvWPE+ICsiKleWDPrvQxV7MvM/h4ecRUYLQaHfP47kQfr8OS/
sMSVf2tB/7mK/6hYKjXl0shZxcfo5uFFCaleSJhauDJK8DVldC1m0gwJOavuiF9Sss1q671pwonO
RFzBl8GQdcaqD+Pt/s1lZvhbq/332ft/m+yP2uY1zJpB2dEHDFwm4gOoEMigoK0C+6OcZWT3ITl3
t3OOn+mKIcCYMVcCH+KFNmGRhJmXhNLsW9xysq8waKqiJzJe4718LZJDsmBaSlYjSoKn1cMKELHv
Q6iVXFlL5UuczYTAr9TDlRB5VhnyC+ZwEc3ZVgb2wGBviTGlqVo4xVo1qjj4ad3lIZJOidibmgP0
Ay6i0YjA1cdXgj0DKCWUmfoQO+liYtefzIlH3uuKMZgl0bbh0IKX4uQFouy0F/VqXG2m0aB8L5Hf
oHnwaUqj4WSdMpGUYSfEUGluhvoFtmc+PhLnCMesdF7L56IJ75tyl4x1Ao/Mu9G79Vdu7DvTSn6G
/gz9iE6Pg+Toas9C505i2NXoneajwzrDj49zqbNlOzbu5sOJ7dFf6kd58m9V3D8X3R9VVNXlKILe
bGtYb7tm11hs7fTUA+DCGrRUhKg9X2u5TkROkkoozP1UINpjqN/Z8QpVFkTjYt17MidsQhYH55Nx
xOjP+RV0Me1pP6CSHK7W/VLOa07I2xyDLE86Faj2PZHSE9SMNQo7d49+6V3dwo79NqhAgG+Lpz8M
krkGeTZe5bNhWNgYBDZ67kvWfZaiTsvgv5G5dp9hWVJ8S7s0yH08E5g4ffZfU0AjOrUhNTGHThu+
QuX8Oqc3vdr14RQNivZBKtCsQwEEim72wWufMo1rPhRn9Hn16FfHzBzSiooI2bw3mMleayh+kgPu
dPN8idkb8hTKSsLMnjPNVeAEDlZpNHTaHY6VNTPAKP4Yu9DgpRDHaP4PQbt6IXvozMETNFPt7aG1
JXLGbE9jFCqLZj620Q15Raw3TAFvguByVix6Fvtl0RES7QoDjfoKLgXw8m70Q5FBcZEwpFIQLUms
lYF/3cDv5dId8FO9BQpF/T00FEre44xjEFh66sFW2Y1Yy7Bn4LPFxugHZ1OI2XilwPWAVlOgyejc
Nah2wGzarjzZ7LetU69w1725BT/xcKZeZuCEy1Fr3WaCcCgoP2+UGfIKTkeG6Op/tztTsRr/1xn0
B+rUF4Pb4HWj5k9/pBILWJ2oJDGLXFSaGUMles8y4MWg96oT6gklxO3sUWLCp8fV7/DkbSSwe3Ls
qfG+ldxYdseXZpX09mM+3b/WPbyzAtOs2LkFDwzyXGyMCnwKzhlRJsCpXgw5v7CAePp83eHKMqI8
lmZq5eUqPiRW5wFZ3Nypf134Gd+RGjyw1U5owNSPkeF+4ygCsh/m0LZK44dcWuMYNcZgM/CYMw0z
RzkMwr+m3/3rVPefW/yPdqQ8cqegg6M6CqH3vPX2rMyPUb6r4KRD7jWGRNQ0a6rj+2xql4mwLq1V
b4Qy8JcS8ozX2USPGa7dzfxz+AWm8dze/dtZvVRGdam/ZG5M5hU5ShsMIUv96eUbUpZfq/aTzw5r
AEbGvIh+JoixND2h6GpofCQXO0MP8i5CuioEstOn30hb9Zv5ufuGa0lNZcjhjeFsexniwmgcg4EP
y1uvyMq7zsuog1L9tGVzQneDnkgAyVBIqN6RqPDkYAk/4Ey8DNxuTuDvxpseVDif4YFqg8ZG6FCM
/7085X9tSSH9yircIFn7sy7WbsfiqSbc4A3hcoKsSeWJvpb0BPCOaXScQ2GbOmJDCq3T3xpPVVT6
/7U7/vHyf5RoddsSKCfyeZJQxbUA1Yk5XuUBbtnhjUu2+H6eWojcMhx3d/yD7wWYTGYmBnIH0Zza
eIgYqfPyhzBDPzWqqPhbxuCwchl9KRY6VsGmKvQiOlp/i/EcTv61+vnHm/+j+ik0WOuNyCIbb/Of
9DRAlN2HonHGc9KZf31GQj044padrPhYywi6xW4QCJHIFfW2YqYue7wOSXZLsIHeNNvn9ujFyzfy
JBtPzu2K3FuLtQujAIFhviPYmQekmNmZcc1/CippURHPpEHQRuw7iKBlCKAsPtxmv2wNgxLTggr1
DLHOLGcQf9wxhWU6v5oz5ed4PuyHCBmFH1r/lUJgyQ3JQz6uP9ZCgDRYCe5phTauvK1zr9BDHJ+c
NIKg6r7cbD84PayXFS8qPKJGTkd987Sv9nWtQR/8UmCyoTi+DJgmvFk87CspQNI5S6LlGw4RdvNv
6xmMNhgAMoDDNJul3xiNsVte5zfr57mXZgTk8gs7t9krfEHe20eRJLMMcTv9W4Oo/Os5jYMnfelI
Hg6Hf5zT4yytu/zOSuxhjK7HvmrlIKaDD8Ewyi1YBFHtXh6AC60RR3EonWXVijdkTFgy3yoCfOYi
mqdAl+tW/3uP4pbwr7vk/7839Y/3Nqwf9+LRsdCEy4ZkyVvYw6vscJ8hsBMksUXKk131eCvBM3i6
CIQgyzuTKJ7RFZKvxX9l/w59JV7BvKNwANbEl5Z5JmZIy8d8rKK9HKK0ov54fF0j/mV2rK06GM1q
v7EzFFFMi+y3O/LuZqnL0LFdyLI5TyHlan5Z+6Nd2U+qRi5+Yez8ciZc7EqEu96s3Wfr6gIx8B5V
lB7Hn5yy470aboQ6gw6cqggTYcmCpvFa3+CzOy98htt7oCbmftE4Rx+qrj/YJ6ZmYQbJxX66uaQd
Xs/HfUX5PR+Q0LOWH14FEIRnov2cZ5+x+TezvtF/kMn/OqxkmWnhcDrV/stepUmV8VVVCJi5oc8I
+/Pro/GfNz3ZaMIXQPWbn2uKNCoxUPFkhjLL2UnY3YS08RZVJcwpai0flPO7X/XGSdbXjQAczTfM
VOtoX60LfFujsNCrP9wCt8L3FmTC72ZQ9CCVGCOI0C5gP7MpfALhQ9sM4WHa02dZkrHDmr+FKzhY
QPnQvKFXnPE9W+GsLGH3C2ta1YxbQ4AIWW70jnCtEfLVsSkiiAQP5aNiAiQCDX6OAbsYXrRmkutU
0j/eDmWDy4T2NpXSL4W1MtZPU3gmj9vXZNdQyU7lI9n0c22COI/h2vDp1/h6PVYTMubwc3duuXCR
a/vvAix9JZVWJ9IR+KXd8UOGzaCq/nAtg0Hx9opz+TR5c3hR4a6wTtu5/DmULkWLRxUueJl+7Yy0
1AxlEr21Nd/GcatgGb2LO6ssKbWR65GS6rymm6q1NFeMcxer1m0n+N3bD4qJRO/e5i0OEzgTlTNo
v6mEktmrnnmF6sQXhC8PYi2/i1dAwv30Pv8suvXjG71R/NPPcDMSrP03HwyD8q7Sp5zAdxlmyc1I
mMRRrVW5Kw8m+kjF5MPSpp5EadElS9xUK9RzTY0vN775uGI0SN89LdAwMzBeQDmyhaEbPhcKj/mn
Dh+HhDuM3VRa0qnejA12B4Cf9N0N+ShW20XdHXt8qLLec8T57pJ4aeTuVDDhbbyvEtDO+/LZMddp
OUvTZA71Qdzx8+vYZK9B+uO4H+iZ5OT1WsUM+hpbr8K/QSGDfx8IRiA07cy/peG7bo2OIc0kkiMt
CbBLwWVDSU11N9l1VhwMvmQGy+ASQ31Kxgs102PNgLVClOfHJ0ZMoAKhaj3WkL6hEOCN7aTLJwT9
YMLCnkvQt2VfoCd1ABXPx7Xhyxu5MuL7nTjUBLldPcGBmV/pi0z8qVcjdkFvA4X5vwJysNPxgAkq
pOLqUun0+7V5/OFiRazqtCigBOI+Apg++hgt2vFn7uduHybfql8RAcqNslyqXNHMWWnvFzXiDdiR
I6j1b1eNHh/Hqx4VocL7Vlz1UqdIXbTa6WYpZ+XE45nikHKbCyIaXOfYpnu3IV2kO0TNbx4fjjEq
jSSuaAfwXi5zEDt047a2R+IVYOkTKQEmbTSbphJCYgQZvgeI7/SS8kc9lYc3jx5vvtRUMLekQe/9
a+rKiGYDsLzjgr/bj7x4bLLAxSBvnn5qTPJiv6x3qjc2+xlcK0TSbEaTbJbZwB8AgngvRNb+0Cft
wCtmxFBOZP09Rj1ZO/xjvc3iR3ltUzxWcBv0ZPhi8MpW74M6L3YyTed+fzVgwaBYdYYb1WA8NbVp
uzV0hkRKQXvNsM5H0+M2O4XFOzS7H8Vmz2CqziM6cBOEMcNB0jgg3LX4vVl9bauNcQMwJFFkjlgt
ryMNu8k9MgMSRSDcpIj+03BE7a8aHBiT9Xh9dHFYEJM6MUAfBhlOjMAvvYghSYx5ivu9NT2Pf1RD
9EvjxRWySYXnAOgAupVtzoLAx3A2ORGA8Vgo9ninuBQ8WyJc9qPP2EkoAYrDc3Y7p1brwj//UszX
pmYoGn8OA/tdm92Wd59a3Uz4P3Sq/xJNimRVO7DGNSYQrtA9P2ycOLlhkdS1+1eA4LngpbpPNIJY
3dGlAUmyiLDwdLFuM1Qh1cGHdmxJS20KKnwNFLdrrJuMlkO/QVVBRCzcUHhxQEs8TjCyrUwUgeHV
OEKtzC1QilHYDGbJAb8KImncpLVVRt8jxqhYegMaQvAZX4OyD9MrjqeExOBI6KuEqPymjQNCufl4
TTIqIOjNOl6tdmBiuHnEIHT9jpgN1UGta0zsTHQhmmbUePh9kmNfj4Lx1cbVp8XQgML+7r8xA0zs
R+eShDVM7Mlisrijz41Q/SMo0bYToh7C5gPXZdAEnAojoX9gvAtYrUur8Qx9peieipySsDDqTFfJ
MYHt+GjAEjRwn9ZGOMr2ZdDULvrvKZoixKvTBTSvLmBcLzMnykC9SofW1ZKjSe4kVMsxjN+jwRGZ
gXKgZYQT4xwNOPxkR4XK27nO7rsnpJ8NaF88E5CgumxgqjKxOfronnRi1ciEiGQ9cRM3C/qodV6f
4z0iEOlLCoZ43DLKBazYSSHZP8hLE4wjaWN4WHxxTetPDnwRxwOBn4SwdmZ/SgALewcYd0YyAoV4
wqlfHbqr3a4eblu4UInzgSMvoGgdN6PZZPHkKB7a+S7egQQnMesF741fr62KJRb7UEVcEB6/xv0G
ijoihED1ji49hKU9aUT32EgyBH1GI4ki7QWZb4+Ru93xbkbG8avUwTBzp99fHQmanDNcTjFloLap
nsKYwbqibxVNRLU9LjhziBhaNbXLJ6ypDIlxmsILE4rsX67f3QqGnsJApTC2D12LXp2uP3ZTciOt
fPFGnMB7sejcebXPmI6k+GoDAnPphqGXT42S+V/qdfOekaFLwAA0BXqoN88zC6OxIy4laFwi+Znb
ydY+hEpS7O6XRwaHy8gCL1Smvq0tTFZYYtHbRVMEREoQBdFsmOUMrcFTvxM6HF3Bo6hSiguKsvVo
nWw4phhpopU2X/tsPv3C0uu5RI4FT+Iysivr+TC+EYY7j63mjUygLNoCYdbwoZyzxcuDj8PNXJ9Z
V9SI+RKXYk62CZlTroIT5HsxZD8aQ/+dYiF8PyvUfnjxzEpQhbW7Hpg/RJsh886WLwNQTT8luyZE
t2KVn4r1mGnG1XkwzJgoxsFhooYdoX45r2AL8/Xg65h4EicSmCGVf820gPmGxv0qccaUmaXMVb68
qd1AS+WIc6aUrA0WvzyMqSZoIYrbexp1HpA15d/dxAZMK7AmkS4ZRh0TbFhyvFUpK5EWi/XMaIVt
Pg5x5mhYRy+jwlqnRTST+O/CS9f92OgC5NLSXt7fluXyteofAUICMxs6j53E5DHzMzjlJJtXXvkB
VgYCEgOpPC0a+9ZqTBYowUxA5GPjE+T2CGoKvWidA0dP+T2MRhByCt8j/gepAouR+R4lDQVDpT9J
CYePq+97+CXYfgcsUL2mQq8lem3vFyHtaI0FVqy4xx3zQmcgkJ6nL5D9/gi6ikTu7jzsoQvBzpGH
+n8gflTOJmDEgllt9Fygj1nFm5EF7TfAhcZH3gYQK/yDjhzvLEKrCTRT8aguBGw9Nq60mjcxPrFr
GgNgJ8REznCevcGna6+Cn0GMAyLf80tfzWMXfw5HmqEh4b4m1Aqirj2ewbY2+F2nzhovW2ZTFFX7
KxZ2PD91y4hwjo7aLunrudkGxip2hk6qfk/muDMvrqr+CoiigySYL9IF/a3P0QyJDBiXOOjg+dUf
xExUBSvsQpQJtxNbHBTAm26Hs+nsvlUbD2sJLI3Dt0nk2siJHUQYOpvrphHJBUw89qTSH5SxwJh1
yi1ao5F704T9vVGQLlXs2sqRsVoo/Kn95CthRMlTVR9MTSZhEaTTVYHxy4x9x0Abx1vUWDcRsEJo
Dhe7SmSaMwWxxIVt7KNS9SdYcBZXq8T4wyY04r3ozLvHmFyweVS2HJUokTaXQltjCwyZuTWeJgcw
IjR+XdefesaHtM3JIsMx3H6y3AeXRjxwlKwYIP9sp/f17QXI7j2wBMHMVWiB9Ovxg9CMMWeuXqHZ
onHh6sRvjzljq680dthZiwYRotDV/d6YOcL2R6OXhKuxZAX9gXmZxZQ2YcyKApcq99Zm5hg+P3c/
ixCHoE0RQIoQi31IXjTPafidkePYE9mYwRGwJny9lyf9VyojLSMpR0O3ohXWNFgNjEttkPOGjRSn
3VjcPBMgd2xurQoPFtRzTrgYGK2bfirBcZe7hYn2B38CuzKeKW3GjcnGC1VyEyFcdujB7Qrt5mR+
DbuF5MURlksQe8cftTWcHTeg0qf9ggqNsqV1pbtdBtQq3ECSiZ0wR9pRxChSSTT2eD+4LhhtjV+A
dwiTM7914KOzPFNGaUevqGcjt1RYvkrQXa3pOMp9LXgvSXvTLynFT16a4zf7eb8gvoD/3Ex4fTg7
s5tFjQqSSD3DVubOE5XInW0MiL7un5yJ/Ipav7w/SotJCoyou74Yr1u49DDqmadzz8+Y9EbS0x2H
iZ0SWumrO5i21sAQa1Ik6jFn4ia/w61/71HBoezg3xBJEVSFGlSgujB4AiZ4UTaa4c2ByBp7HHPM
c5aJruNmlJn72dsTjE/ouh7sf/LaJ1i5NitChpwhXs7c6KtN72FZRBE3ZnpdU09MzL4K0Gy99NJ6
aaQY6jIaQDGEQ7QwA6+PscAx3msu4n3hbMVpG3tvAB3Cg3zI6VS/K4Yt4Nrl9i7WAGWLT94iv3xg
ZRTBd0Pjc9LnnOHP8gVhq22x66AmIQKgztK3JxJM4azwd5nsH9AmGsV7C20H+sLXyC5lLkCJ61jB
/O2WOv1Gy1avBY7/uNUyDV3zjXLFwwuhDGRoU4ztuIqkctMyDSPlZpR5LVIiyDNDM5tJplF/9pcU
3DCfLuDSDmnYmDeTzcSBi2ARuRM9iF6ag9jEny12r8RUg6RgPVPrMlZTD4JJuQyt28d0M1kV28ya
BM1mAl9x5BXohJE9cPvqLFPJmNKiUs8kY/1wr7xsNnKOLmYuFW9E6fQ3dht4TV259TVzhxdnNNLx
0jceaEzvwUj/nKtGysPEeBvmj7yn6KDe6Tx4GahSsbn2cMf28Liyb/MC/yugPSYDFRRA8LzKJVIP
XT2WLczBnCoGIYOb74J0jBexw7oDusNt3C6tnrkZXSm+HAg34NkeJMYVOOxtrg47EF3CRtoxAnT6
AEN+GkJcEPEnorIDcXGEkEThUWJ/blFef7/EI/UVZ7h6BCWXAu5Q+gEUBSFH3thuYUxDxduBOJnU
zzyFCZPyFhz3BrWptpVzgQknakN9DKEMAqxb2rscCpb0RvE+pSSQTQ4e/ehWdfCMz/d2xpVExflk
KqeN8KFBVzIiVDdxVR5XyB/x+gosiBdy0wr80s8gLBX6OaWLYFP6N31BlYgzEG5+A4uu+K3vW70w
v9qNtsdkM4OH0Fkyo1jqSfo9+DYneddQIyW2uATD62aIfdjTs/ZTTOB+6wCCwD1NF1P5wlSNh9cY
H9JsXqFyhhprZl/nxLzkl4080C9X53zkSD04yip3nv7nLx2fhn28Yxpd4BBdCWbJop/J8xfhEuHQ
QRSyGMK5ZGYfHF0BtbOcniINr5VggvQRcp6FdpDxEspm2NR4j8/MH3iaJyQz193dGpgPGnokSE9Q
BsoJdiA1EXvopEH2SmbYJHGqvIgXdbHxCtTjaTJvPo4u5T5XyJwrhXYcw9ShW2OUI3g/HrWREMzU
6yrq9wnlnuK2Lqns3ISkD9d6BC610DgMbjbDCvSfMGQ218UzdJBOHKkD8XYVzobHACK07MaGf8D/
Fo9JIC7qiMes8tQjHMun9yTbh47HJgxg508vxDpyDhKEK+mEIwyBVxhJtQzj1CB+mrI58KuNUC+X
FhIbBtwNlRAUZ7tPUPCkrnDKosLi2sbyO0w3txV33WPVeXg9EaeiF9bzGwUq4xF9L6rj4kBvYOY1
gM5tzk7KzEr/Eh8efsgUSsan+GOwS/S7Y74fOFRIXDCi3deEvV3EUQCbbtdH6csoej+fN0GFbU5r
qPuYuywcYMA53RKPhasNMKNYnp1N/cOVrgQyq5LChgIfc4qU/hV9GZdSypWuzIaUo1BwDUhE1NYp
PIM+HP9Up/uJsfFz1nqAIG7KdQvn8afq7Yl+fjqVUXqPDb2IWFGmYBJy0glB9Dt6OwOK6EVv1+b7
aOVACnPiPesQeMK5RjSRtQ5T55GCNB2RY3KtB0h+kyt2EQaF3JSk6S86ffZPycXyVXwVgeTxDjn8
CsbXjACQZrJi/TQUlZ5wSyRcrz9R/RikDzN4Smi7G57AcoTtrei1AGJQrhbOiOBGpOyMhgq/VIPn
XAah4C6C6uoPbi5mGf7115AUasDNwZUXKf9YstQ3IdbGfV99De729DDysE/AjxFMFcaLtOqWYyuJ
mgAezBS3htF3j2kLnS0QnckjCsQNmzh5wDzdJqWR7TEOu4MCZBRDQIabyTHD0ST6+oSLrD750lfC
GO9yNX0YC5xAsOtuAeVoajw/Rmicroctv2pbBQNujDZqsYgUoMTE0ObiEvhxk1W5euxeuxJpf4Mu
qDSFp8njl+YgEQASSOxECBHMyPb5vIQWofkvyRs5BFeWwebzbT2ZQXH7i5nA0cv25f7o5Re6LAYL
A/1DjaJA+Z1ywm4AM8Vqz1KvOv4M6+nHVEeGXgexReHmP5Gox/p8KpgIoluunMkGSGFZuNAtOHq3
Z3Y1e5uQ7Y0YAhPlQT2hLlgW8JSxB6AZQXpPaeGP2YEmRTa42/Ny9wWeyqbFM2vo3fCIYL6pYwE9
8bjUrS7K8YoZhl95Y+Wx0UC/i17MOPCzpDKasESolyxSP3PuhSakdBGCQvgg3pohI8COQU3lTXe3
5c+Nc06lM6Ro0Q/q+cnMkmpt+EnBHYCrsId4z3ATmIDeZkMuwsKI1+U2EbySBR/xwG1Nz9UvGgSL
/JmJJaWV8XND6x3miz3gwXa0Gs3KPUr4kByi7RfQ/HdCM5BeYksQtrSP8Q9QEaoRzW7N+mNCQaNS
ZQ9A6bi3P/h0NHHJnEnCRVok9nB/NOXDi1EEOVcpnkAph9/QFzX+ywVnfPjpcsJ46223fHBLWz5D
iUv+aaClSTgka4Q4aOn1Ayg/Plqlm1Fntb7wIqQBA9ZF0GHHIcUxY7jUo+L+LQOaeTnjkCp1GMDV
YjKBsfXTCQI00G8OSdioGd+W3IL9Qrvv5KNfdzrn1TEig+J2GgOUrxZbOsvt1S4vkFC8Zp+ub05u
P6JJ0HkYd/DkQXft0YGY1tGixyqCkJnZ9Fz1jA5wc3HS2XBKBrgYTjFRgj+AJ93+9qE6b/10XHem
fO6g5gyZEmM8Y66LZeZfJYJgRc3wA3qyfQfqChXdAX7zGT8N2mFafbIT7sgVAEVNmrsZESfmJNZ/
7tbRuv6M5pNl5Ve+cAgSDkKfU1J5VDibb6sTBRgDM1BOf6qnAT60zo61ZCosho6aG1hxhZkeLKDJ
akvgVrR8mPluYAPhmbtvCfcXXgvxR4wJ568HkTEBjVyirEf/JzAtzdthFIZVUopFknvach0DXFJ5
XfCixnOUcRuQk7ZpDMKJlwObIpTZ+HiW67SHScBgG8rmGutKfl+dMH157hAwKfM321rG0U1n0qWt
452YA3ZLRudI5RT9YWYe2YwYpZEOiEdZwyfdfefz57rbv+Hq98BZtvh2tFA74HGwAE4xhwvoJbDA
8HLcycYHrCSnvNwMXHDYEZJRh0rIbWCCNRMdO4f8f4qQbwZoekvzCHUSpN8gYt1BI8mZbWp74Hlw
DjwiDAzLN9L3ZR7Bc/uZMoiR/OX7q3LHW3q101QnuISEc1YDz3mWYgy5w04HNOOJhyhYnbjVVT/Z
yHi4gN5PMaFpz8IxGn9vnmDPN425CkQcOXqZLz5tjYWz2H93AxTVU6gjzDEndI0fyUe2WvT6l6AC
ooriZ19njMEx4Lw7gIsBLZedBPxjbr64/fHn5JSc16YyH32nLI1hKBrfCtFUGQoPHLxRtfljQ3YP
HD4s2RYAYofsA5DxTDuaonbIvkcfmh78SBscrHWVCY6wQRvYVMCpjeiXPdOss6C1ijEBt7RYgpUG
LIGlJImYyk//FFMNvF91TgPMsLmxSD4skPZfD9IHMtpQ2b2/44Kzmkw40USEyo9yc5MA8parUmNB
pL15ONvmpprahhVHdOvhiRzcl8oeccXEeGjLzvYmxMqisrsKjoe5XU+stw8hFp7Jzk+C1pkJoR/+
whP7TMW0BAqwyn3vEpBrLEadhS3mx31xwNmN2HfY8/j0O2eqnqXjQXS0Kh//XXuEtJZbx6CCKJl+
4V+/qvWRdfdW/CIHrhtDJh4ARDVt+bBqnQOy/Tpipkg1ChjMxcC5JbvyfriFY7EmaQqQoPHoYTmw
0XcM6Pb8LngG4ugZ/3wErA29mmPjtUCWR22Q4a29a6f6K8xXtxAQDY1u2pst/lXu0uVCv26Qvhkt
ixi5ybbBrSpCggJOv5rw7qDRbicmTcp5PAefaPQzxq4erHxW0EpQP3NHWpRfKgaLMJPmKpHcYuif
YmfdbMXQ/xH0Tg+w8jQvV//uwxTV+9XbxtYLgwlsa7a3uboY7B7BlBhtIYjWYDTCEsQ62xyHV2jL
gKrA94PLcLlAuyK0ll0w9X7SM3BofWHGEHuPC30Baj9aeYgCJneej4BaQ9DIIOppIcJkfKs87FeU
0SJHzbzATexmYKcGOmErfveG3usJm6vCoWy/OZMZxDU07vpRIBT9Yl0aeDh98AcG3/j6saW1/cCU
ksBr2IM4dloJE0IbKyac2ZiL44BksRaJS8PAiJhlrPui5cT4zhyUc25Lrp8e3S38smYF7oS0gzjR
Y7dKLE62BQ/dSD6WozA9mdBgPhqbasTkBnMIosh2n6Ao0acA8LNtYhGS/N7nwQ1EjCqwB3NZUxCK
S0nHRnCR+FVwiwaueJnCyNyDD7IxgB3hnl4WpGW4jVxMc5lvFF4pnkL050soBVSDL7wMi8b9pu26
PCEEIolOnDccJomSGGG4MXW/a4fj9e6q/JXlHYw+cZZEQPDBkrC1dwmJklPuyR/Fg/AKe0fTP+jk
AbSpA6fmVjiLwVTBR2Ea3giG1oeLH+pi7gl6iR08bYZZ7hOpBNWydDWgdDjSVwXygCeVCp3qPe9e
hoJPk/OjzpBtXxqXdCfqGqunhKY+AmrCvRVow8msJQR3i5t1kAVrnvH4hcL5FRWwPhl5TAyEwIM1
ELKM4Ct4XTrQIUjjQ2otuk8QxrvZgFN9Prj+XytaMls7EMM+4Wgckm4vFL1sKQ1JNbyjR8ikfC4R
e1QF13w56hyXzCrOMb/c8pQeUVxED6PAFcL6NbQmHoPSH/Y64PtH6WTkOUiMXnTNpwCqd/HLpdoY
GAQ9tplVYS75WjQPR4NF0gH9EHbmXU/pCfNc0rKtmuHk9oEXmCOBo+JUSqgHSIiHaQtKf14SbSGe
Vek5Q9t7FAjdfLRI1yQQYqkzJ4T8wYF8Hxg4+A6+odLklPFTfUh4+53v2iA9EvbByEynaN1e4TT+
ui00QaofeJVq5JKJszC7/hSfH8vxw5c0n0c1wvNvastghJzNPra+zpO4k6tRR+yxXO+Zfn9VrHQo
4ZviWyRamFeq+3uEcn+It+flDUI5dDGmsdLPXjWQLEQqcxkXBOvXe7gEKrjSgz5M2cdphJVEXhpz
QZbsVhriQEOrRYWhgejsif5a8hMpAm29jI4sjoo3tiwNGmZtYpbLbEtQ5IsSBrKPPpKMKx8vGq2O
T/P4HUfjg7x5wwlj6U3cbkxl+VzERxt4McU1wpge/h9357XcuNVt63fZ9+hCDqfOPhfIzFmBNygF
iggEiUAiPf3+0P/2cXfbZZdvXVa1uyUxiALXmmvOMb4hzhIECE7zyug1eamjoF4jXcs/rbOv0Emd
VczU4AkrsJE5VSWj6K93Ol++cCyi4JfWNZ3KZxgb9gpGD9HggjuysUc1SucKK06qxbynvNuBCN02
nsh5k1aSyLugfo6cp9hrV2StMXsAzjYfCv+MWLyw5fd8ZQJLBWA2CmzR+NC+pINPrfUxOti9fK9c
Pf0Z1RCHxnxHmbcrZzEnZ3dAodhOiw+y1VfQiF6kyT1gVByf4dYyPkS5S38BkpBzQiuwKmbo3o5o
ZifasnT2TJlCbEA7bYqlmcPxF+ZSIPWby8ykLLQ2CipVfWxmMR2ruHACOYR/AWYlnV024nODB3fM
ChsXg26NCvrIqGiklrzoC8EHUSz4KLdodYpL6JcM3H3ejJS+DgeqV0B48FXNPYP56eWZQQdLKKcf
Uj5u5xmEIsC8sj3nmwCZhPWCZjiCenPVfWUTQmr8sc/Ck9xCUQ+uAbBECLsyv8B+X9Gj5CI9+2fL
Nt/5vbMJk329Ovt12G8fYzLpA1OMTFfCHA/mEOD3gOLRdJluSQAEQPGlgUH0OpG5kgu4pZBWa65c
mocJBRNGIofZEpiQUqIfUI0rA3PPA0ayszsdjSsajtMxHqnF8HFD+DXvN3QRnNeSPuEAeiqQEC7y
k1KB7vnt1+vu6zYKFiJGU6dojSTmM102mztFE/XLY0oiI0yEbH1mUtHQw78/jY2qOX6rQEQy4OIS
zVhO74i7OOHosZNsH56ajr6innSmdtNvVVLWcuoP3u+ADebaxaEVfWdAp3GJM5OzX1/RKMOEBVq/
glBfz2tsmLpN9zWa/Mfqai3HUdn9bXhqAtaxFqwuzTMtYJ0G0od3gf03njTc89N1zhEYN9OuRvqw
KZxlFJJhTIdr37vzfqXTKe2+ODzG25u+TZrA4mS5jGcFgiw/dzvI98799ezuGur+lP92bEMTDpSu
yFwbZgMt3evxcmRw+4lzJkj8m2hLgC89qlvtEYy4S8AV/SHdvT+huhsx6QdUzgHbJh2PaqHx5vfR
gYbRzNBpxF0H7zHBPMXjCCC3dTrE/ZQAcI424ZScC6hAK6j8k2jX0sns7aXCUkSz7kGrT3Tb+f1C
C40Oe+0mDW8gpACzgVGMMqVvErKZCUyILzoVITWBRXul9SxWEOZpTrUgIoCCZSSm6f5Bfk4xkMib
wa/f0NkEaIr14FOdLZXNKHTnVBxQjNJvZwe93dmhuXpWDaVRfKIcohNRea8a6CRctZwFxWeN1oT8
gbZaNO3HWn7mc3MstfaB2x/ylcY00bSTzze2cGamZ582teY9v6YhL4QboQXqoPrTyn3YTwYWLp+/
oIc1zFCdHmc7kj2A6UotLyrrJttSuaItjA6XLffZkP0c64ceMDdFF3WbKG+MDKTXy2UcybBG67hH
nsYztgUJclrS3AyHsNvR8AziXbtOn6UNEytj2s7Bd8SQP5fVhtbbFwh0OVDvnsl7oFrw0tM3TcPR
mSiHPAJg7+N5KbP5LqMvcQq3HlW3MTGQyo1XULoZfRMkdgU9bvIWdGrlAHO21+KnvKIlfZ8ya3Y1
omQxNiFYbmzSNTnRyJ8JtSJnIsbNc1F1shd1dj3iebdogrMmv5vUzgrrRB12NATwT2PUig7nAY8K
hLX5GK8isxcQnDD5pFSb3jkzioCanOz71DWjlyrQNZi19i4TiF5Jw0O7q6bSG7Ki8djPKAMzS/l8
9lN6FxStlb0MTvmBDBo0JdWzeKW9jxn9i3fasnoTc2ekdUpnR6XttCxE8KL3QCEjnuglFCsX97HW
OZiJfkaCe2rnBvNkZdRBNaLzzOSAJAYbNZ+TLueT1SiKXJ0oLTcqqzDbCzN8xC+j7gVyDzkM9FQY
ZlDnwldx2nWJLv8yY0o54V0QtFwkASVDvdkbXoKSCsqhQ5vya7z6quVlmYYG5jWTN4s6NoKup2Ih
zroFFNPXsTCY5O9IVoDSevpW/BubqKT9qeH7B+X0LwL2TjFvza1MxuwnxHLefZ1guWN+uI+m1stl
/3J7S/fFPn29r4dJ8VpusD5vmrBFbUSL/PKKwqaZD648ogQzTHeSP7qfzSmxvEyjJSSmY188Q7A+
QCWhZS/x3zgUQOLKrnblFFpBM6gXqd+E9YG++u47sGopvyKOo1eHg+gkjLJtYhW+C/9X1WqYCDIz
Zk62s4itvJg9WKs5KrGGEHQ39isBrVZs/xjOzJkcaqfhROVH33oJ6IwGMKcZvA/WnhjyCVEYG3mm
HOiM63FAcsjwZnzd3xSOx7TvJtjluuX5pTmR+kT0graGSHAQRgQT0g46MlyBtgjqFgjz2eEgwnn3
rz0Gxp/6gH74Df3iuLorAzmORvwfJy9D2q82uOylF5Gj3ax9kr8Acue9fdZtzJYZbZphXtv3T4U4
2VlBhBc72El1a0Z01GtXZIpOy7j1ILDUIhE1HOJAr0uFre0OVkTk+mM8nLoVcgIOpXilWR8y2dNj
DHvndbQjArCc8MZxeRX2GEZCaZ0urL8xiMt/hq7Uf/iZf0EzdI1VloQjjzgOCjyAn6P7CbWJs90C
WZqqu5QS2/ZovI6ovMxvIfrS/fLL3P7+6v9Ls0xVaAaWoWsSjihd5638l1mmGvbdn7NM/3D737NM
JS4y1QRGrauiLnPXCJ/v//1fgil/k7XvoDZN1hTIktzpb1mmxjdRURQD4qREnClP7ccwUwsClGlp
FvmopK9q/yTMlFv+wYbz81P/5T1y1aryqsuiGsSVfFLmZZK85D2QEYHi9HpZZcoMsU91PtyNdCYf
SLWUHaG/+BV7TSrBulm1p16H/LnD00VuDcXredqobzFr/mNtvF9o7dLsaaqp1bHGZ68P6u1N2YZ3
5Hbn6Z2hP7pqwnxUWv6cCsdQpc6NcwdXpCmzKFYj3EmpmdKQ/4tmhC5yRiNXpvd1BSBgTm5k8sgg
/W4AH0ymG3hgJ2f8ySq2CNqqRMpMz5UNidKncnJus4iWcTxN6RzUYe2NKahSKHMiprTqQfVXo2mR
KnWmubPxwVImsgZyCxJQGPqtWSb2ERKDN714LJWrcCwxRw6MiZjQI0ZYgT1b7SUCKontimuKfsr2
h+bKGfA87bZpGFDRA6grv9DPKzWD1KLZakOnPDrPxO1tgAljV2ZQ9gWpE19nQKmpwQkqmmn4STZM
ZQpHEnz+rD3NlvMgMpf8AzRiDXhFzIOeYakK9VwdFtkQ8okEoG8Pn3cp4Nqpp3eir8DEzLUVt9Hw
kgLJWiVP2mpU/z1ebwJe20XNBHIJLzC7YZHwrvVMRK9M1YHPAGWM5PNdpJPLdMVplkwEz6DLU95X
3BJgIr49OpwQZUmnQtoUIwKn8KDUF1Dbp8+tYpvz+HmAkItY+P4kpYuc5o7BhbWCrE9+Eao5qPv5
C7qDFAQhR3Wa8VvVZXh0nfLtBWLr6MVsHLbS3PpkXhmv0Q7jUvLadUbl+nkrI6fGj/fwzHlUuw9i
1x4TpHkWCBjaoEKgQU/gnHd3S2TXEGrHIAGZKfosT11SRuU18ywy2YyltsxQgenAdLfqGm3aBPEY
40N9rfDMZk1YYHVqPAtt8EK8kVAx0OGkqZSu5TSIAJTfctug438mdlMrg0R3uopdGpeRSlIe0xBU
6jRFZLaVU5zt03RFJHyFBJT/PYgD5LWc8Hm9dcqH6JtYy0aR6hK4temDcZUh6Hgd9WD5pje0LRdj
OVw4Cqpr1X20QVGvxXw+YFOpDP9e43uveFd32wrXVP/Jq3kW7GtY5PB3vZJ5m3BeDaJBmMR26IuJ
ed9XbO1no7PP1pZX/buZ5rHJajSlkmQr2qaSV0ZB8/rzkr4YVLEl+11j+FDo1FUy6fCyMn6Wjnci
B7VtI07RF7YlG+kZSyawEPVh61cWBTvvaxQJ7gPGcile7PT2fK3XOuXMSwrLVkrn/NPs4R5n/iix
jBMkZ5WTR5wfdGlnMAaztR7pulYse/nCLW7PmTbMUgidj6bfKFfmA25dWMA5jNdbxUKQb+rMUbXT
BYB/dlV9tUNoeJv0nYrtKF1dHvr+XF7nGq23ZH3PLTABHNB7Ovu8QXk98cMaWygg9mc5K2Vl0dZR
qOUlzfEIEKP6Ypj3GzIV9EzoPP7NGyt53CrR7cQNsdnp7GN/sbGquomD9eeN9Q+3/31jNUSwZ4am
KmMKt8Tu+fvGSgS4pImqJunsoGPl/tvGan6TZNmyLIkUe1MdcZr17XGP//u/ZPMbceaiYpns0paJ
dfwf7avWH03gPz5zXf2F1qtFwr2uqosQdGXY0pQEo04uGecfjvYLiwK88sxhIy67lRXWTKiUT2mn
wPi6BNFJPJKBt8KU6dzox9XEdT6GQGPpgdXHrN1uIDUfm/O8RYZ2Et9WdC0S8iT8qx5ce6STb4Vp
lxgjSwyBLqYak5mJYz0XxAEiVZaemUZLM1w5t0MPJhZ8GfkU5hAwE+TRVfS/0lIeDgMnOWUx1Gjz
HOHd5D3rVSz/nfuAzjpn0+duEd1YwC20Sam8GI9piuRDaAIzuANr59R13kgGSdnBRSBiYnVtNSyx
9T21j4Ix1cmToFOQmgszmxiah1eQ6kFuFkWW4utM3aJsZ6k1LhFYlhmu0xxSgzw6tgfpgj+ixKmg
PVes45lqzesL5UWNb82gex/JZ4+170YCZwQhuiH9VJrISrNuvNv+gfR8QaiXf1tVmTto7pDRWNAO
sPnY4x2Wn8r9ZMg54zAUtnMruDw+2ZGM2hbbQOu/Mt1RjbnK/Dhyhvf7c/E+4Kz6iHy0kzfcxQeO
yBIM3lOz0Q6a4hf3Q0d8C0YdpjBhbk0fq+GIsN3L8ZiVPqsfQ78FPceWCD9S5F+kBbFArHvWSWTC
+8GNm85jnaymyQcq55O0eEg24SkE0ULX2fEVzB2jBMk61bRZRrTFGcMpj3At6GZLC4H2RFHNh9K/
Gw4f2oEuAQb01ZXx2JRPsMwyj8dM2fkc9pjt7wxifCYDo3EuGXStAWafgbxyUorw5zAijXsONze/
O0J+sJnL8HUUlN9/yj7kHzeyjWbDkUcHAFGG2fc71g4J7hRvyOGy1ijNJbsQ6bDSFQyob5jJN5su
X6Pxrqbtzhr2Y24pStepcWJCGts8IrdCmcaURWcciFuWRzLDG31R6ox8Ji1oU3VrZoDqeJlzxMSo
hXgeHy1jolCuaT/6/BB8mp9L1D0B3w9zw+yFFzjnteWlJAgcZAaKcZ7d+bFp46P1xG+AX0xlPvM5
/pIwOVB87dDQZi/5/8CLQCOEXzzpYIqHi1u8O81mpPHhuK0QeovjzIznIxcvd14aGGGgD9vxpwRC
qwKwd+6bS+EYJ6YPM/5toNkS3MeKZzjjR/3+61X4pWWxw0f18ShgGff0Z81D8nX3qw94a2JQxk53
Hqu7SqUinj+IH7KBvJvHyrKHFdNDvB+dx6D4qyon1KLtJkfYtOX9cn6/CxOLmqelyb1ldcjfMad9
apOa+o62DDD7pUE6Z/KMgpaP64cVFsBYnGHXBzI8TezzF++Wz26Is0L8zSsh7NWZYqLcJZ6JcZAe
5tUW8Va8/F9C+L/2mKlwFhRNUTUg3P71MVOVR+7iz7uhKv1y+993Q2KOLCIKSFiXdW08S/6+G0If
lXRr/LLIFsud/rYbcswEJswWqYpsiRAift8OxxOoZPFpVdZl3eLE+//+70f3f86n2/o/+ID6l3//
mP+uyX92zPzhqX+PM/gBVfioyrzLkkYNekpk6D3r21QDmVAveuOxE8q7l7SvCUlxTFKH9/xwPsKp
GtwzioGzLSNfwIJHz5ixdOre49bm/S1/VrkdGAd849JGwQLwklRu/EZSyxVroTmJOIDcTYQ4yWee
fSSA5eil8W8DMNWFIMz3YZbxgCieBVtvPA0BW8lJNLQefs1b9uoIj6fH3Y2iUL06OvPV1uEbKkZi
jEwf6zu8BAvsXXZzmndmsfIXu81It3Y7hhR+XX0QcEL4VXIjjlPSWao8tfIzdFri/hzNcuS7V9uO
4Qegen/uJCfG5dWR9pu6GFYjRvFAcx5Lq/9oCMlqbSFyIABkiENMTr2jqbVDxBSNf6ItUbkRBDjH
PE/HL3J2xBklLq557Mpv+MX5LuuxzvogR5kS20k2ojBQpHBDvmRy/nisMhA/PJeI9Sawql1Gvo8S
5nTjbw6f4VbxzlJXAtAMDPl4vTiVfX/sdSwAnOSpIyMGhuGfNyiP99x53gcdzd54xbfSFEAp9GyO
cYFe1iILmt1NMtlCE08iiXHMb048mabxeQxLW0RCyLMyb/MOtXuHGRszsOnxs/EyHeKS4GGe072f
54yEaSmaXkN0GUN0ffx10qHj0bh9o054suNLOsn2l7c3awPDn66/SRT7iuZ8LcTTM/UUKYDXai4Z
y4IJUVyTgdya6yhlfFYXDl7fB9tPkuVh/WDdXqssqNHjeVje9b0hCbHd5fk8FTFrPdX4FCqTuJjJ
gBlqGB7bmEv30TVYGF0uPolx/hPn0sFCjKvC6P0QLpObrw0a2RfzC6eqgpnoA2UHo6fRtXSfIE1J
MNuPEyPfAu2oUM5oi/RJTecpm/WRCNva4WOUCKDRpEu/Isw00B5uc0AjQ6dVJfyr3g2HYsPAYlqv
lJOGMB1J6m7K3ihI8HAP45R1ZarTwj0rR1HB8IugdSUtsP4usHxuQH63aFpb1v+BIUPNDAu0Qq52
/sXCjSEYjvggv1OjkB2C/kZas5b6MogQqwikhkZKBRSxm8lRNu8YNmgXZIFvzWNbWJov0AUyK5gd
Z89UvbbY1+m8AGJK0CEROgXyKs84CDFF4lySLmOJnKDoYrxUG77RrXN4Hyl0qQdwLDiXaypsYBrt
RjyK7PVIQs9oV4iCWAkmHL1PWjmz2bBj9zrfCc6NCq+jGW9tVSUgfQT8HUM+qYtnqY6+/2Pc13hW
03O6kzi2dtApb16qCq4W+c386t1lKviCYYOsbfhohI3S1S5EkTiiRyKQTdPatSJteg7hWf1lSQyR
GQhztz3uvX5xTibisUiYIZSPYXqVb1NVQEbF2F93K1/aIX3q1jd27Zvn8FgSGnN5DBphKWr7RZzQ
NOPxeGXwwfOEo+EtySd59oVUlGYKEk9onMMmKXaisWSbBk1/gRDc+QkmcnFOs0BLXLKObA2RJggR
/VXSJ5xSDPlj0KAhEmRJxKW069a4sLkxAI4IGCgL8OdnbvyrO8a0XxXDYNele2vo7Jx/cbBVLIUN
8eet/A+3/20rl74phqXrHFuJLjQ1iyPxb1u59E2lRa3pmqZJhmaYPOpvW7n+jWw2UzOpGsbc6TET
8beTLV+SVE68MnmI3+/xn2zlsvrHuRdPXVU1g59eJIdtPPn+sJXr3f3aVWmMDlrrXuPb/u6XnpLd
jgzD/BKjJoXpQPMWBGwSb7P22JRuV4HhuqfTqMd+yDsnVrYay0kUE8ijob9HwCfS0LNSSH0F/mvw
o4VzC4tXo7kuLpgA8rmu7Q0sYYF53vfysU9eLiSCChXy+qB4eDdlUecoYy8AvMMuI0nI+uDwiiVK
nNwUxId80bzhH6uWslq4/dBvBQ2zSoPb/UYkUscuzkKjMmo715Fd6JnTc7p+sEKdOUzmMUTVonHb
M2skSySNq1wBpoDwXz37d7jTDxZDGmD3eDau2E4KcBrMSTyLFUg0PlZYx0KxxvaPe1be3YdJN71L
U01pyJhgLYWmpLuKTpjNQIFyt1sqiM6P9Ccm33TjY479TQxtSKZfq97n2v3z0m11i4NDdguh5fCJ
cTJ6p8OY5hM9wQGByCQpmEjKHxcZQI/GT8MDXTAIR4irZca8nCJgm1/31ilpdhyA46WGbKyUEYqi
QBqJJ3poJASN1jv1xop6PjzOhwsgu0/UJExqiZV8IOmpUkhIn+LOOrb+faq0SCvpNY8POrKQHrdN
DWHTroUbFlt1Wyudq7fo/soxn5WkrORLyjjrnJmb9Q98YrdNauwSEp+Emk2EQ1y/UE5dv9Yb5VnF
fZWDhCrwHA8gN+PnSDWXxoNjL5j/QneZftlioUxjOWT8PWqhNA9HS1wvVVqiozFDCAryjc/rSx/e
sptblwEv3y06lslMXNXk/eEhSTD7yybjc6axpScQNtesLxjaSGm0K7209ZpgGv5eJgIkjEBCSRi5
WjsxBkJmFoyirxznr0XQp/2/uvdnyjTgFPV7U+17atpfLJGsI6xmPy+Rf7j9b0uk+E1hKDb2/4iw
ljmo/L5Eit9UkXWJhuD/Xz1/WyKNbypLtcI6aMIn/2mJNL4pusayy9BNHcdq6j9ZIomi/MNQjacu
67pq8uxEUflFGiCZV+tWdTFSXAJxGgoTzHB0uS7isr6utXmPURhbpLZXr2MkoPqYJ3e/UZ1LiiAY
kDIz6SuWYiZtNo09ksfRTUxWdYZTIIVUYVCNg7mCbjP+K2pfmxRYTFAB26bRVENjFgY/UmVXjpaY
3a7ZK6Ft6fUlzzB9Rh0Ti4Vxfk31RZavm3b5iCeKBjl1WtIFab1TAoE2m2ka85yNUj6bDGyaSaLv
WyJp7dHYfF+TxZMViGvKSXNbNEhWWbANrBPVa3+USIZ0UqKfR9ABwBJ3uDsSLj6RkodCpnLizI/w
0pGDgvhjf8FluAU4RssLXafTitB9ijYAnKe4GKRbZQEpDDN+2G5JbaELSe8r5G/98uqain+37q5G
by0Dc05j7qCAm8g9jpfAwMxF9bC7HXclLrA9LvtjasHdM9+4QXv9aLFJdl63MwR3GL2wxMB4zcWV
jcDkEGo4JQsw3cObx0e3EfFpxBCpbOYPRQEtj0ERYymmLNd2DrUsxm016T8zaNs8gccmYpTF6qVd
AmZPLDGj3Cq678X6tbsfrOFQ6/MolHecdDhHbrqv6LtTKS4dYWFs4oEyDxwSpA90Y+VH79/RqA+T
C+NFojnPgW7Zz7LiqB86KI46LOdWPiIxLSZ6tmiExCBgwZ9zH7f59al/wdxHswZs4ktPqQcxyOlB
G7HFMjNREN/0HPLs9KnobeuYze8wpOyyCrGa8GG+NZjfRyWOQncysRMiV1E+VKh2Jz2GxNblZvmc
7+jquVpsRKQruwqEIV0w1mv+VOSHU5MHWKAoSq1ZREmZCpE/YMwe0MMVMxNKUnSoLmFXQpcDvtSa
rtQZ6IqwxrIV9b6Efq6yUBZbRNuBX4gZXt7pQWer5FXGKE0IVAZ17pq558/LdSf3s04OZBqrBgHo
rOT1dabOb6niaJfnfKxB5B4dmGNhTR/5bsOi/ohOHBIoO/iT2psaGEb6bEZBT6msXfc1Fm3pM7PW
PPuqmQkAndDM9jgvEKIqa6oBTgkcoRDL7MxDPUX2psOjYWZE5U/Z3sZ7MwljokShk5JRQT+X9DR0
rQqG5eiEPtulAD9f+SXJkxkV0K0PKeup1rlNpPjRSc3XeR9yW/RGdKJ5aY/tBkorbWW8SvxeoaA8
nnl68oLvq3zSFlHO3ryeQxS+Ae5Y3/NELNFlVthDWEFj7xo4CDSH2mre0ZU1U5SCehmWKmsPWsV+
J1TL6wzfEQAQ3g9D0DhIbm/yvCD+b+SyK0zuOV5a2vw6ivczxKEvAjiLJBDaF4tYQd27C0fpQUu/
vvpqFRHlNYeH0sOxMhE10+fmCmGvvleYf66I0yC6A2qW08W/eWqmS9A4R42HYlBi/+3h4g875x9u
/9vOKX0zdaZsKi1BKvtxo/vhcGHplsQ4jUai9PPUTP+mWipPibJf0jX28x8PF0hXeLIcWGRNZWf9
JzvnnyWa/PiTI2756WyRmJJC7q4ucfylMoYYU2D3pueAgsIxcKlnZPzVEwJkp9Xb5R2YxtMQZHOR
gTT80MEfbwTlBwfS3+VYfT/R/Up1/ump/SKUiYzsPgymJgWm5alQkBnYLKMnLSQW/tC8YyMHudLR
6nHU1sMjKO0wwXjpEIhhtlOBHpPLY5KqAMNlTX/epz82sLGTKIepLANcOhm9Zej06CBi7kSb37Ib
Tje77ilFlzeyeKVXbC+LeH9Df0J5EE3r7cjdif1oTssA37P2jsfKmZwyixXR5tzQ4VabyvsKSB36
tbWJ7JJnAvBKvfs31tdRTDyFqwbqbHVl0gYTnMmdOk3nltu/46dALnNg+j7BK+JaM9IcEu9kObQ+
YgfrSgh5Bp7zWJVYuIH1z9h9J1ETHbkN7xDXGfhE4SULqz1EA9hNWKMWIygmxTxCWNQIH4MngcNM
shfM9Vhkgtv2qnmraDLM2i3ZIwiqC9hWFWPFlUArpKEAUfyRiKfYbYiKtmhxEgDHnyqv0trcotbF
HTRGdsSL5hUKCnCV0c28tmY0j+btU/81spbbkNYZRzRIDkocTlWGWFho1khkj20ofJ7R/lM34ZSD
ehOFTPVL1wiuy3zNgWHFwEydPybsXoZr4CgjfJQhG0MpGHvkGhEoC70aKfqmC4DnLYmrPmKDRD0Q
42SNFtpHP5IKJGSYwLG5AFi2ZwwqA/GLyDDicd45gxKqPKKzunCENYlO6kSesC5n+Szr8UFmS/Ko
k1m1qyBqAxY+ZRtiNTzwi5DQFO7wGK/VLy7CnlaTmxj0eN0LoncENHyz9Z4XTsn185QaAX9tPoEl
6l452AmMV4+ydeTmYtTjsgL9lMwrlyQRoDyOkQQlQnk6wbgnXl7kAFn3i7SSduwkH8yFJHhSaCzs
5oPOGy05ZtwMswNai+hjE1xTMwvLKJPomDFYZyuz+LooA8hPw3NCfCPDzRfhgyBLI0RUYn1c1rgl
/GZdFfTQ3krdhq9JsVS5jeZdKUuvrQ8+Et4oFaNPqYfYBl5tYQT9ke3FciyNWs8AogEYo3RBfTjY
YR0F0jp1qQH7Ledr0n7s3BoYXdjzkMKUZ9eCYT632LzBso46FcVsAnn/Qcw2tA9e7s8Uw4k44TgN
Z7aEuv/aEzzcIlfPmRckLv/iw3A6w9eZN1ho0xbCE9vffSo8jQUjuzM+MMvhHiSGiCa0Du6RT/MJ
PcYOcgaDfOm/G+FnauJyTOfJ0SDhc4nm1Gf3Px/SETSLy2M7GU1fRpTOBvmWI6nQfEEAnF1KAgoT
ZqAUYtlLkvm1slU4nItpA33FwXqZJARaIxnKycWii6mXscuQVH7smmOU+hpjXVxAOXiCQ4HmDFJh
bO865GFrowuUm/8ghailhzDh77j0TIYU0BULrwbpDtL+EJ+66phxUn7WyJkm7XlGPzSmd4mfWwlL
r3GpBekFQLDg0IM7Y8EA6CvaZui7NxdyXgPiEOXRjhST4lBNZfc6pUh1ESqpuzizv0Symmc36PCo
eRjSf14aMBmpo+2StxL8ns/b7HTm7QUXy86DerE6grq5u2B0g3N4n3DJdLLHJCp89Lh9qc6IJ7Fg
jDDN5p002OvXeIt15oFm1jrWLASY1uY0XL3IzbrN1UKpgOxR8Iow5q2LUgIEIknYltevrmFn74H9
wmaqwwjnIkRmAAtPir1rG8ocQIxOx4kKBQZXw5rFrArwscojVWAkLnVrbTQ/3V/NwZYJ+MQ8NDIP
x1g6Ok1YurhQqBj9+KRNBukTQAXg8ty3ntoVI+oO77JPXRWDyV1gfaMrQW9EWgAQBGvwRoXFExDm
N1TX6lKaCH+XwagalBJ/sWFy4P55L88b7Z6WjSJRr0o7nUh3fgSNa093+eghAYtLZifGjg5L4wxl
2HWgSDFN0Sp8IzZM5BTHL2J/x5u5l+ZIT6rVdaXwBmaJPTFPCpPbthmPp4n9zuFpUq2y8u1u2kMV
GP381oaPNsxPcusAzm1Qzaso93DIj1FgwLxD2IfeGSYkkViEih9yCLwQeqYlTjkIKjTgkTCODiEo
PWTITQcPPaSbW/4YDJhi8eLc6e6id4Svc2rsqR60zmeo+nigbkR9Kl69E17RIT5mF5IOCFg+Y87D
lQNGTlwVT8maSNAEn3JLX0qdrJPFwDgUL5e51rawSSBBzoORGYaUPiNSS+YEAYV60fs1hJz+5Xnr
N1hMoEM+0JuvxiA1dudHkI9JC81zna47yVOTtcUGthc15/GKDtJ9y1hxzv5yO0BL8SvRF6KB1RFf
KRRlMr1i+GNtPteGPe1dKnKkFcgRso9LWAK6iIOey5brx8aLsc4ChJKIUDsXQggeb+hS2Ja1eK6f
faxULuJPJ3+xnCAikCgLDMBsUJnHvuLFQw0TydsyL+zyU3KgM1JX5NMIf3N/96gGxifEEslpe1xw
xyD2eHT5kdQGMI6lNwfSkL7c4j1tg2aCpkh08nxGpGu6Y0QobBkooZ3UW3YvH7FlvDpPU9hEZFlh
q4CFjByKSEooAYInvmoECjH3BH7E5GQCqYSFXHwtwNHQiM0WyYn7GVmA4+oPtXD+kcHYGyDZC94a
2/9R84RlFH+e6RlOpA0uIGQh6UHAu68BIByN67l/K6diiueKMOPkVTHnt8xp+fuzhq9GC2E0dseE
dwDdzg0Hq8S9ccWEeIS4BAXMNYwrIShjlzjbFY5jOBs6WAMJ4+aDghFpD3m4g5vAhECbbHAe1nGK
EB6wTSkyBru3nGMfYOlAq4z2WRBOdeIL6xSXpgJHwQfcMVWRkgo7C1OCiWB6RZqGn69YYQVQcd0c
r1YHGs01lwovanHQ1rfZgzE35DFI5BfetqMXsLpuFTzZytqYqJbLIpVSBbLCopnEf4/L2XLV5VhZ
jklIvVu8WdMmuEBAYsDOzrG/za4fP8xZ/leI8KPwgOPBn6xCpqGPOTCmbBq/6vDqay2eH3UpIatj
tSlN55FNLGGqRSvf6P0udntowYzpsSQ957R2OEfgc+FMXwcFw9GaDrvTAASiR/1wiQ7OmLlCVQ1l
aDeHdGRTlFSF3YkU6vmZt5utfBXEYKbYl65v6ZuKdg/JDYCcZMp9mACn8IMvmANnBCIZYY+WdCrO
ZQa/Xxo9nDeKzdq3vHyBMqEG0BZ2z/VC2hZeOy4t7Yozdz0h5WmFbGvSLFtcPu51mezJuJw/wK8V
3pqrNlCW17B29VXzfJ4y1Gieh1ltzKWlcaSHhEn0ieJ0ZC6kJxzV6N3PVziNtqK6QxqUWnBr/JZY
UiwwRZCMCXPLpN9em7Br9rJ0gDoFvk1f3sK//m19V4H8EkYh/fDL0n7ZMga1fAiCNP6yNuoXw6GL
FeAGkEuHtU4UF2rx9IChu++vXodw6nUAgUt+xqJYiV9MXJg2aIw3YmdWvhmyq6I+ZMMmlGNlbTWY
r/kkWVOPT27rYVEtuPa/Stkmxu58EnfRToINe9nGWwnhXLHVP4YpxtPo87pT8FxTrC4oAuAQY9RE
j4nnGbZe7euTbpvs0Y2Z7wBGo3fRJccj3YgzE663+W7OCoRzl5FVkTGVBvrxNy60P5GZ6j+9YnQC
fhrGRXEnGkrBqfTQfFwVx9zgZbrm6K6I8Lh8FtR5zRjmyLVeTO6T/OrdxInK27YfE+YWF86ixcio
3JFaCzIMDPoe0U06uqc16imqfQLEdlyPN+e8UcKrZBvPmUosAxSRuYIEMSgnByBTazgyB+KiZhxr
Of1AdFScHM4CpBV8nJ7I5QUEi7G5c0ECcRSJOgN+Ymtv6Tb7kEN2QpgQ3TIOM9yonvbWWyg0Sd5Z
jYCHv77K/sy499NrNhYuPwwwxUYzBaOueK+oHm5mYcWOcNJVYjpW0QOLvZNs0thu3pmxx/Bgqx2R
Jc/xrgmtETKtw5Xt/oe7M1tyFMu27RdxjUaAeBU9CPWtv8hccneQBGpoBOLrz9iRt6wyMssq7bwe
q6xsIsLdJQF777XWnGN2ox9WtHW7zYGmbKXwzCkMxYnALTRBzbRrefvgREyIEx0LsHdejgEArAE9
RxE5hUj3/c+BOn8fzHIvWJqFXgsBFl2c39/Xs261waXj6bml7sZ6zxq87y9HMqmwpnnHBip52D+g
VeaMzkyW86AisaH3NItJl6CGcjpTpkP3Rp2a8//aiznkoCK8gdkWdWrPGpkvf8n6SU5FWEyVj6qK
oLIHRs76CA2IQ5RfUiszDo2qBDTlROHhwHG+5MzmMh6FWC5S22tQjCbnhCE5Bdmy3J7ghKNMTbZY
w8fn8U20xj/qiOKnMAImjQOngLpGVBHWJETIyLEgOg099cLj/9ripuBiKfQXkEVtMwMM2znieDea
CmHkzgzCmhyug1MkyJja64xMhnJARkKbqBXKXocRRh/WPKRRd9RAs1cUB7iHdCBoXXiP+soperyK
GzicxXstSEs6R5A9nXNiUDkzQlUO6QrQUGDxSFfdZgkSDO/2HHB2uDVdNuWffHQq7xz2TI510mbM
47F/TjPKegwwRK7SjtDsEnoHqltofGPDq11dEOOYA0RCzGt4kMs45SU6TQHkbNakL0awKSlxFFrH
rlLQeAFn+yEOT4MV8u7L8mpzsuH4GLEgwIFSVmZQzy4hapJANKDHNNW8cqp+kyYBPl5ElL1hZKEf
pcVUe9W2Za/iBOa9wdvyGon0hKDFSEdAQzv8IjCpH/su5vVAOCLY9Q3bnb4IFF5adJMa7o5Igc1t
+dTzjXVm3U6zf0DeBLs0PxOI8iJRRhnYad+61ZOgly6mrlrTnGhJjCySOuoj+HWk4UVrDuvDsfxl
jLWF1I+YvoJJjy6gJy9TXBe8myO4PI5pQB45mn0OHWNfQ6kCWw5EvgtewU0YkrrY0umZ9eyHQpsm
ZIGcos/uacAZ7xzdfT42R4nDy/S+PpMGgCgeCFJwXVg7AU6/uvrxOidHY04x4gy/Gc9dZtmqorH3
tvNZujDp2hzbycyyv2dwDTn8XsCrkwcNO+LtTkXYwahNeFASjuy/XnzP5SQDY3J18+WqA1VKmAbv
1QjpjHgmV9+pY+R2GoDP2QvXKTMxny4ctM7zSpn3tmtPtPVhQV/I5Wo5B1d3vjKc53SwuO+uCejt
2e1Y7J6Qh0ePySMiiXeaOj0dii9tpC+fPzLHv/iLk8vmPV4bMXtcKDC6FuBLAxByuflUEnJRl01M
uYrGCJkdMdrc4US/oiROlOibBZ/IJuHN3pi2NLEW6Yg2lhXkjT30adyp7jnqZW5X0zbI86hO6Qxz
PqIt+3PGhZevrjiNc2ZnL4aS7A9B7rnn4Dy5g/bgg3tCntrIP53DEU33GJPS/AQ+ixDRF0ASoPBA
JOjqrZ8xvdRqOCKsYlsFLZ8631PMUFPg4qijOdDaK3SeLssOXGzJ3lqTyv+mAiSeip1pVO1rl6qH
I5S4E4gViIYjxAOgCTldcLrqF6+gj4HdrzPgxPcx4hZ6r/iEZWJoDh6m38omjEXq16Zb+Mo2dXGQ
kRqh+UgmxI1fcmWApxL6kjmZc01ILHvFALsTEcem8LjyKeKOd1vEpiyab2MmLdKkwj9PZv2EhW19
+CLEjsyUe5hdpmzR12/GX9YE6ikmPguINUfEm/2e0YrqAZKwhHK+5sVeIaCSqIPQNcq9enmbdtRW
KgoyjGNcmxBCKpkNnDvPqodbjf9E7JkNgsvDed4Xl6f7NGZ3NUYc8cr2/dNXJfBoF34fYkv1XeCk
tOIc7hqplFONttEIsckFuvC3ydECVSbFSzORwGGumVvfRmF3cO6DUTqn+wfgOVAWePPG752UXIkx
GM74jZisYSCGVBYoOt9ITehrj/WPFtreFriIaB2qKHjIibnRB0oDXnI6dJF/nqEGvgiPAVE5U0MI
tKyRwNJ5cFLX6saMYx0JRbwUcVRhfzbnd/IyWC0YusteiSyeWxMl6DRfvtcqaeV8Azw1DLAIUMoL
EURgE53rXLz3xS/SaCZiR9SxsBG84po84+UD6iE5wjDFU/z8Azj8+SK/CDM+y+bdfSAUocFMTMMr
pllzeIQ6ETyfZ+FGJN6rQduo9aOCweUczRBD8xabf77EbthAO6J3hB4a2uqaUcTotoXOswD6NVhZ
6/dXQYNwX6OPDl+0/XEQejR9webz4q5WpGHmg4zw+cYncYOiAM4Mmg49+yY8MIe/RYXLav629Tg/
PTw2OdTB4mqMRWpG4afcwHVcXfwOTyf9CIp+anT3MvlUmRgaS4lVyUQOBDsNtep8wE9/BFqG5WJM
n8WRsanSyxZ7LiStS1j/QecVeUVuiTEQD0ibPBMyiOA1P3DttvaJqcBokI3rbFvJ35gQecniSX6p
JwIIaFinU04afuFjx6PJ4ssAV1CWjUgveIfybdUlDcJPZ8D8cqrZJ0J9RKZRRasPH4NXozviruSw
Amr//uG9ijFyABF3LtJErihztal4qzOVUt9yiYApxtcESS89pTIoUI6Pb9uBAyF4jNeEB0KA5qHh
E1uYQr3PgvI5IS9ghKGURyyFGUj7d4/kdXT5spBvWIshGymmQUa3VH0sVBSfoTaHWRGm39pldU/g
b00g+8ojdKkVqZaJzoxjyAAKCtBn9tWqcNU+FDZlbcsaXEkjVYToSG5rMYYI6ui8AoTGoXqjX8NL
nAnUWEqH6uAwEHbAwaGiGtVwk0gy9PsxgwVTnrDXE9Ukjn7S6Pi0y0AnOIsbxX8rMXndr3rCZ+FV
hMCqo+339xNy3ds73jxVhflAl0SycyPRXt6FVhGwr+1tqnNlERV8DOj9ooqgSdN6SLZShH9kPzBR
8JSDqI6Ltbwn/oaEAkxmuJo5JjH7edscIYZLDHHSB/5O/Yc7DPxYefWxcEGYfH2Th5ozCvLVJ3BD
DnJXu0kx4kAZasNcZ/MqG+enpE3HDgBRR+HgcA+g/wxB0OJ/Za9y6LJYL8LDPmtWKp0DLE2aMj8a
VLoEH4JefO2hjimHn+dRrifUxpU5b4HRqArcaMXTM8A7FHppnqTmXKNj0qIKOzyX9R0Tu8tf3e3z
akQv/W0PJ013oZqc1gwKLsYbJjWqYv55qXS7FbK0u4Brkg2iMUjKjya//LichDL5JS7gjS4M3fSM
OwQ0i6PfFjSDTX3G32/03QeEqvKmGsNrhkBWQU/aB3iBLUMKCo/rSrp/qoMwNSP4c80ZlXl/eoGh
/BCv9zJ9k7tadqsGgg58FtaXzubvumHftYPbZ+DrTnobwOpROIQ9bixV0l5Pl3cjMa+TksitozKA
m+e+wbOyZzyiC5ghoDlp1DwiLscNsjtNvIqGpl2z9x8cGVndHUkK1vbReXnH98HVvDpnJBEYG0DW
hecll4jrBuTSkr0H7mY0Fc4TN3OKJ4Kl9PVPRaLyH0AaVFPIxYZAGxjF/6VKfL5u5ePSFLQFkL8k
/en6ia5T21WblyenCfyvxxioq6SfvAPiEiiLbztDYAoAiznQqEHwRKEFBKyItJggdKhcI/7KmPbR
3uV0cZ/xFbT1H1AQHS3+2LXbDaAXNFA5Sz2qGZH+9qQEdWCwXRw9loh8Bnz+0EOaH/JaDJEfDwor
sHqcSjP7WIziW3SG2wLmm5gdlWWdWDfuGfZ27neO17RUOZkxABaHqqge43ETO/Nh9d6fLYacNwIR
ysAgz0dymalzCMxHYx7U8R2y85tcleFITJuQnYqwj+MgOO/U4JEQedRssai0I7V3IrCSg63y/UpK
1LGBEQBmxqQnEbBw4e1OB0EZVVRLHMvJhTrbGiezeZVwnppabIosSBkHQOEuwfdxnacu9p8LH9my
i98IbMGLciTf1WG2e5JhAawUgs5EP1GcEbiDWdU+fwiiXx2znJLWI8YzgoADTmdBOB9JRM9kGJZB
Hnf4NG1x5hc7AgvzhvnM8hpdv0VaYfWJxQ9yoVO4SpABtOfAKG84fMQ5r07GocMHenwuyjCdDEAz
s2lQ1zdBE0vh4HjjqV2zAliUqrdwoLjPo7R6bqsjCByGuTQA/HQLJwyWLKiL+yYnWJE80/FgAxDI
rsN8xnT3a0iqBcN2Z6YuOckwbCO6kMklb50ri34gn1ZzbBJ8ktXFOYl5qqihe3frXj37MKYKGpkg
SE1KnCNulKcTfpijozjkpskWyhtcviWn3MOK7J4l6RKTkuJEYSnmLBmasBPU2ckuwrd3ErkRRCto
fNbcMuSkGRxlh3s0duiuOBQwPKGVD4w34G5SGN2UNfWQjKllyYOi7/RdFzYEM1GrX2hpmmuIfM7Z
52A5pKIANcqJZqstrrxgqFe1b33cCBTZQcurJUDy+ho+37LHqlnNOL2UE6KADnfyZ5A4Op0+6b5N
hh6AhSfy+M591lPTfd+nD2De00dE+eg/W4+V9BE9py82DJqtkTzEOWFbHbIyl61EWT+xbhL7cALP
UVBHMguFxfF5ZUYC23CC+BvplOqfOcwFiA0RgQEq7u540iBW1gAOL/NybS0rV4NVpvolqNRr65hX
WKncBR2DYrgaLM8sjWps0gZg/V9wU8Tgq29/GCl+s9/91vUW0tm/zd4sGYG+oTOYk/+6eBV1+m61
9q748otxoQI/+IfEzTXxCR7Wr+gaU10lOOqIvqGO6QI6CICQaXOSJ8f9NHSYloAyA8NS2oQxfho/
1UbDqf6M1Unf0BBKg/KrZj6HuPIePT8av93AL004kF8Yw42M/WA/XKmrV9Ts0AxSE5LWK/xitI0I
LDG9YZSPG1Rpmw6KFWgRm7V0ONdIBIv6cQ9z+rtghqQfn8lhZi243ah8MQJBlJAmaUI8RGGftDlw
Cw5XzxVR4IXPgf5FG8sM8s+H4B0+V+Y16DcDiInkH7AibNrMyRctkTs3lwOP3tscyJnroZn4IaUL
e8Dh1IxBrvg1kSYFJMPrjK5tw41Gt3xkt6O1hmlKIJsPCwiyErRCeWHOjEXnOcrXwX6WMeIEr4mM
XhhvegzhA+7kzesQ4MKq/k/bZQBtaepgqGuooWWZ1uR/0YJjl6G3+bsW/G9f/29Fm44VZYgqDVGb
9cve+m+7jJBgmxhb9aFQiSPT/pcW3Ph/xkDYd1CR//LL/G6XMcT34ZuRiC2b/xtB2/A/zp/+9M4H
f3HLWKmVKU/TotoxgnfNUL6YlYys2bKyMcVd1PivmQEYvqvtK9b5/kcaLphqtjjVw3NgRNlMjrSp
8VHC8cNVlgJMCwQeHuHUuM/iFvbJy1GJP0JsgjJqhSSG87Cj+h1UNQkHdhOlae2U2Qffvob0tzpb
ToFf/ZCHF5yTMci6cv94OpUq/hvpcufe6w+dwpBjAphB41M7oA8YLvonB4k7ylxGIAjZ5wPLRRSG
5JxuXbd5GELimmsQQ2viZbLZg53ucLcJV75bMfKCMwGlHyhnX/XDTX9EDiWtWHZXB82Zg5prdPvu
Zmqi8v3ursHMRMaFxqkXQKkJVzh3XidOr9oq007CyV5T62A2StHoWIx5ULVeoax28ne9r/NPHG7V
69QJse6A8+3badCyua/7/M73YT6Jbg525mv5YrMyJ43hIO8lZJTffZpL/kU532kbhdowQWRb2v00
q310/OrkETIN2xGu3AQ5ahFO6MHh8ybH2NvVxEB4YzCKpmI4jAeJ8SH1ccOOvKezOpLGcYwuzz7y
qjExapwiEbE3wCZzUhJO9/lhU5bTRg2Rrr8P4441kJbAHdGGiXqLTFsRF4Z2R5fHaOa5ahbj9qLf
t48jTewKDEbADB6Rg8IELOfi17Rfzjktjta3YtoklzPJzsNvsnZoY1DiemZwQ5pP60KDvON26cXO
D+GTKY8GndkzrIM7mL7MZUO00bWN6LzrH88dqJuvg3XnrPuwrw211Whgon1EsZTvyYkL4DAYPSe+
ZnlvxH8wuEd31HE9SeHg68orQENEP4znbzQmYPEU7UipPpE+vVSci14/uQ+5zq3IahPoIvHHuv//
z17n31FMiX9K3/f0lEroJX/9kZJW/OAoJFvdgkg8SnWHx6puUJSL2BY69hwVxeHvzo7yOkoTNj2u
xpNmMfodzqL0XkR+psQWmC0541Cr04HBpW557w/LYzBcUVjWDlhnOuHkbGRbbB3hVWudUvl6+jKN
mnbRcePwMBUAkcv9gX6GAcyh5bxyvl5Q6VAwNMs3782rKfysGaIwFRWEeLcqX4kE7IFvKtvSW+H5
HfFLZ1RFr3jAHzJpPQn4LnPRd81zqR2YJeu2yRGq5zOxzlGZbRUEgiXSMxIBseLCVvEsLXXxdw1b
MjZfCEnOKK/c1wDIqNEJQoZu2eLLr4RjEYdiS9zDqMUQOT5R1IHgUoP0PM5j1Qjzc3gCVaZ8pEwV
DPL5lA9Vc63XB9PuK3M+gNPEZCDyw4/G8F+8sYJ8+yLQb/gUhOBNQsfuHQTgC80bLgoEHiY/787k
lt96NsH91MibVvkaxhed6HMPS7by0U+Gq4xAIlCtoMHHb4laKuJ3QHudtQVpzK0072T3Jq/4cdyp
MrkebchsikSwJE3Uu0dj4aDbr2m3RK2awZrZCCBXtCd1YUxSF/oS8T/cEjBMOnAkQ0aP64aYo3jg
GOMessvLlqf0LywkGI46raqIRBp7gBcFE8bT0ZOZ+mTWdY3fxUSZZNekR7P2xOtup8Hbh/QcKSX3
GyFjqpg36u6jxBvkc9Oz5uJCoawA/UXBQwtJiNbq1cBsEqU7DegWDMiKmXCjK/n8qYtB/hX/Nc0g
SMn4nZlAxJ/ARSDLIOAnDaqb1cSb88EfxoW8+dVuu3a630nLw5jMyuNty+zsnBgz1bP8t0bjClwV
yWP3Md0S+olVuWIRLORV6enOBc3PdUqrZW7WqpOTRLPO2U46n66lWsgRT/WVrQtu+v2hxfp5WUnz
1wegazK6bytdVmJ5cMQNV92ThgM0qKObWiQvY91/kaPgVQXgl865PUMLVVcWEPrNQrWUJi0xPvFh
f44e1fKcUf+uGDfKjfNY1tOCwQkW+/ERpYt6TnLIZ3hGLBjALGYsgFmdLEjhIEaecpqgqF2sj818
2mfkngjPw5BRENibiZJYzN0AGg/t247tCrME9p9b5hoJoavEVIEyuY3PE5ptoqAOUmJxEAhvh67e
rL5++jUOCLfm7Ir0hk2XhR/v63V/IEUNG8PLuaB1LbmtVXTs64wAr1tILYzCyjPaHczU+EpCKEAB
/CTBm6mrdvUGwMVa8n+U5bmbPrvFAcHHGtR2vTbTdW+sH+CDAPOGOZeanQHIior9gs2hfjoP87Nh
byn1FmzwT5cc6AHRiT4386G6MPu53qMNcH8Bfpi6Jf0lOSBnO1t1yJYcvRaWejrwMN6YOsYN4kDa
E91JCpyqpLwB8YD0Ul//Otf9n4W3oCES7musEJr6T0dYcdL7/Qg7UP7y9f86wqpgWKCSCYkSbJjf
HN8wQjEQKtZQM4R5URR6/zrCQmhRLGyTWA2ReAhg2Z8c3xYCAHweuDJAwqj/K1OG9vdOGK9cB7Qm
wGjirVNs/kkvoQ7VS19ce1LoneEmRU53woaXMQnBKzCMWNHwIjI5BSXsKAtMYcQfDgi2tRIKsU+Z
Eh3sBNxpFFLMu8FHaF3Uxlr4pxLhPyi99H96lcKT+adXeX22t/u1f3M88+T3SDqx5PtvWKBwSSDg
knUGJ3tHjhXt7NxLOfRyiqW/9ZXGYp4qQntQdux0O90bJfc8k0w9YdcC/UvHq8QjYEX1j+w8v4iP
Riuo0oGMZOQtxb5d0gxtt6h4u9k/vCkhePpdEPX7R/+XJmTVvdSHeu+E3aF2slU7tK3pIekhXCVF
rNHBcVpiv8R4WUbHw2gR4iJTVjS/PnZnelbDTU62M/KEhwu5goWIGeWWPp53iZDj+LSAy+SyyAIR
6PX131+8+vcmxO8v/i9mnmFVW+n5yotH982PpAEnYsWfDinGSvT4sfzJZ+Gge7ezNZJd57//9F/C
vv/20f3Fr/OwAP3QAxn4mPISlW5GBkEV184tZO7kvWhWER5ZY39j0qxPqtNTjg/jGp6pxdicALg9
MD6a52NaRSLCE/VriRmUqihGrshXT4SAmv60yMMqvf/+4pW/S3l+++iEA+zPN/PDfCplboFLQg8d
iqrhnUxXM8J9SMGTuHI/zT+0jAb/9BP/8pCbMgTLdMhPjCkdPUY/nxZdU4PxJdCzaZUMXGy/zhm5
6KickSq6QMOD7zRfIBMIH8zoyhFz8ywgw3SMwsAzw0dCo/i5J37iHz4djTXxPz0X/16MBV3jz59P
fTCfRl83A18tL8drlRPeQcrs93379tmCN8oJsC0FpIzIlPAHBA7wUyg19KUMclH7QsEN6vs6wVtD
9CsapP1jmk2b744UatCidxT8dH3pnz4/e++KcHhF77dAGrPhvDChh3QYIa0u3ErIeLz5EOQpM5sj
ut0MIxGNLp8DvRx0UwMz9l53bje7x75jrqSb92JIaI5oDkurdkSX07+N8zHieBw4IhR5jNHVkZZU
FJTFgOcAwwQt2QPU3/vnlhb7VzpteOyP7cVG6pDvcKK+yV3K19YKDa4Bnb06Zr4GMihSI+L2Xl66
AWUgAiGMeT/TRg001n5av5gmevlMNkCfPyfnxQ2X8ihf3cL2B0Exc45Mda6fxSbleJY5rJkU4yFV
G4i3KTkJ0WN80TbmDv1APR5i7g11ZEV8M75VUdEVeIWPWRpbMcDnas0oY9UdsSuRtTZqOc7VAYzJ
GS1jaa0LFaEZiSCN3v2U/P2WcTqRKvSVBzNiDwIEOAsBys+JQD5/FInkWnT9mAuaSb9Qpyprmwin
F6TeMn4cKTPgDtPkprNJu5BOuOhfR/T+EEaJXvXwi2x0PGsMv1oakyjHGJgOSAxlxi3b0oI8JMTe
g5GUoPnINgSVLd41yi00pCz8eSBRIajxkJQl5mLysTg+g9zvGd4OiP7FuR0STBODs249GXl/FSK5
4QJxatyTwAXf2mmXyB4FCg+2HwVN5ZC/wSZDo3qdsp4QA8NHEt6+6+TuaJuz8xUfQAtGX4g0WJkk
/HVjAz3cDSH7XZgIyfMUmieUJimlCoP/UUY//8qOoIy5pmEbQex5A8Pumfg8pudogPSboPmbo7/I
fGFVKz6ZG7vUFX4REU2UAurc6DspwG9SUOsR8MpOSnDjpMMXR90Ml+seHIbj+qj43U///iiIKvYo
j0QxUe0URihznDrLZvxcVURuDGiVzwzFySYlscKPBBLaBJFh8lgfjq+5ubmUtvRjMNFWnfIeq7Sj
GRAxDiL5lfj6xrm/fYSGTx+cgYpkpJ1qNJToAJHglMfKtl0bnDFYv1/x/Zth0Q2xZut1nyKQZkd/
Aeg0YyZQbSIxvMdMNSJOp8ZxdB7dLAwS4MsowO7Re3LZP+AwrG5g8zMkqKxyBdoZDJUQ5/qgnbTo
7V/MvamK0JGt0VAPRGroK3rjxshHjTpCU/yYVNMUMjIkUR7tiURyOQrAU4+7jRjRz3NQOmSxJ69v
bEy4tHFRI6Dv5dmAGlQfPXakqi3QWOtEvHxX5Coi1v/FciIsm1gY4kMMEs6SdClHr1m71uIW+aU+
1Qmfufo1MqZAg9ZClhx9NTL6MITDk/w+A+ICbUlFL6In1M/LvgVvzed2jm9fiDfAZ0tri+Gbhhuj
OIKWE7dQHyLGO6Mo0nyU6QcG8NjNuVeZc3vmVxMwloX/xcfQcj8sHuvSjjQbewsfbFCiATl/iQjz
M5Gw2RSfzRAhVQ1lASmV4l+2yM3tzv21h5CQ5DSo8fkDVMdYMeqNiHw1kxRtB9M377RnDsvtz7yM
yHFhxxBaDj1uPjFQ+QyEhRUlDcgM50TBukpX/9R5j1OFmsfOsjFB9Iq34VWH/T7Hw8OyRt4KrkwX
SdNS4+5WEERTbV+CN2HGYsjmF99irSGAdqdEzCAWgi3HrsLc5OlfSDxEcIJUVe9HA9RKz7W5BQ7T
xzW7yAwFy319IwaFdRz4nquGxnKwFLx0JUBpWunoxiwWmRIBOjoo+zFFmYT+SQ6HXwPECaP3rzwn
tE+HwBjlC/LFXEA5T2avIq2QjS3He4pKQQRiFt57yQiNFFakHmy+hQMSg4gdpHDbe2yKDPVstDax
3+TuXE0wjsyV0ML0/8P0KiLCLOSMsxBprkbwcqUPM4G6D8meViDruPDjiIBfMACorhBUIR22Vy2m
YW1njY4K53+erjrYwptAJ8dASGydTUQX2kVks6SnnNCSI0Gbehy7r/Oissd5g41HRKx2YTfGEmu0
DqE3CnrJArkd92AyCIFuXLYcOfBIrlA9QXRkGMzwfYuik0GvL5MmDUmYbgAtLiFGSVdXelVMBIPr
w5MWrPd+RSYeZBQTmhlT5+FKp/m0748AFE2XNR2i3hmxTshy4Q48WKbegbtnaGHOE0a8V/JmOSSB
6XDKyMzoN38EDBdkEKF5ClDuMv624Q9xPucde290iAakEqJ3jKDmUtB6Dw/zNrr4FR5GaqAvMBcf
Z4Rfno48kQhcsFIb4WnGecKMsZtoGxVdqk3XxRvE8pi8qM9y02JHnGNGXcHAIqfvQyFlhwZRrIYd
6vLBSYn8M125RxxakxZQIpm3cY/fmUKHBjxYyh2qbtLkYSyyY8zJjBnddxDu2UhFbueQDx0aLxpY
4ZPSkWUhUqGB/dpZnCBKnivEbg4T4u014f/rnmBDG8fWRv8VS6NPAUswF6xKMHv5ukThujQWpA65
ZLQ7VzaaRohhiS1aSdOhf/gxPi2P7JqJQFOGF1heBIvCc9YkHm4LM+V7iv/2Rm/EdF/HfJnO70i6
jfFgeT9Bsxuzt+4OHg7fntip6/hAaByT/bG5LlHR4JIzqNdWAEKPqMq7ISPDF/mS7YhG9WNK15M5
Ac8ejXlwIOgEtpfde3LonPviYGI4VHHECes5rRgcqoafz/qdHJW7N7+QEQ/PUW7oCskj5iv89sIO
SJx0zpqNg59/N2fpEYWKGeL3qGIlpOeCVuQ6+qo7lCxG5kn0cvcHliViNmGR0RaqPVMZyXNLwTr9
5tcM32KPAJZqb+So2tCTd5rrqHdEmj2eyNAaG5NuBvmeICpz/CD/B0dO8ILWyP75yQGhZQ7OQoCq
C/lc8izJ4qziS9Khcl7yY5F1ZN7igpLBoOD1SyKz+ULiMimLWesN0DsocRKmAUzGEQGRs35OzmOh
jO1dGf7jzb4fsdBMOyiVj3XD04q141v7ZjNEg0z/Pl2SDERWee2W5a+8XfCPrEL6rOk5KHP6fW/N
GY9OVOzxTOKYt4KBX22sEzZvGKy7t33eMkI1FtIM242bo2IiHLnxGoovMIQjlOpROrmM9ZWx0Pf5
Gr8c9rQUu8iQJ5dYm7iNy+/CySf81u374i5Tjwwx37xwEKOoGiPpmrVEgEg1X4l6B2SAMrv5Szg5
HiyVX6nYMBFtEWYqqmzlxANuPy88sowcxq+dUH1L3rz2lqR9bwS4JPoRQfXzJcuE/eBhvpB7ZHBh
jlekf4gQmjh17mye3sFVwmecE1DHBkSUtza9CVmIFNChpD7F/Krv0E7bN7LJdJuLMh6ET+ybGnUn
KVccJrs9YNsR53q8hqhTJTrLLKGIjViGWGZrRx8tI7aJu8eGSNQjdue2GmloGDUW7cOayVhysA2f
hik5nxopyaknYWDFe+CBxaljZlI3GFO4UTMkWZeo+xAJUaAjfVRxaBE5qoOsndADR8cBuLYenQCU
AlKHecE2wl3iMZjfDdDegoX91VyBRzQjHsvFLULgFKzAmEwU9uZyHBcOrQxcpdLH22sRVUMahXlE
LhM3m0VGtOV/3p2HzedCYaHldozu4hNbgv8MaMs6BJB2BHJakTrG++yobHPfz0D/mn+SAP344AeO
PiGi29bs4QMK3t6+Warcnqnh7hGSLQrgYHPGVh7gtNbDGgP3BInkgUKOkxcUD2wNo/qbqh/s9oFt
wXJeplvEpsOt5Zvh0BYuApOEynKNdRJGz5Yg1/CHypPPjjkePjt44xz90ynu9qe3tFAoto4S9jM5
88R3VU6Gb+6ePO36lNU6H5dPJyMhG8U2XYZINEy4y3gM9NV86QIoHH2qPGgoo9BpiqRw+nBcuDcj
CtbZh9csAORDPIiuBtAdbHE2wwyUo2+baDkOscOItKvw+iFkxZl39k12Yywa1R6iccOaC7svKZfg
E4tF1dv3RU9KYIMW6hrIdop/HvRDLGwTrKUuY9AdydgLpGuzfgxrYXnkUEgtW3ZRgzA9VOPCA2MU
tfg+SxsGUySXAVZjDJCYXCga8g12fxawoVf3LELv5ZlcSiN5eeDL4agcn4qtS8FjPYiHcTND47Oy
WPCUn8JZqzE0AWsFA8BTEprbzpZz8+LGvIbvxN3DfEyQN349aqmzaaMBEWDZbLCpjFGFEoZoWvpB
g0RNzJW2hxTV08/BAkjxJELJ7sFwTZqPxtiVA4htckm+78vuW5kiqWH1/8MVBT3AvwYpKho68cwU
J9ZOdjXcNYf5Y0wxnM/oQj6jeoXkVxy9h5s+BG5Dtax7THWfE0p1keiDVufzEmLKWG3EKoNah4+X
bF4IICiy4Qzj1BXxRTcoKiXLixTKwSPKg9uiWJUb/DEOoiZMvSIf2GmwEKmewVjqRAE2VUyeMdwk
LrsQGcU41aHmVDPz87y/rkqqIpekzIgEM+5ug5+ReiB/X98Pdq6pit6QyUoAkIFP6AtpKQsXMtTz
VI6z6OqJlR2ubsk5zFEj/cQgvmHTaziLNkQmZqSc3+xB46nMaCdP5KtreTvYQqAd3/DDerJv+PK8
X97jP5LNaW8Ocb3kdq44qojT9W/Jz2XeMa5MSBWgpXxzKY1QMbjnH9omSM0ka4S18bkxp50HgW12
n7CP6DTsdtI0m1kW2qILH8nbbX4QpMlDrF0DRO+z84SM1nQz4BVks/ZTGCVPwznjmzMWU+F44/D7
9PsAVT+GIw1H5KTEQsFMWKX+iIZMgOaHhM2bJRUniHcmzBpbggVSmhTTgS/b95ySug5Ous9tj6Do
cIJQEF0KF0MpObpdrG2b5MA1cbKpsgBR4ZuAhaUpS4S05Ex8C4mQohi1aaFYWFKO6pcYjBXRk9E0
+Vx45rqI0TofuYORLUKOTlODPwjGDELr6BViEWdIf3dl/0AzBUTlLR6G+vY15XalrtM+aWy9aUQM
97fp+1sHsBAX0TVgppavZDqAOd2wdiG7z0ioD2USQ3qoYiWbk/MIJcZspklbBXjGlhXH9HLEDUwK
0LhPGLbP9TEeqWJSnG1pSuOV+4Zm1PGO8poNG1iH+1pXS1IYQtqaxggX8+myqUTWE3m/iovnBUE6
Jhzu0NukWt2dMjFbajZswIEV5RifFQw6THDtVHRYRg0DzywqqAGRzbACKBxsME0Ehstc/bZGnwqY
TrHzBAM9s1k+D9HaGn4gOXFpWdKDyWKsHGi3WfvZGUPEMsuKuUXq1N8UuLagctM790VTB2AKofDz
2/fV6YgR2umbYvYgQzNn6wsfWiQgGzVkoAsDROKMARVk7egc4Ie6EvVl6ydpqRGVYLgXv0WJL9nS
7LrERMqhAQ4INwsAU2omxsfyptqJ05eo9yzHxFqIfHA0mDKgUKcy/s0xGcC3oJ8bS0667IZIFJG+
M/WOnNvF72ecVx+wVnQ+mDFdxVmiUzQfErTN+pSyOSUgTY2kwESJY7KqleFgc5mlDNCBb71HxTVQ
PF52MynReRKPvjgD51WCK+rUd0ICDMeKy+xscaGNub4rLCg7DbSVJrlHj30dXrkxkAhiCgT0z2T/
nBXYnNpNYZncQNaqyZD8qaqm2RVO2hZCVqb+1Fe4DXjjNMq6ez6pNGyM1c+r7732xmU+fDQoDi4S
ekaqq8OTvtg2l+fvjKhuk+pCtrU7eo4DgSMPMzQJBCEE/Y2PU8zOTXzzFw0JzJn3c/WrwXCaaeBC
8EQzQrVoVJoEOl5g+ZQjU9mcKMOp4snfCi6Sat9Gpy2hXkkHBhC8r3PuQukeCusTfThfdzUfsgAn
oGxz3500/GXVB1KvuJmwK3jm6f1zCfVl+3YPH9BgdtYpm4ntm1lszIQqvMbh8ZcXLG7JdeH4BRGz
SDT/gtr67UAioSl1nzeJyi7C7HvweQZHn38heOHVZePz+VQOwqEJknBhWUflskYGU0leCXNHL1ZS
va1NvJWIn9GRPOKSgXmLAeOOTApN8v9wd17LjSPZun6V/QLogDe3dKD3FCXdIGThCO/x9PuDJuq0
Sl1HitlzNxHVZVqikgATmSvX7zqyanEu1MHN4J+RHhtynN9Zq1qcta8qWWtHLd057+E8nR3LNeHd
pFxNLNRZV1wynL3EgUeZo8HyzENko+dTMttsl/CDg62izOtnp4ZNfW6Eo96MeYWYP6LdJcZuQSMK
9jKBw8EqfGv7I00/Xo6ulJi0lKeWROCxOeha6me82kkKmPtvM3NvbTsWEcpb+tnGfXz2Xounbhoe
aWwP2Zdrd+6TrYr8cO6vmm36gFMICgXQoG47E6whpeQO6lcypd64xC/CqmifmwO+i5hUY6Dewbe5
3ccvQOsk9g2u7bA44ZQlc3mjaHN8nbJJCOCJOMYWCsLBxArv+fkQ72RuJH+icJImnhr5VY9SKI3v
jAtkEqo5hMqDEn6jyQkBMMiNSVTUsBCjB5JP9lU+t4aA4i4aSKT71NkbFG4qWriTdsBkHso6IrDH
hskZAyW0j31k591IP9F0Tt9V3Dd21iZcp++ttAzuqvtIXnMmPgnmNhgY/Y3FEbldmvSCAUjDJS91
rE1STH1jLgqzIp+r6cba+AC58F2EWYtajteI9Dm6rSzMCDie8A+NEoJjy526K1lF1kqGpVfCW6pe
/B5unCDSa20IuZCOQSEsE5xJHMjjWn4tHWdrYgIrvfcaCRTRIWqzlVJDtaloytL/E+B5NJNTuGM9
3g0MMfqFQbL03U2ueU9d2GzdB7Lq02O4v23DenSteSRZWWmfxCO46e0gmO0RLRkbnVL5NpVo8dON
Edkhy3k0DtEeC1NMm1bq6KGfFnshIxhBnpDkh/yqmyUInmwjmooR+4Ho2RoaFBersH7RFzNtaWBO
hF0MYyFt5kQ8Dm7zai3Q+4AsvMSt1AJ3zZm+E3Yahc+kJN8S7jc1q+YuC04yzTw+lDjQhQ9m6yLv
Wyo8Z9DS9We52rvlqFKfanepCJxtIHFY7qnVrzWMdl+qJxnJmw4JnAWY70i6FORyZu5F6+1AWQlZ
sItyumSDf7kkXIOVS6qnSzqvruUIJCv6UmZjGyHsrnLVQiBKczCB9EnSxWmZwKHL5Znn9ZxczMMH
pPlfSvUgFUeFeAF3wiB4CvTxW7ayCiz/O9XjH6//RfWQ/pINafDiJ50O5sbA5/ibrazgymmpf8jp
0f+yTE1TLUvWP2z/4Tb8be5vwRzRzYGaIYuS9G/RlXVt8Ij4HTU3RajShOAOxBFjYLl8BlbFQm6N
yB2e3XsDQzLKamef3OVswU9UurRy7rS1PyTHsP7alMRT5V2zB5mnQ7q1RKGKXSN9vvq1Pqv9mL06
eJAhYKRr3B319xyYeE8SHn5M2RipzbRD7mG3V2GKXP9s0TvGF2caaigzw8cOM2es2u2c9qRdUebT
0qfd9XHmktbw5hrqC2nAbQZlyXjPANSIml29fMiwYfLutfkz/s6z/NxOrIgn5h6OP4m0RAx42lxa
JZg7ebMmHLDFVyd/wYFQgz/trmo0AsglPkTa4djLh2AbgmpUTiuxN3ZhMFJNDsGYrXHbSp02KzLE
CetnugAoq6nzROVegeyqI3E0+7MPaoORATssDeg3Ux1JZ9UBpMNnWvfHFpna0cVMmmVvzeN9sC8p
vsTbwuAuN9UL1ow+ZUZEi0VawybLxmr6SlkGZjtvbOFZW/nZU3RQ0xmU7GlIPEdY3mXNsWLDdP1D
lkwxXXyTzRXMnbKcG8Wh8g5qq13QCItAEubJiGwQPGd32zaW7fdXcRZs2X3kF9NBhCePwqjmyDLo
U110UpT3LvtnszGBHOkVmlMLSs9KeDbmToMLXkol+1Z02JPvtYpDdjWRpGcKjBs6Ny48khccnvAz
WPmPIUIRD7b6HDVtcBXAAFEsQzz3dyo+D3gbzqxw3pS8f2kScjB3JF7MWqu9EcYmeG+1DGtxoiE3
VT0on/YQXpoUdJuiFVbbPel38b1BE4O4gfiQxZsGRLaZ+Qo39GC85U7GKYu3YOAWhk1ieF90/T4B
IAd9KQwb/U/d0s0iVk/ZZxjd1Ctc0XSWV9ciambR6QtYsnwXoW8NXNe2eFPU5U1cui/VbddUq9Rf
VkTYRyEtrQbDZRlIwlQm7bZUNrVdbkQCqi5dMIPWrlIpgWHQo3N3qa1eIRBMMvbff7X8Zlq4xdwA
f1He3JgcxDXVDj7Z6ZpifpbRMxwvsW3F62RowB2aubaACjB4eQwHcegE68Cmv7fwlhz+RRRq4c6c
y+jCrUcOnltkojA8MWDHLZTXrfzJhS0TJ4iUV1n+nYKhaj/bNYDm7oGNh66FY8MPuddmPa2oczMQ
G+e3e/q1kCv2MOM31WglD2hctE2edIgzFU1ZECirowUBkZAemovKk6CiYmcknJLAw/shec/Drm6F
wIb+D/F076Zd7hFMciTJlUEFUNElWtIMmYZU/ntxDLo6dVgynuFZmByznJLx6XJBm2lnAVHvPdXL
DJcbon1SjDH3AYghrgVTcjmVEyDpVGdBwWt7bjL54DnQdM0ng7yiX6OQxD0Cs6lp8KAuC7b0cXb1
bAM71BbQA0d/iZ9NG5VVgGaQDRCwFt8rvIHliLPWkKvTLOWtt+GUyJFV2fen+uUG4HUqZ0PbkvOv
idJ+ii8miZX0WzJ1LiwceomcCU9wM/qZtpM3GfnsZUKsBOUBNdMxg6fB7QzWZJycUZb5nFOuwPuI
juz0rL8TUlTYw4oocG5usfoigwnHfDQaU6gb+Vp4ye7oeWilLRkL1Gq7YllDQF/E98pO1O5TDs0v
Ji4ZwkQ+cmh0J91VvJroL+PR5SIsPWYo0ijhou/KOzlnfrpjiL3xgU+UA/h/c82gSqqqiJaOZEg0
ZDb2b2sGDYLV7zXDP17/q2aAHorCScS8TpQVVEuUI79qBvkvSVHgjco4eRvYPsHq+kwPNYgEwu5b
JuvW4g19qhkQYSkWLlGyrujGvxV1q3/4Sv1eM/z21j8kUJ+Yl1nvK14RhqrtAgG2kvQiODHHpBzQ
Bl6HL0NKgcTRjnJsF+gsGwb9MI8gK1ht7CIxDcIKhxTMJ19IYknGZmtL+hKiILuM6o0ftSEjLtZs
XZrJAJYPZgIeMsHNrn5ONro0eEU4r2Ryv0Z0Z6/yAwj9QIXJMePCoyQey3u3GlcKigVzT8QPSnp/
p4M3cJpV6lcfgr2hbirn6FEdB/GCuPPCXRr051Jg8YUOeoW4FPEHoKEzk2zrUNyTUU6x0eECjeAH
3fSwqmNPck0V4m+Xvb6gEgClO6HlRQd1TI6CjCFguxec0bOmP9RL+Zwhlt4FNMpnjZ3vyMXeSM0+
0Am/5r/QW1DcXNg1Qc8RORn7+FRttBXNyENSTzr9hBB3orAMbawXTSkmjvYYvFXWA7p8zc5wLvVH
yE2o3lI0/isdGlEy4/jBJvLm0Sd8BizyjyasHhTZrHMsDKwp7U45q0jRtLHXjLJ8HM5pTpPXSGyH
RICHag3GIEY82N60M28MLsgBu2sn3ZMkzmhPW9q7nr2Vxmupv0XYR1lDToFYP0fFXfo62JhgzksK
CMzhSb9Qp2IB1HDKb0efSIlFPXGP+hIJ9pno4aA6EA5SZPVggIvGfcbmgr5JKyYQqEfdFB/wuLYF
/RhCPaDfgkOTetc0R5Ns4So5Oda9le1M7YH9VEXCO40wcAHSvpCqbtOHafEmGGt3nIpLLHIvUdGT
zejA6/GmbfCIZdqO4J+OhjaRTS/mhYhmBpAm7VqPbReDEXSjYDELZ8P1tftg3UGGi7W3tLpnVxDw
xVvjS41NVxkREQSZDJlHpqBLcmZaPEmjEXMOY5xTSW9Q3pLcRZjRBXdn2HCEOq0JFTHskoBAktod
Z9H5z3VP3LszF0lq4NXIpMLqcFsRasQPQfiCR8KsPRo066xjdjvGq4Y+OXuxQlahQuICgfcIUTjc
QZcY/qFoB34VFFS3uEWbK+aYSVp4fmIDPRcJfSUUg+dLJZ4DBQypJ9ymgQVTEvFytfAGdIVFQzUA
bISUFxKLPk2HRPb0VNcvPjBQMO69c/f6MVUK4IypfG5wH0um7fElIw0FLkGz1ij3lQ35KEQRl/RN
HPonMTp4sIBlRubHRtZA/NM54iINJAtbHIhBCMWsJ+HO8bDtI/gWHTE6k33ZPt9W1pN8fsElKVvs
HQBrfT6WNtB0oW4H3di6U9fdAkBkUvG7OhOW1lKcpNtw303M+5Lyo75ja5NxuW2xe94a+7H3Vs3x
1jCP1bMzRa2NsTWoN52oeuaxSBm8gUnTH4O3PhgesHccQ6zFzaaM6/NHDRYfzA6cm6yzVc+rZ1mZ
a8EW/LklUsrm1TfbNQ8CuJsyF4sVESNs4VdqApy5aPzsteUB2dIser3RRt+jwItejHJmrpbxssSn
92bn6Pjo0rl06+RimrvXGIY9dXSNQWnnrjQ4Qzc+xJAcwKsasdyAu9MFxDNKOXv1s4wkxNhn6sLz
X3w8e+d1PbFur743Th48AJ55dS438QF+Nm0+SiD6ksHitnEGAxlwIfopq3QTLC+YOQSIrLsFdprT
wZh0IKs4p+q+KabSQbH1l/hpoAzI63yZH/LH3JbJHVEfy3vTHnhbwSIHU85h5tFL5s3RdMQbGLOY
lbAe/GdCaj+flqs+F1e0UNqG/6MkdxlxNXRndWAEerXgvzc6ty4d3JxObspmQF/Xp7+r0+fN6fe2
g38f/V84+h3dYI2usDx0h8WxR6+YNI2VJhzy+qqgRLOgS2rRNkWs6zuPtV/eVZxjbwUlnkHQcoT3
pxGO/7srHZIEcUYhEMSgKf9TpQM5+2ul8+X1vyod6S8E1/ySNOWfQhi+QAWEjFzBk2VoufyqdOiO
6LouW6I8xG19yLz/rnSIRKQ4IumEDopC0fUltfi7FGOaXoNa+2up8/m9DyKUT6VOXMZ54nmVYntg
LuAopBhVKw28L2Y3azE1UKY6HJviYmRTFQYxrTwgcnpzLDa7s2LRTZzfdLsJbTiDRE0kc7HBL5Rp
O4/cRQzEmiwycy2Iz2byRH4uhTwSlB6OmyIOybmQmAQAPyyYunXfSVi2Efs9JWN4pEN7xVBNE9yp
iTuFiL0+30ysL5hrc8ga40ooHW10330frESAIgbSAGaJxOoSpZtm04AuCL8TFYa1Pc8U/M+S2kxb
mCZkeQPsQ56KU3feTlSYTxDKQ1SbwMK4WCcbgpBa4teHHqu/Vyi2jjquNNC/IcnDUFY20qMAsUuu
R8ojSuLYp3IibR2WYTTG0Mtuo9XgCyK1UywZ3UerP5rNORTvE/UkVdtKXmnqokCbmEDAwrkBH8Dh
L7DKBJizQFQ2ru8SiByRY+RBWKAdnPNnfvCm9K9tS61Gv0FKADNhWrCpoDMu9Eu3c5EG3Ok0Acz0
GSsL6JtJbxurpn6E5RzQzwI06w4yWIR2m8KExvZYCqY+Zty9NdbkE0DyzMRBb9Js673sz8tXpARn
7R7TFxjdR+P+tkfzOavh9UGQmhO+QWNZuQjFCkWmQi18NVbkm0VLWmKP4CEe02ZfwL2Za8joVwJs
l3riwbqE8LgKl9bgvyL3VD+Y+7Tz5CC26H8fhWafk/ei2Lk/uenvJhTmfG842HkFe+fQIj1wrmIB
BRmaCkZBlR0XU7hmHvRkOL0JB2PIUohJb8A1EwkrPK1sZzTd4dAvmQfc6PBAl36ZnpBmcmxl0l2y
TUglJ+EdB2xzlebRAfedR1AzXZ1CrgbqOJTvuJl5T6LgrgZ/R2VVvPsm7mNPFukMEjg7pp/Aunig
7rzCHEcb99F8MB+0y7BD+4RTyAsXe0d8Pnl1PIG4x4AzGE9YrQk2xgd38dlcMncwUlPmwJgmtq1Q
tO3kUKYj0x/nkGWJokKTUAN6epVt7DBkuS02wqjctfO9dQEggV47KVf1ledn38ycCgacisQXCMXj
9BydvZUL22kjQty6L5yFArFEsbXHlKLCWXcvkYUAHc06DjktFON69CY8ZusElqeCWxIFK8kFY4n2
BNloeLbqGDFt9m9HrGnhDlLvUmq7qw5grR/MFhJ8zajyaaZe8ufkLQRMfKuX2CRRAEDJXTT3FEwQ
rt7C8VW87/OZ4C8y7wg1O5Ds2/tgjUd2GUJeuSLFk1Vg1ASjrTWWjupCO8JhTwnzKiYEzqF3F3jy
ggpkVJE8lKdodthWc0qrnqLnpXKW1m3S3gqi7VSkzu6pMRDH1DQ7UPZHIecdmRBRjeq48CdWqczI
adnW01tuHW5inVBcwk+OJgJW+SKSChEQ2BK6F5VFUWUDjaOF9rGfsrHGxXsYYVRRBVuDhiNhdW0i
bNW4f5fa216Tb7tKxAxcI0R1XFbPUx1eYIex+pJVse6nZY+FHpmK2awIN+49Xj0phVgzzU6eMkOb
RyOQph11Yjg5mcmQ/WMFo4zGybN5MZGsx+OKCB5/zaUJM20Pm51sa0iM2O2LOELSdj4cIuURL4pg
AR3Kx/HJjSBppkhc8j0u/1OTuqmZyIfgHO/1O5Zj5EjZXbqWdgj1nl+DS4Hf3iXAy6ifpk/c5vL9
dpetYRwrg1c2MbhT98FYRmdrifieC8BTiOK0nBLv4i+YlNiKYTWAYaS1dGimUZPuBuZ4PndgbU8D
2qtQf+agxeThIDHHbHtBH36JCcVhsJZC4wva+0SPmB67MCUDE+o5L3X2nMvNvbwvuFzOFu0xCObO
KYYD3MFhgI3/pN0JeDJfpYtD0wc6HjEHDJWMG3WenRx4yrPuOdm5hBtpi/ohoeC+0F7EJZNWn/Wm
8BSDvnojiENmu26uECvgSmSzZjHQ9Xir+rh88w40J9EpEH9Cj1a5kHfF806peQ6rqWKN00NyghKN
AZxOSYgFyoKeGncrPoKuDsRqWoQLGnsDs6MdhTRuZw0ypTorJtpLFXH6HXUc3eizHaAJpayf/uB+
3KPPIlgXJiXuI9MO45FRRJfc7GP01GOnXGbnRtwHzdMtRre6DREAaTMLTtC781I/BfOssfX7amGu
oEppwrGFTxIQRTyv2pdm/j6wpZ67U/nYIQ9SYZIIWF2Nc8xnTzip5I/e8raxXilOJWzDaGqSk8K+
jXfpbOj1IhqDJHsU1reBPXXRj8G4i0Y3n0TCRXINNjwQTGU9nabGmmNDmE6KcqUi9YR5yiKM/QCu
RCx8UHVAHLE/adk5jrhHAtkQ3iBvbovbmglOLtkjmlw3ncDiheLWwaINTpm2lFQe6kne2ircGpwY
81n7ElsjIVuIqIMOyco7tG/Maap5Nk6IkzAVSC8Yk2wqHvhHBRHnDUEIpBN1VGEp+FZdnTdcktfW
C3wTmdVgJuDPTUnNj+cNFzjNQ+M0iESMx68DXecQHMKdtZhnc6qLmYM8B0u0M3tGgB3Zc2fPYeGj
z9/0s+huAxtpUq3IKBnIRxNmkzUhuQBjzcUFscr4Sb1XoQheFOQorh3SS0KC4C7lB3hcp0bFYBuH
uqnbTLDNWAivPpTD12KpPub3JLTRzl1QJLinDn9eRLaPt4N5bU6Y5e4DipsPQzzS4sfaohkFB59g
R0jLfFobtDEQvQWieQYWOH1r4KudZ9hROzVx4JB2eXhRIBjWePltPDxb8DvBaO49Xmjodp9c6EkD
GtSu42oZyBMcsnbQxLERtDibQK8DPuPNdXNMJKadre2pTzBVeLYmEp4yF5NoOWEWvt8NS5W8HICA
HPKxP3FfUr6vmqMhbPlGmszOlOlZ4mA+1S7N2VgmEw+qeLvB0JXPdVJQa1H9SZBn/Wovwf2qFwYH
fJgQnUGDCDKidSZhemzhGlHh7yNvVmZLd5mI6juQCIqOd7LflsU0eYetRzDcK5SjEauoiA0pRq/L
5pADKj7w6DEJNSIpEa0g8JqzLsVjcY5Qxae3s2jWwBztUwXbY6lEcLfmyQLyhYkDdz7RSdukQ7dt
JsKyOUXIYlKog0LN44Sd5jEa5o18oLDpyIh7HwJ2TXu1EgEYQpi3QAzyAcQzFmaGcNCNMT3/kkA2
CPogK1DrD7Lt5jOenDWbhklWy4MPURDYnyVYZNLT/YRfRWyfdgoWHG3PKLV3+jRZ0WmxJvGFXMJ4
Qy+flv1rwxEXnGRwc72zFgSJ2g3IQ37fvqyKqbdulvN2D2q/NbdAAzBY3V2zCnPbe+xgzt82Mkg9
hBTlFL3DXlzewjXiJeHl5gzcxgZmowMwN+70Eep8CdkwoqnBQRsQlnUwUs7IQmrM9/uFTg1PegYc
K/GuPad7h1TfK6FAFLUClflg3udvpfu8Gj5DQ6fm0mbpQJSGdwgbbM8PrzC3iUYqyamIqugNIG7C
h14BEznIOLoNa8VSW1Gxdhf2pwJSa4yUncCVYECGK4CqgSiqPcThlvUxpVmazHwMYhddP+nEUerc
CcFd9ywsqvt66a/FXU9VhJwKg1xomVjKrW6QzZLlYLRJqYpOEHokkneyAkf79XpNJ+DhCfDpHSM3
ONrQwCfpOB3Tylg5o4eH/WjwKp8NORiD93o7etvzqi0dIgH9grBp7sWddglW9eF232C3pMDKPqmj
6wPeLSOfAssjhGXL7KsPrAinUjPnJK5KZwG2P9DcbXg0oRLd7r01DWYFFS2qwjevPXjaNpVXonWm
2Oi6tX/qnn1th0EgRqidM+EupCrlNi7VY0eZ4+KqzImSqjDCSXAtorHhSFPDnd/CqQtXVDlpwZ4g
F2xWWXQsGlc5tGEsgx6enymVj/Czjakv98NLMv0xC8+RBRkQ+9irBruoGBrFbFBsf1HqczTYlMJK
kfqxkz9S7/v6noMhkBKRHESzX6IF28CEyaLSWV9K4EgR0mTCXl18GbV822N0Vi+BQ8V+ZSmzak/i
el3etVK0uOln7DGhfhpU3FLFlHSvPESsaI2jTfUI6PkJ8MxRlwo9Y+Q2TrbqxZkM0odMprBRGtEw
FgH73kjKjayJvPGEf6nh/0vJKiqsDwmYR7I0QzFoSXwPPP2DrPKP1/9qxwA8qaau4tJjkacu/4Y7
0WixJFPVDBouw1d+NWNwJVFkPEygkfwKmP3VjBkMS+CqWCIpsqalav+WK4lmMsg/ejF/Xzixtb/3
YsLev4WtobDHC2v6dPels+Q4a260nXpIwuHvKfZZd1imKaXtuU8RSC/mjnqLo9uIhNOTdXItKthT
rYyl9CCkB50gOvqI2i7q53fU8z0YS4szbA5+jylpAmhkQT8mfGQEcRZzoPtSvJM3mMgl3cTyVjrd
/WqBUOuEhV1N9/GSz3L2MagEE0of74zpHHO1ql/C9JTQMlfonLuT4WX4g0PmcBb0bsbutTA+hIS4
2KXeXlhxAslpx4PJkqtZLOWIwidGRj3pc34LaeLnbDGyduCXibqY7xngmJqwsbkMANAcCjTMwN0d
riE41VHgMWx/or807WFDpCe32Aorsz9IOt35UQ/QgPtdBezgoKd36BkfCwAJx5/3J3nTnzgJ8eNS
/cIcGVv5tg02/JDB355XI12hHXMCueGxFuZwK6NF1YIU0KrvNgKBlgd1Wz7ImwKbbY+bxXeg0NXn
1lxY9afbfbEEkUeP1fBnOUOkNfD3FKSyNpgUONVggK4jYYKHuSLBet+s3n1UOoSyj4ML0ksKFvrW
9YWjAxKT20hMt+Vafr+dOQYINDdoe7Af4iCgj9AAkcmYCxtvX65VeDzFLAknXdhdac3BZ4RcBKmx
xXtvnJp0QZTnBiHjGyfCZCxSXqUztVmIzabxlkYxJsaC9Apc+wwgnWIMlZ7XQTY8FBd+Bi2rNBxn
6Yz2VfFmcKR3sIQyRm/ia0JbL57UOEgBvLEb7BPpBO5hOtTa6D/rFxeRjbzo9YecjZ9NCgYK0aLk
OtyadaUMAI2AYAMIgYw5eYCFQIjAfPgZwCQiLcW3IFoI/ZOvU6bOAU3kFvM0H4JmufF8wMpZjH4Q
r1d5S249TgaTbm+BeB40AIpJjqG0gGBUTpZ51ePZDPRTPIBIJWG3cWYf2Iw/diSK++J98OwrFelQ
MSWrABmhM8euTWU86QN3AnoyEE73NPW26tRYAuKEqoC9QpeZyHvdAcWy6IxM+LEWhukAuK23Ejjd
gU5Bv1Rs3zr2zr1PzKhXQhmhhj3a8QrA6/WWqHa/5Rwru2xJNB6J8nlo9oBhwGTd3pXZ7/D90DCB
Q9VX7EG0SF+ckMma8AAGCAG0NX+7rRTmaGxQcs+xr/N0EyKPLXvbUlDW1hOQV5pQJNFRJM6BeoLF
IGLuQ6jCeGf4aO7bqTRuJsjlXcILeIq2gD+ARIa0Siuw0mbshmdrAQxUBlQ30wxxM3/4ASZw5+BN
csFps57jDGATgBJHCcSP+cnj1M4JDxMWXaZxRrPIAisPeOd7HdOSPMbONlnX9cY84hOPxmLwo+ZI
oO0RGFD6aAsgrf3BekVngyJKJYOdsyCkFpSPxNEEk2Ql4VgNKEJNNqItIhRYvuFVabOQsJyw5vDA
xjh1xDMavsa6aad5NY+JuXTeApzrDxT/Y7g1rFr8ab3CLOHRFp171kd2bCXnOMKSczKJqsRWYFCA
jOVHYcWxCLOF6eDaKe+oBCia+Ha9vGOHp5hyr4D9mKZelQXHZY4InC0xQh1koZx1XeJWkTYZo8AO
cZQod7pKMBJqDj2eS8a0oCcjzHtpxjfx+/CLmIFiVdbTgHginrJtnsx4Jd+lVA+d898O7Zg6CfCq
rpKZyJb6fS3BN/wD2vn99b9qCYLnDZW+kqqRFS9aCsjK3yQWUVcw4pUAMagchi/9qib0vygX8PYV
dUNSzIGp8j+/qgn9L6iwKtnzGlARHF3t34J2/lRMGCosGRLc4dGaX+yP0jgN8Ao1FHsFpc6nci6g
olrTHiVH/KSw4TtT5V9F5v/fpftPjmWfx6Qw+wwmucGtCAvPVPDOHvJr6YueCagaS2yskKxMJJEC
SwDdiPWnj2n/L7jqN3twELp/VE6fBx5Qrk8olhRXZiwGXGzEhSLYJJ51jwcPNC4ShIv596P9yVjK
wKKZsk8zTfzzfh8sL80bnzZrSOKwmJnPFtt+Cwe2USP7PxvpCziXylJQty4j3SoXw+B0ktLhDOpD
TdT99yMNN+grDPj5mr6wpI0qrb2s1Aly0+6UAhsnKDiSDBbmvlXlQi9uPzheDTPhm/HkL3ZXVlQo
VVxzZUYECgBlNjPyHy5J/uFzGghsnyeF4BeVG+mM0Rab3tuHWjdl05JwUSI4DRhOg1AkYKFmABmV
JdQeyp9bOk7Kk5U2Y7r3nUmTIHkPQCwTMufSS4bmuntVxWsS/JThKA/P43d35MuscgOvr3VLUexS
QRyp0WpKDx1RYMJeqV7bJoMXuUoVrHwkDr/V3oweHbgazV3qnNAcmVBN8/QYh8fOm7lx8MPH9cP0
+LjVn56vMPMjYSAL2iVOyKFARxXuqneD0dPIjLszg5/c7qQ/3g9Dx6JR4bQmfj0MmXUTK04vAwGK
28xDZR3QTKTnH4fqmI9pMmQT9T0xZARRBsZzawk/+C/+cYp+egPD9Pp0zYqstD60SEqFEO13cuiS
cvr9QzecKv/5mX8a4svz7UepETQqQ8jyxtCAS496j6nGScMSlpCBvNonkG+LkQlMpSn4L1Da30hv
dLaq91IRFF6aMI/8F03GjLha9v62ACW5yf+XBe/T2xxmx6c70SlBdTNhMdh1gchBueaUb1mSEgln
/DDPPtbOfzwFn4b6sg7ledb5yo07cqMdGaMogrhVG3uwtpFcU1NF8+ymQImn1hK33VAzghTlwqIP
nR/eyk8fzuBG+vmqw8DrvLCWFJvU54VFThFiUb/GeVN+igbzGNrJ6NNRakULZySv3Xuo3rUdBbB/
bj8sZdKwVH1zW9Rh//v0CSi5knttNNwWsDARrNbdJtTGHr3MmoRqcJVKGbc1SLbo/LCpD9P8u6G/
7OlZoYdSDEXFrvHaVgz6WAm+TflUEe6+fxp+eBjULwug3Na9QJ9FsYvhPIjRWRtde/enW/nDU60O
l/vpTvqeKrioT3iqszc9fJaAp76/DPRJ39+wLw917AZGUcjDdWRvDSC40zzGOnYVRIA5+JNCnYEX
oJ51Hy6t0U0KBfOJ5N3Lsqk7+MUlwQ9P709X/OXpVYzM67OO92MRnyiGF5ld7YdL/mmIL0+t08Rm
JJZMTyk89tUhax9ampo6IazBo9scI5yDsDsqWuyUMMWvj2H501IqDUN8M03hRf32uZqGZ5ZWzBrl
ehtTwkQE4oasS6MSikCcdqNEOkKKjnhA0Sd2sDpLO9EvVrUX8o1CUhEMvSySJt/fmB+mNP3B396U
VXqZEprcenKZkxx/3Yoo2tP3Y/x5yYQnRhq8Sr/U/Hrzs07Iw4YZTeTEmLbQWB0/u0sHE8aMlBeM
gwAJvh/yz0vj30NaX6o3JW5vnn9jSGity0Edhxxjo8xzUvIwsaCBogyeelvMN+j8k3uW4uOk4jaO
JPSHt/LHmffpnXyp8XSxiPNcgSikpi7i1QcFj//vL/anEb5MrMr0+y5JGKHRybtWg0mFpvv7If64
Yny6iC/TpNC6IqyinrlbHm8GmbxQR/s8n5o6dBk5nH4/2k8XNHz90wqYio4Wmi0XJMeYZukrMZT+
w1v2ZSUP6zyrNJ9pL2DkUOIdQUzh99fwxwfr0x37sorXkadWic8d829XUdvX7cVNfxjij/vepyG+
LONO1ISG2DHH1WzlwZZW6OJkyj5Vsx/u1h9Xrk8DfVmfWx5dr1WHgSA6a4CNkoSOgCaVRTNVPXXS
4aZf/7Pb92XJuBlOHHXdcPvkQ3YjVnet/TTEn0uW/3dZyId/n2ZBwPk5L5hmHddys1ga1IVQ4Wpm
+HD+AWUB7zLCAItdjAri++v7OD7+Yzf4NPiXhzZsgiK1hgUqxxIbzR1ZbRDunr2ZuC/+pf6f4J44
8Wc9XUKMir8f/vvZaYpfnufAUozeH26v2/jgkOtYRsx6//0Yfz7dfrrEL4/xLU3bIo0ZBHxzlC76
NcYySzIhVmdS4AfK4OaICnRjLWtkIfi2PBfh2Hoo5toP91r6/kExxS9Pe5VJvRvlfNABlEQIuESK
Z5fQvr7EWEs2ixO8np8aTeqwwXz3+X55/q3KaFiOGdMXrnl6jRCzxE+1CGkJRBrp1ihj0llA9ZJ6
31FZtcSLevqr09R21c1kesKVgrs/lBv1lAWEuxN+gsrKRc0YgbiTayqSuEbanGXiFNHt5PCoOUgq
0e6A8evJSigfrO4kWq9W9iB25fb7D1f66fq+rAlSnIeKFXB9irPL0nZcFdSRFdxTgDPPOdY62hpn
3+aX78f94aP8eFuftoZM9VK3Iu/MzkRUOVI3umE64+gK4Uf+D6veD8/Ix/LxaSg37M2kMLlCAzee
CtdMPbzot3T6/QUND8E38+SjyfBpFNPNxVsSshMZ4UMmPIX5D8XXTz//y5MehWrohioPYQJGFvSP
phH9cJ/kn4YYvv7pEvzWyXXfYwjISMt4PUQ1RRiHc0Sa64Mnb0guAiHj0Isvpd2h7AEA0Kee/R/d
yK+9tK6STEn3+bhC6aHToMtBsv1+BGmY0998Vh8Nsk8XWmVWqMQpk89VCQLPyXqDVdFCuYnwNzDq
kRO7E99chTisNao20dFyeQjU07PozzVxpkiP4U/P4Q/Pg/zl43VUq1Yib9iapXQsW3cRPlZW91ii
vfn+4n/4kD8mwadrD92ibBSD25vDQ0octOKIgL4f4qfb+2WZNhRNC6thSSmVO6O5s/xLjnFwZNhp
t8u1YPL9aH+6IIQqmHjoyGpIHvx91goWEXt91LBAJ3bQvOqwXL8f4GPGfZ0un0Ywv5xBUDF1jha0
1OUYp8I8H6sXGtVIPAaeFDDwDHaPHayqBdwrbCWz+X84/pf6Rtaj7qYPV1hgy4QsEyY/Rjz/y915
LLeubVn2X6rPCHjTqA4BEPSeEqUOg3LwjnAEvj4HzsvKp6OrlKIqexWRN/K+6wACG9usNeeY2jFC
qIVKHlHTlgipgzBNTyEFoe6XD/Lbz+Xz75f+fsL1vbjdZY/r3wZzv43qPnJiuwdi8uqgni9nyhL9
+ww1628r/ndT9+crfxlJcSndmAm4skAug5+NGzx2pvrLEvhtPfzzVb4s8X4l3usw4P2SQWWtwLBM
7ktyAsYoxdxm+lrblrzDNrG4r/IBI/H28+v9ZfwaX3b/YRZeEmW4+pB4NypeJbLXf77Cb0/xyxIf
5XFdVRFX8JAX6AHQDbbBXnP7ZZz+dpkvH+JdqSJFzXhZcrEz0Kfl8s5PXn7+KdLwNH74Fr/WA0pF
T8Si4SIAOiCXiXY5Fh9JGzyqhFvDMrPJUXILfFSjOfzhQfqJAhds4aJ4/G1wfnvu+DRuzC/fZSzr
mRooPNecqIJ8BiwFjaZxUGxhUmMmeP/5p39b7ft8uS+f4chLhajzuFxl50fxWLj3sbYdgr9LyP/Z
20fOXD4GO/HbFviX92p+WZpoDPqtYQ7vVcVdTbCwNCdy6382Rs3hK/m0LJVqI42y4UvPvJ0Q1Vbu
rzy5/+Ui3y2yn5/g8Es/XSS462UoEGzkSpdtihOoAVdfrjJsSD+/qm8PhZ8v9GVGEQtidRSDC6EF
cYSHZ8PVLAIxXX9D0oUL2OxhPg/H2QHunPPzpX8dlF8+dl3N8yrWGSVUnm1wAOkTYtQUr42HvD49
p8V7o/tTL9r9ct3fRsmXr9/30wqgBteN1gQHvgRIAEYWYTTSBMnfElcFSPufL/nzxImY4e+32YtK
WjU1D9m4ffg0kL34l9/0y8KAR/bvK9xk1e/aO78JvZ0TratjeVWu/lNq4/uxSX+ZdbUlvaIy0+fg
l5EJgZv5Tzntf6t0+O1Xfvn6CrUoNF1phgLK5tITixIE9s/P8dsj4L9HKzKOv39mEAieOlKHITP9
k/U1aazHAZf+a0NkuNf/fvLGAv33hYy4MEcSewlXRzuBN+2M9WgK+Pglemad/ZPIsUnnb28r0V69
ETh/fHL2MLl3x33DLkt28iFGnMRK7s0EMZ7/9iB+XlyIAfz7/op2lGmKyP3dh2XlX3ssKx67CXpt
hGbOgzaQbn9RlPzygr+edxTcsPmI3b9b4rDIi7UmnX5+v+p3R/xP7/frcScL2jg0W35WbuNdSNbq
BNH/qcST41wg0Bc2XynmlRrcvUBS+0RC2k6yyxh4/ja0yQy6bYiQ4dwDcRg5g02gB2wIopjGBG2h
jMVJE00iMhN+vu9v2w0DSE8RNUnU/iVi/jRd17IRx73EkzHVfYiPL2xoMDRgL5Z9iccWop6EQK/V
r3cgB3mYT+JWJ38Bwtxv2w7CJr99Tf8lzzLE4e9/vpl+FPt9WrLx8DHvKf173bQr37ifS+liWqOL
Fz/7aRIKzsi/IO4US8NN9Zswb+X7xQkVFudbeH+NSnPWVYG6KFRfhfuiYgBRb+I1AiUR+z65MQq6
Za13RaWDy1KQOogYAKKu2meWicsMQTmGMP9UdMD7m/AkFBKUY2j4iR0FBgXGgPSJGlEh+VEyNg2O
A2Qs00/1k6c72cUAKCqWpH5WyvN+21ZWO4dWo5Eag9jyGVh8hnJTnmhAUwjyVcHoivs8ORPmFQlL
c5eIr4p/aolfi60cT0o/FjeF8KhVxViIJ4GOW+xR98+CiNrSvIzjyMckJU5yArfYOWvPJfpK/WoS
zWAcC8i+ujPqSHsLG4DV8aKXc6vpZ2H+lvczimRKtsyKiQ5NvsQLid88J9zMhLmrLSMOIcVOlzl9
SLdzFTzGCpiXD611YwnHD1lOoNeb57KdStmpzRGhj/EkNxrCXWj+8vMtcZL8SZXczjyFqUsscEBs
vCwfk9sm8HHa35w4swoAaqkd7zUcbRUh4FDIk1P+IXnLupzJYL1ucAgixyzncjNLCqeWna5e5xDm
0f1UDdrh9egyTTq4yftCt0RMJyZ5v8/1jZAE9+YdUnmwVvd4cojIInR3g/NciV7bnuofEud5HLsx
ABnsjr1TPwVPaTurse2qtiggzRl7BsG3lnZ3k2IDoKQNJh2u6BK1O+J95STcN/wlgXYv/BWINYll
CocSOp5nUeWI+E9i2KwWfQEvaXTFWoOPpLR88s07rC4TFeF76ArnW7aP90TB0CiX9DnollFv8Y9r
QFGtQnGagtrlHHm2uL9Xy0J2Rspar+0b2BuixNNJGK9IVSGDWbk5RTkTNPeeTgtjI0rTW2LXm1G6
bxNX1pdRZo+Sl+wjLgY3YT67i9OcTYsBqU+iGoIXGY/dQuyc4DXLMUm5qjEmbopAVZLASiID727R
OzEi90H2a3mEcoEbwhmK1HshA3yl7HobF6mTrbxqXjWT2x2n0PrG+EdaB2+FpYj0Oqxk6JwJFFSm
wi5PrC6dR8o8A2cV2xHehHIWIGqHcL8Ki+XoaOwiwWrOeWRDmvFXSmcVBulvOSHAMJeTc27spGKG
lOiCU7QDJOfWohNGixzVIjgIknWID6snbTslWrqTJkbyVHYLg4ij+zinjUCA8AXMrduLUxVsxiDn
T/cjzUmi2SWegRQIt6PsmnrTsli30eLWWdAjZEzt9BBzaJHrQar/FDJZwRKvF4nAlzq+h0+kOGKQ
bJ1RYvc4DcDX2GWyjx+wDJNAdifOG71V+CbeT7q8UKKV0e8FooFymkYYXccNxHhM/qktQkbseM/j
Kpt4hdUB5SbjCwWR8UCyQGksPY0KGo52KzPs0HMSH4loPOWXjkDRLwLlCiha7d7SYnrPBlag30+q
p4YBBOB4cSPukDCJ3hrC6Z9aEgsuTHTjAh9DO0Y0b9wOHBP45LPSqrFQ0dPCQ3gdyeMe5EFoowoY
RDxT+T7V0w+g0eygRBtnpi5vVEy7TJbRZMBFK7MOVmOxydptKZ8qFh1q0S+mNvF33sOdUWBOCpnc
aYEsL0wSzVCHKLY+WMeRRaQlAiotmsL8RPZfWAMXAKyrPDFfRXMHqjQJnOSyukUL8Tp6N6gRUUaC
Uoru3cQjP8dNpjNk+CZ5gejiDbsDDJnOuvtOka0O4CWBRLdp4C0LjaAOF+oxPUJDdFIfnvKFGLxz
Wzz23AygbSiRpLB0kxg2mXTGzHrnM2TPVfB+D92uFC2qfkFui9FMkcjGrG62kFihP826h0AbB3fn
QhJDP+04Yb5WxrQUVqHskEJLkyP1oBnYFWGHBMGPcHtPEbUzx9zImTAwK7s3XPP83NplWEEUVYGd
YSqWcNVbLC6lgh3a1rFL4PkfTVt/0UGwCKdEVeXo5/HkApmOFpXCQMHVAkEeEoOFhVG6b8ltSuzg
xYNY8pIpVvYCBB6HZnqDaza5FRO/fqo31Ye3MSW+p6co36KMb4lUKi2WyE5YxPLcuDm9srl1jnfK
MQK25CFpbiZf1Xwx4q7Rb/i2ERxT71CUbpdYQrZJCdlJzs1tnmJKZLeBCz2ZqMZEHVnhS0WNXKa/
aCviIlFBWo1hVOSBo3m2iJFCgDCvOLwQVTzCUdUaW2Pnm7sKxJpHlNL8taabyNEiuzkYdoeE4ggH
FONemnRbPnu880k0JCjq0a7CLOt9mPGa10ztPx7ZrPkhdVXh9R7NSMcpnUq1MYIXG5G9ceYCf2et
9NlgKLZ6n5KyepcWVTzLP3qYoKAEbgisJn7/3N/gqIzBEagEDsGw7lZ3+A9b0iMlGcoJD9dJSUEL
ULMAstW2Ysz3PbsQnSHNLq+RZ3uKBT0L6stgxVgBBCcwJZMP7Y0sFYQ4B8wKtASF9kEbNhcr+Xgh
wCdYsFToJOjlE5b9G4fiDxUhHmdmydHLCUGAo2ulnwPCIbHitAN9cCk2m9tKOxnRQJ9KCUXCPk6i
AnPPqwmp3tjSUcOWJOx95s6b1cozD+QgS30LU+Gl85nu50229ijvD8betThaSy8GpzZYr/g/Np52
TQyrh9KKIfOKJ4VmVNyuSios5RST6a6T5sZawc3ENKXauQjmbqqDqIXXSoQUcxbulBoVX2Vf+GIR
JjEEoXk8d7CJves9OwX5XK3R1o3b+CzLy/KGOcvuiZASVni4LxLkZ2C08FrWf7YWLnQRXV1lihPz
kPSQbxQG/rLWXurouQJSVpdDtzuB0lW/FPmKKTkhx81Y9iZAfWYXZnpbv8ZkUwSvMqaXSzMewPQX
fOGvAvQuJ4fdh5+0PEmPN8pHpLMh+jVedQ2kITts8w7kFwhLdZAMbHAInCYs7E1rCf0S71owC9P5
XZsa8oxr4YFnlmvwCYKDA6uPQc3fXxIbzKvJSqxbWe0Y5jif6xoL10T1HD1b1qxu3Be0J74Ac+JR
ONzdtElXzRvzSajtmtC2ZqJEE4+mJBR4TjB4rjDFZ7N75uiBC2ywB0SAFal0YCd7jevLLJVTkdBO
aS6u7jjYjSW+xVGD4I9QkQwwPQhrzG2bUXRUDh4HG23Y+bQ3B9IDO+FQGutvbcXqwz7oUHSL+gW7
kqHzBGzTdMt5kM0GatM1poLD5FbZ7BRF3fLecjhTjxKoh+QcAiNIOJ6MLze3xQsmnMlpCK9M1yDx
fRV3z6TgUvcxIFvDn5T9dsRj4+WokDyZafGkwWEa0w/yLqCll5nsFCOXpUiHGR3xXB1zQVgNkECU
0TVTDQb2LVuyi+gOW/wISYerjwi+dHISb0JLqhapNxdTOJIWJJL8sr68KMwfbyrWw96OefDxVIJc
gdBqZLcXu68md7ApOAA9C0NUoDhg+S/tZNSdRV8ZK6zVCUqlXAfIkIf8QNkulU1ZsCQhdRMu5kIu
tnqW7Wnb7BJzHub1YaQlh4oRJnV7A/l7reBrUJKZ7z+OsP8ZYmXHivp4T+v3Tt8nUf7aij7htoLd
5G/GJZ+0mgnbC8wnW/eolIbeMQ/rxhOQi0nNNKaw2PT5R8xfUY3bxCf/Eh410QmWcXmJROxOYILw
0HFWtMTiUY/f8vJR0F5jpncOR5L5dr8dR8JRr/xZEl4srKaO1sxHjJ88uwrGe1Zs2DKEiPx6LJYs
pXclYRuC2jCAEsKG+WIoC88AeY1nMeiOCl68tpg30psSRbNbA/sAaoK0l4TOESUWiuapxBeqL2N1
FyZnNd/KDacQsCQNBPDLrFYmAC2Zcd77lE/+oeesVbM8srTWzbPQDQiiYwyKwvADV8y2aQFYAX55
xxLf5jELy/lyJwSZA1D81ivgyPXbQlKameIvQnwkomc8VrdiGZK+E2ibSDuXQTGPsaw3UjCTMRUq
ekXe1l5gSYkrSyfDo1JMNy56S5R1S8qVpZ9RMdDdNMBPz5/KTbJHqGk12V4vTLe6t/8qafx/6jEH
gSgpMl1rQx/sVp+qIPa1uv6nCWx9Td7/9/8CzzdwiP/2hf3j3/8/vrABbvyn6SnoA6VY4N/8ty9M
lAXNFNV/c/3+7QvTRBzf/PMiVEB1QA7/2xemGPwtk5KLJP4xmv1fIP++6dVoAqYXGbe6KgyBCH+X
TO5lJSlpaEpufhZhYKZb6LVLbLDQwHbeDky9ffuQDsrmsmGLFC76Vbcwn/wTW/ToBTDLb23Mb3RM
f9/Pl1LqvW3xbsnczwOK/3JefKjn+C0s7XLfH01wXrLD/j1YGFecsewiqLSIr+qrF1gREQjSkv+t
nsXa6oG0QRMnVYxiPvEHxpx4nOcCq3Kyum0EcrvuLxSsDr5IFglBBePgOd0UEIWKa3Msn+UX5DRT
8P3+i1CzU7ZuAmJh6uR0ccFWKed4DR1pAxFjxpFM2/D3vDfxwXzQFgFhX8LyPld3ySzc5zipN4Fg
K9N8HZAVN2On5xqTetmxMkvUjB4iJuTjaBfvAUrdQKiMvZS9yGjubUHVXdkK9CfpRYMpOoDS8523
uW+Cx0/Dd/uv4u5nv9wf4fHfNd+/H/qXulmQGS3kRx767axuZOD33TO6xtYt9/GbvxXI8zNf0zei
/aptsWtA91jpwFMRly0Z9kRorouz+VzCLCIAuBk3RCvALL62y2LrnfurNLmv243oVM6IWHkyxogb
ngovaP9OyeLnX/LrcB46IJ8qgL6mmVUgXySiv3SwMseQjen12ZwAIKTs5RgzPOTv6h4A3jlZSpN2
U2yrqzlPHXNL4XI0+fl25KG98dOD/dJjkgRvVDMPS8T/6aQI2fU1IDdgzL6NdMS5OG1g87HpnhkH
79gNbD7m6u6sz+/RuDPGyEvSlbQ2gReFq99K2sZw7X/cmyrgS4VZIVOT/PtR3VSlLyUQ6m7zWqpj
2PnRulyrOMnfxGRCmNHtqKmTBA4OfMGcyOTRWXq4zwZQZrIbreW9clQ7m4PGWltKR7IaHo0n/YUw
doQXIVlfGo7PZiucSBdcwJ7ktAvSbJ+0lnkSSR46h9cRPRnKHqcMQc88fe4Y5aMj+/shT4jcUcIp
OTMwDNmhPsSkY0LB5TRSA1pEKmobi9v60j3wmMJnCSAPFuqfX542tFR+ekBfpqLYV/S74vOA/OWQ
VJxcyXMjkSR5V2htJGN5WqwHJKP+mu1rlyNgVoxvJMZAIZfALZbvDce3A0VLoRiHr5diQKXjHIS1
vkiI9r4tlKN+Ks+XgwkhivyZrbrTDtUDj8QD5EO5XxgDb4N4g/wbrzylcwWiH8LZdpYQ3PzoHSi4
+a3DNiMsxtnLz7/eHPo8P/36L3NCp5raRcew7AYfF8helldsawPP7uxWgtUrJ8R+ghSvV4GbzULT
uo0OgrjNqbjlm46NnjrhZzr9TD+PzqPX9lrMkWFOcplmEtXLA4dzapPde/YePN9BH0L8oj3A8X6H
CPj+gptKf6F9viZkQ+GJTUdOv65eeMICznmY9PVYex3N8bnFOyYUhQ3wEJLLPl32rJi4EeKy3uBp
NSuztqfmU3DQ72PxQX3vIaE+pm475acIi+7Ah6a8xO96ZetPANBAqNy3Pz9I+Z8NKybXT9/Zlymp
r4NCy3pFcolfm5I7hO/nGaonNWkLbFW0aFckqfJlFStihh9ZoN6lrXII17DAjk7K5+l2MwCZR85C
eWqXG+FFB/5Zjn+5zX/2Tv6+zS9TlWD4fXmhycPM6SugrMjp2/OHIxvjywMxmfNk3TH+acWjaSC+
0qEIAel9G1EgJG7DGirYFU3zQYITuwPy6+cb1P7ZIfv7Bofn/GlqH3g9udnwHDkUeGv9XM2qQ/s+
ehGR+QYcNt3bVvlIUpdcVQPyOhILwQX9BfVr9NgvepLq2S1vpNSWS1d9JF/F1pm68Ost82svuQkV
uq0857w3o/BP1jJ4tU04jRqXA7EicTZnE2DdYCkAaR9Lj+FJ/J+OlC89XqXpw4qDCXsxUH8MEg6U
Y39bgKwEymcna/Mg8BbybTHXHyEYg0INbWHbfDxlgBuJhGAbQZsEnPes3pab6pST4rJtCbMOfxks
2neTwxABJvCHLsJP+vtdlN4lKQwOg/B1sgcyAcKL693tkEZYN76/quOWQNYb6PJxtl9Jp/BtBHCR
8hD7C5LRaVrJB3Uavb8rb8KT8qRs+/3o2TzRJ9ln1MSJxPy4P0CkJPPYdIcqLKWgJYCuwXc9lh8D
13RpUb0gkho9RYdigk+OtkeojeUrKMm9OpfOJqm9P4+/b1xOYB3gQYki0CgWxi/fcZDU+qVOZEbK
tVjXezoa7To8ZM+UhrtTsNPX3YbD4f5+bY/35xSOT0gihRXvwEhScftlo/NNv/jvu/nyuZrZzS/w
h0uucWL1ljf6hlh00jW33aqZiWdQx97e2KVMMOubXZKdE6wLVJHB3Nup+ELxCj9KW3VF42jdR+Dw
y6P8gU4w2qYP3gyV3TF9IFKRRNQN2SRuPe0W+i/D/dcH+uWDroSyHgkewz146M89O2hvTKwEUcRs
zB89N2UMEdnVXPvrzVVn0lo+DPDHYqPP5F9u5RsDwd9P88uX5xnxJRKyYW6hzG/5b400wKL7c/RB
PZ36NNHl6DnpF0pv6rOxzF+S9x64NZSWE9EUO5DC7fnxthaO9YY24Ela3N0hB0qNgIjKW2H/81BU
vttWfh6Kw+f5aSrMxQ60e8jtSs/kmK77o3cj6xkG7EOwkFlQpMgFCQHfEBThpF7VHHoEthfiR3wd
JW7HdH0KRra2uCyUJXAtti4bgbPVKiNpWCUoK3Z/vmGuzh193U18uuM/f//THWvSLUnDdhiuO/1c
P2uqrS+KU/XY05lonYHzDXyqOI3WQ8xeMC/33hycVH3yN9kp2UHxPUE3OAindNO/GNvAKVx834yW
ahy8J+/yNJtfti2xt7CSxuWKUtoACuTgNviyIxZUcRE4+KLBcvSzZOoRm0LrVZ94CXRIqK7rOnVK
izItbNoWcvDjZTNaBTQwyEUGpgs3/EF+b96l3K6e5Ydqb0wJqUg2iAwmFSHN5TGeqlZJg2aRbS5D
yng8Lw/NDuKaN670oYVLVg2FWYvcIPV6X0WH5sSuxT/57xENrmli+4TD+7vbvJ7BsZqDTnLkrXwo
SWfGeLImxpt6oDguHw2nWMSrapUQzHqo3nWaAycElBvqjnS6acgMXNh62v/yhQxknG9eoMl0D/dO
hGbz95Br0nudpRUvEKv5ekaw8NTvl2AotMhOyS3btaT3AMYw9+02fWEPfIMoAwEfYPd9nPCGB84/
cHv6kugD6G0npx7e6un+5p/jjb7XjsaBNhMl3uZDJ2KVnsFHtUOtHPN/TFzU+JRZvgqq8ehNP4pU
PAn8mgpTY0opjNIenbS1Ou+O1Q4Uc/JiHvNiHL/DcX2LRAvYphZadCDEJ/2tnupbUXYI0tGf+qef
xzmJzb88Junvx3SPW0wzFIJc6HxwfOnimmdeG6PSeMrepfcLu9tDt07mlw/pId3cw0n3FELbY5ev
jIMdpwuMI2eaXIFhE6ZEfCThg7SRAL6E9DD/ZLaTnfTYPvon5Aij1gW2Gp/rIaHuHLNvuwaFpY3w
hKSTYKc98F/tySvciYtiVR05dYrExoGM6x5gSriZdS/wV4zJLzTG9AazXTrzHmnOj6IJmF4o+glU
OeOBG8CtjYqhRV9nfMSAanfFvlIs4STxgor7rH7OnimEHLWNPM/X7RFNTHDkgIeoIF5XrrDQpj7Z
LQ/KGSgZ1Urs1RKMXVs99e/GgvTcpeqEm+rlckwRc79CLJ4AXw+vMuTOpe4KS3xVko08EtEu/WPl
MZ8ry8wf+7vowDfGVgAoKDoEjouPcOM22lRZFsdwXZJtRRK3bWyHexud+JQF5vY3EQpRtmxfpVch
GDPg0rvNcSF4kmluux5w+4pS9Fh7MfbIV2AUHdQjxzB/Vx6URwYSo6sgnvwx1OyT9wr9PdrQXOe8
qj/lJ4r56Q4DefmogN5+zPRfdl//zWr172/xy8E0EPuuu0SS5GqrQUcCJ/3sXcM346O85iKbANrw
JCA7sKSfwo1P3Pqxmvt776gdgiONkYGwY7fwK/Qp7NdgTINvXNJMpXs9Vlyy/2bx88/fxR8gxT+m
f1UiqsQ0OTh+lScXXh2ZwOQkAgqSdbylcNd91A+kkNZreLnkbmRrCL3RdPQiTwrIVLOU0anD9AdX
eFTO4pzQoTWJCat2xs3q8/aVXvIOPWlMhs7Ngce+/7WU9O2S9emevxyALzQu/rXHjZfqZvTqJxM/
H/Nd2dGzNmsnVLcCAgsUql5bZWLw5+jKf1vov51OPt3Dlz2nmo8kNQ15bn+gXTqSJ2JWLnNvXzzo
Z08fD2u/yHx6um16/JzkKw2fO+nh0YnAWVtfZUft3J9qhJlIXyLrptC4k0/BU/XQLdV37ZE2PeBh
4Re3xrcFRUpH//W+v+xO43vr6V7C+aA505qJ4A4LTvt8R54FQtqc4GouXWYUlngS2Jqj+ojbD+Qt
BlUS59bNuj70MPmJM5qO5voVIfvoI3ijwCghTTl2h/Q5fjff5O3F0vZkGUw6FQ4nud0kXRssCuX0
N9f/rz/oy15VSpo8GA75bv4KCHlSXptmTBrKtoydgvLiRphXZxll31yc3AhIKHZsDy9khJPDviGq
equFTvvkf4TX9pWjzk6b9Nf2jRW7JHJl77vDVoLK7qmbZkztKRK2cEGUKXOrd/j5UxTF4dn/9C1+
2esCsVEy3eTEC5j+otnNZXXnbEk8H83EaXyoO/emPZvSiYZulSFCJ2PHvixHu+RY2wx5TmiyRU7y
tC0RQL23CMfucxCF7YJ209hdEtaguoMR8TQSSeypW6snKTCzCy4zAB/ocQ0CoBHqCmWePKDXQmND
kbZZErT63oEdbVfVhv8/bOGkk4ZTFzNMSH0xo6Q7Fp+FJ2JacHP1Y4kgkWX3pEPcCcdoObzl/UPa
0DfUyVWHl3TVfDtkNyTYycguspn5BKEc4qQBq5pUovs8HC40V4ks6/fsMtBa0Y+L2+kd0vTqri/N
1CoXomz//Ar+7JV+egNftu+94Xem4PFVS7s+G1O0mLJLlYbPRJ8k04QjGjmM6Lamt72pToQ/PP7V
/Ze9yh9i1j/vQhNAFZOtLahf7kJq7ypWoA51JetINYke4MeecY7bzcxcZPNofjvAC7XphwMSkmhc
XKbiztx1y2p9m0e2MA3n3aJZNe/1S+xenP+nZ/Rfd/f1wCDeJFSy1V1yYbGvMt3Wdi0xRJNm6Z+L
U/iCpArtqfHGRpH+PCo8OOLsiGgbz/6HN/Jl4yuZXWbkHo9JPRi7Ie2oOgROtGNsp8OfWAigxHH0
Jq6o2qakD09HT79tvuXvP9l/P4wvu8peNPLsXnEPt7N8pspy2RUPnEqFj9ssWIw20bR2J/mhPvUv
SBWRyxXECzx358umd5qdtmhOIM3n9bbYaIviULkKrWLhl02J9G0/wdQ1TVYIajfIXf1763vz/VyK
vIZex/MI6vSYFjQkxFqzwxEiTqTgTkzEZLoBta+LxCJMmC/rwextmURDkLRD2G5M+o1VIDzir/h2
ykTj7yOO3mRypwsCoZ8pwZOVtJ/RQ7EvU3X1Ck2Y7K0dSZSoB7Slt9SOl+P9sXm5vKn62GNsq5Yy
IhuVnMo5Mp+bY3J4vB/FBQX4WT69A6RsHBWJz1VYBCPLn7NfGrP4gM2lETElZ3VxmY6eA1yGCNKm
o4eA7OGegjRyOP7I3H6qzdKPfIo8+qEi03PcPA5/y9teXktylpATOGQUNYSxk+aVbuKDicr1hXB5
B16rZdjxBm/F3HTucIe5t/eLrQ+zl7S5GWQP+w6if5ur0TdU7MxNN+EhcZgnnJLGCtFUnFYjJl0y
kecydxssZXKpgm1H8+3+IJLpPAkm5PLgQQ2WpGA6/oSNfjPNF70bk/GzxTDuNIi2xvmxXMPFmHON
herobJ3ThbTNH5Gv8BA+esq+AtV6RGDhgUQdojaVLb+WA4RDSvrkFZjoeuRUc9FBl/7qT4eDQDEh
QmRJCS+j2UYk0SHd39jSTWoKJIMjLtqkq7urP6D1lD2KJ8VRXBWTxu0JlSkcjfCNl/iZjdXFOF7W
SW+n2UQN3JDdUApofNZqdmYSkmjhuekH4Hfb/TJX/7G7fJklabJrBtRWk9Lf0Pj/XGrxzFCWMrOl
cOGKS2HFumQ83YfkOWNbzbMZWnKauFt9Zi7pwwSbcPXL9PNNWf7z9Y0vn75YhqlXlXz6rTU68Bwx
FhOYqz/6pBPYCKGthkGC6mz2ka+yQ73J3kYzz/7NRgk+6p+7hk8KCbQSfz+HPGg6oUvqoVuIKDe2
RqLt40ZIDmziM0Jxtvmxt9u9sDI5Rzxz2EdLXlVr9bZAnA/KW30WDv6jcRgxK7wWZ9mwRi7RgeWJ
9UVi9V7HC3XFDq93tVmzCE5UDtg65C/04DPDuUmOHyJBtAHHlNIsFsc6fjWOpIJN0lZFeMv9iVpQ
1JLA55SRXWqgnS2ik3f8OzVJcxjPHOkkL9MtAZy0LwOHZhMRxDtVdWNb5wOkOHEzJ5mLGGuHdFEc
q3N/Shjpey3QYbwROnpsXGOM5FGZcWTOH9OpstFm5n60jm3Fyo/+k/bARlYZeydvpRwqpoTwIV6b
87sDm5Kss1XIfoiWb7pQbEKKXG8mzTBPHLNjezQov51IK6pcuprn7Jhs87mwqNyafDXjjdlNX5mr
cmZMGXBLin1j35WPQ7qoOIs+DCt0O0jYRLHauVVvpAWWhpm0F1vqpcFhqtFCbs6aE5/KRTjLFuXi
soaRjdDtFL14E3pi5swnqqslQhYS+jY+VSjHHu/r4NBW45j8YKtYdFOBDzZnQzsZwtHVucZ36m0q
l0AMaPTT8FS/eGf0EBtEzm/0p5R9utIeDf5FY935Y5lXcuy3/gqzw9ic005Bfy5MYe7Qd8f3cIoO
ZLGz1ZsajuDq9o10VnTk9LoSW5k0zt0iyXZC2dI/RZtgK56Y4WbSlMM48koawPHK29R0yuVZaMkH
QR2LBPiQOrNjm0uca1daPaYIwJlPl/3oSJ3wqVY5ol/2LXWlBb9v55ULYb27pL9MIShpvukk//Xx
fDnG9WkehBe5GjYz8iYipcamC6jRpyycdi6XDqpdPpxHmucXCEHWq5ZsOsTxc8i7F8Gmd56AU6PC
M8mDRZXtlGJC1NFYeo/vkwbAzW1xU0k2a6Ado3DjQHWxirnpkzw1EbBFsonHq4GA3O3ml6tCGFLG
YSm3s2kzafgnWqfeJ8SOLbx57eKp3xUwQ2pijh9M05YX1DDmviusDSgiuT0ixSAg5ISG377fdHN9
LE+E0wXvBrYdeQDylyO3pb3wMnTYjquHEZFVF2c0BQVP3Kbtew77tLn3ABnuUR7TrNBJnlZO96W4
SBHqiONip5Gb01kp9PQT/6VgNCbbbxEwiOWtsjJW7RAQVemuONMcTgcz89y+t2vZR1ahTl+7bfwS
Uu2T92VqedkEHXXYA2e3kUkvSyKJtLXHNE0lMbtY/ZOyrucCHX6isFb3m3M795cxTmA3m8D+jd8v
K+XuNMRLcwqiojwRLhOFuUNZJJ4dNQswu6k+0f1ZoW/SV4KymUsONQpXi/jQOF+ZB0I4d1B6KnbV
PW8NBXlI/pa/lA8RUVzlEiuKQVqP50RExMwaWmnEAkODt4OpttMP5C3p1A/J8yC3ibpcjenFSkRX
4YEg0UDDigadgz7nB05kw/a3pkTaTLGYF1MCo7B21VY4q+eKi+PpcuIqg/SQjsZSJCxo1Vo+GU06
FqqjQuaTg12JhOapMX7Nx3OSthYktv0Hd+e13DqabOl3mXvUgPC4hXf0opFuEKQMAAIk4Qiapz8f
dk+dMt3RE33b0RXVtSVRmwbIP3PlMjZtm4MWYPa0r/HyPiegHNmpkIj+zVW9aebIlhTBJ4cubj08
uNGVzefvbFWuuHukEXFxjW/2klzJZ1LbkBAJRr5b+3S5zXDTP4WXNx4MYiXZxFD5SgQAP31aEnCe
5AsWbxvVIVFG6nUX5SEdTfCkTmZEkD08At4PV2wGiPRWLGmmhup7R2bGaz3GW7npUlkS9kMoF2gc
V6pVkYYwJZY6I3XsNkXwxIE6iiPJU9sg4bLq9zu55wrdlMbr7ay3+wZePy+mwvJVdla4efABOkTh
OucfAqVJekrDmn4HHwocPxydYEdH9+AaNRpx6qXBk+i42UhGYbDq52qLQKBdm/dtSdkBmUYoVC3L
TV54ky4erk71YlBNXsM35wwRuIVLd2gpEhzeQPzqa+I+RbAyuHoQnp3iB1XOJcTLffYKX8eeUI6M
g2YiB2a1nFyDSrDP+iIHEoRlnnr1O3UGJsaYGEMv3dDZnkjbeheeDq1yPSyI1+UhVYa3tWNCL9Wn
t6nxbZR+s0QKlVvPaRPdTOJVq/UjJjlkiUJxg7lX6V4/oJzP8x7egB6kEddrtzWi5/S+IW0EHsxz
mpfvp8kn8M+F1eIa1yxF8iq6BDpYghl3aUI3H3UhAVlSgCMNrZXUOTK2CYV9c4ZDEfZx5TEjr4pV
BpZdTvHtTN/oxeJCnYGRM1fAIUGUxqoloQ1IBKucyjuldISdAvP8Z0xiRUFQWWzPZwDg30AZD47t
YdF90CvAMvEujdMvhvUEZJfGm569cEX4emhALi6cCO3uCJV3F9xnYw9wU3TweTqf99stKQr7otiP
5MTA3P60jV18tQg/DhiGePLstSzxKWYxXh4mplXMTos6HPanN7IWYwHMHq7wNIuwh9XsjBiV2nsd
2WG5JH75k93Nl50JOZgmCfaQ0i0P9QnvGviTESlHDnKn40An6wbdqXWy2+TsToIsuhOOe6nn14O2
BCd2DfceX6LGaxYa0PllasxyH6VAOm0Ot0O6JDfYe6zJREO/+Ty0CdsLkYVYM9W91+A/EnQgnad7
zeyVgFKwLHtQEOPriuBU0dVZ2prA6cuRGVav+0UaPZLaS9G7IjKx6onLVW2wDCLH4ur0IF74fdiI
Bf1XdCLqw4OEIxqWua0LexJR2xydmI3P+8LAcL4m4NURWpuWLSEeNjHmWTi4KE2uvOnW68i6DktX
tDaCC1t6o0PUSMaAtEncUble3uQXasvErCEY56Bx72g3Hen79tHh9NCQQJvRiA0/44V2JjEWgHGp
787RsChilhw+6Yceck2b9eEc3j3Uk2nOBZVgDouGSngtJ4+LIxwe3O420blszmlmmewWO2Hblywf
m/0lZcNCMNBr030OCxQYn+l9rtU67+M2ZfBS4XgnY8Yqjua8Sxz8XpXkGQWgcQgzIptxRPgn9EwT
C/LJnHxB+hyJQMin/XRzezrGyyGdInLgbOHKkTAsLOXwK7WhknbBJLzrbB7JwZyiKyxIQyGRyVVW
kj9G1z2pfe1nE+jh13mrcgHd4iaIlirhddb4R5ZMgO8ziVatnt7oHE6gdRw7UNpuD1uz062EWnaD
xTz8LuhdWCuevGJqDs4Q3QU/N9758LjFn9hl2eR6Ews9HF87RmH5KBGjRMrnaZvD8eO66I8Y2GOn
Wp6PgH/VXLq79+/XTphBe1opbnn7GBbwUuGEAY6JTvl99eUYZWbl5HPBLr5zh1xalIR09Eh/Bvt4
+0CZGJ/90n3lScX0XFhH1KfoAO6wed5h/C7VRLHhHpxkiHs0IiQkDau+DzKWUjAdG1hj1P2MgzXp
JTuLLwuSKy3i2hQ0zI4WadFDsaHCgZllszr1h8J5vT37z8ebwkNheAn2rU5Agu91ckOTf7K+he3D
emsiBoy426iMBLVzupF9/Yof1nAEvQcVgNBD/m8e397q2SXa1FskBQzMxPCA4ZNjITpEVsPCZWHD
0AMdy2B/hmqSgAtiFImser9wUF9ZgLEcsT+vXMAUmae15w4Or3Y51U2MeFiie0QKzsNz9FZEZ/u1
0ub9+P8QRVTJ0V+ciKr1U7kEdw7s4B6uQpuJxhCJ5foLoRULSJoM+kd3S6jUEfFg5qFiCgdPW3Yu
x6099tnQXt3RAcjkwrFbMrFmufOcFhFlAEUNOdent2ykfkC/WyH3ct64C79XxYaCtqTHiR9x5kKb
LJePxm2m1ML5aQ75Mnr7fLAoTT3TFe9L6rfoQt82nZaVg0/g+7wzXcXVGltxiTjyFllI5FJYAGyW
ri65yvbpKmBP1uNtSEhGutLAaPbbQKltHAuFGzsqz5jL/osKIdh8Nlz06vzuajY0GaY8tpjfNT4j
r1By91d3/6tHsm/vV7w2AQYpn/C2kMM7E4/lkM3rDiY7iGfx1ZeyqGY/sJjfbSm1kVMHtVNs1Xmb
IJSLiigNkWxZrIJvU/N4lb32XSjAiVEjAvihWTRtiNfsNVW3JSIJBnYIzRxCWFR+T6wPKOzhddR6
cxOZR1LaANI95Uez6VE8yD9wKQP4EMSXuYikK9MTamCsXrBFTh7YmTzi/eSxJbRP85KRgCMVor11
mTNGY6lm7nJsHhz21DttTuf9DYC95K8mpSqf3zIKAPp+7+Kt+lCYLLKVsC6uC0TP2Qnh1d1Ouw+1
4IzvYm3Me9PWmakCpXZTWY861WHfMGgfLznIcOMBsn85ZR7VSkjXxL4rfQS0ELw34JxK/s13Ifxr
P8J1TEPPOxCt5ZkbjeqlRxqC/0tchrU6pQBzzure3XQljQUp5A8UWJItn0973p1BZ5TQZoXm/aPW
876dvFdcqpD+PDl1ZBlyUudCyqQtXVfchcP6xRXMeT0mb1HxHw9XP8/y6vu8b85z7hECJQMkROrF
MQ/tM5AKQl2X2T3KB0xI5X1x6lggZ7b4ICzqbET31xdE5vL81vsPEu9LX65XUIDFJmrhiGoELLyG
uSGlhIEPlviW1tWxhII8od5dCof4sXPaOzKCMVney/rshZDKyb2K/6lJ81noY3R2oG90jlPhPJOo
Sjw5AbWZBV8k208eqLjFJKthIWeLPl2fX54K6cUlc4vEHNKdudM9ZXlhNpkszAXsnTFz3jmFd9vY
5OHtR/1E0jWKLHS4zTHH/RmqglaQQPvyjKVIlwDuwqjaB2fLAbtjh2QE69Su9w8vW+FqEMqcUajF
N817AyfzHQ1TZoOKTKrFJdJi4rHn4ICEX1+WPaVNC05L7DoIYInaaVkT42ylwA9iMqqOvwgStx+M
cEoMvjwGhN0QR4LgNTPuQajBWJKJEWAAL0onD0hdGDXgCLnkG3Ty3wO4UuXngyPfnBqgWXJx0rx7
CgsPML4JcdXdTg8vaBnOpJ5EgsPaAYrcult0HCEuWtjhILtGfD95EmyY5RX3P+gb1pLuzPtCMsid
yQCLOmxzCm4hdKwDIV+OgfGwuCTSHBEbb1HpyBsD9UcVGLlzdWDhoQlo/fLknZYAJSvx48aFd+It
kohDy92WpRzheGj/9mITEGIqK3HKgpwvsm7D1/j7Vbr9FMq05qk/aoRmHfMAmba0sO9oV+oZIpZ8
+2nSBo3DTBaIYiA7Az29O8yRujNgAzkH2fIlxMWHMBtbJ/QLZAX7bEAI4+NqNGHmW5cd7HwGSRQN
PUbvaxWOuBEio8YhxRqA10Y7RMnpRKf10TBaDElRYdhAi4iKFL9XFieGyhfTvHO3dbohtI42g4NN
QnNnWLUvBXU0LPup6RCOavWzO+b2UT09uTA7FnAWT+0MQw5Zjnphhuwf1nRfTO/dkhd7WT3R1Fnq
9wDOXLnisfXPzn0OEhU/j33t1Rvw5BlJbfvBq8LmgJxdufjjpEeiteRSK+akSblwjvNP3Tu9590b
nfjl67bkJ5gKwQ/BFk0Pc6LXyMPBmkLznzVj4PXssOtDRwHcXiVPlLu3ON7ndj1nPmMMrZ2v7M7f
f1KsBnYMe8erZ6ABnwLPPeMTUiTAlnfSc9ubUy35GLnMOZQdYsThO+fkMV9XiBGYmaF3rqiZvLfa
7BzD6LiNeXM9lxQx1neussbNu73RJS/DTxXS4oZ59fSu9bZtw4t5ELLVl2Q9nafhSxOHf8TnrHeT
IszZLKXA3fINqj4nb8+K8MoU5KJcLhMxVKpVSYVjDl6OSYuk6x0Y0tjTihf7hEIjiwaSCM55cJ5e
4vOe7a28FPcvAwsZ65kQN4+0o52dFw89fri9xs3u4CIVt3btAxQE1d74eEBnrEeGN/iXFjClFFsg
F5CMHFKo1byoWW0EP/wWpYNTda7ZhMM9jnMjVADXqiuYoZwTCMmotKSvudVvbLS75Myzb11J/spv
N/taSR5rxdN1QWQChSPK3sBqmTWicygvBb+ZK7GxY08xYpUpIzuAhhA05NQH6QWO35CTRk/+Ow69
ggONiDy/uM8IK77MiVEml8Wmy7o7naMS5+ex6clGuQT7ntoVQ3VVfo89DgOy9A05sl5Tqq3GuV3m
w2uahYyvlV1Id56lXbv6h77JfHXmSyG3HPK0C9uiO+ju09+DV5BBSCiitNo28cm/xT/ByOwcA+Qr
8KUnsPG6huXOahxAZXPbFwlOu1nIBxkaX5DDCPKe0jLNSR3PwtRjzMr8wW5Hfp7gA3xZn0Zoupfg
5lVxG7QkWQP920Ok+5KXUZoYFEN4kXlYft5oQ6sVmFl65ExTdmIMXcuYlfgNrdW5zqLfws7FNb7F
72YJPzN4qUTTkm4LLetA7jvWCbhDzoG/v1/s5pQQ3qO+AAbMdlwcnzde/nX/ApK+etiy2O3JMcMW
5li1paipT8uQ0Pg5pD1jXdC84vvXbU7trpacbYBerUdBOQVJjSDJX3w3/reWXH568AWSQBWXz16x
zM3Dfs/sHz2MoH+hZXvYOZo+PUIdbkWUA1LnjdV9vBlJbZSCYl4vgT6YtaA80Aif0SlZLiAMcPYa
aM6+hevKhk32Kp32A35CFbTfV80Xd639DKE7RFIA/fHyUY4yKNDIb/iiqfskY6N3lGiSyFydwAW/
VOGOsVW2fXh61yBTTZw9GcEWjS9MqvoNrlBjp776Kf7st4wKDHLCu7YSnAtWbdLux3RSLFWt9YzD
+st8Og0GA0vsORNUevHFTTo+ydUl+qm+tdUzVhDgU51itDIXJhFwdyqTNvAcp72NHcVrrWfLwXA4
w5XcV0ScQvAdy6MxjESY1xyNqZUBKuLBQFnF4oQPoInHiKRznHnDBgVPZZMWH6cuGNpc5BDCxox5
zYG+bE9cXDt5Cy8uD73vWACOAytEUOid3Hn0y/H4C81ke/m+BzemkypMn9RTkEXVYjMmgf/+nKyE
Uw8C4C3pOKNg5Gylt4nPLnZv4AMRtB8n1Wr5JM7e08q8Jrj4fBLFmuxN3hKsfgBbkcEUzjvnDp4j
M/VQRYO/7uY/dyumN3JwHOQVq+9LYFIvtZUVb7J9dW/xkxTkX0mgDw8XFwDhPV4v0WPBrtN/eQhu
nNxnKrJaa4xXnbCg8F6rgcnu/nbGZcAVsUhwZZ4ML3zcWKMutzhGl+kxd+8BW9DmSe3L/cp/wuru
bRSOqAJ8BYcie3LAOylVkOjgKNbgRAxpEqeIU2RAe/Egwy5ea94y5+rJGxNkbFl/IMOzdefnzP+Z
zldpxV9fJzsGN3Z/fmYzegv/e7Uq7R07GJbljCSVc8TfdWEsJmiwYGQcK3200dE+i/dhel6fPuh6
tHgy7RsPM4nremSeC1M66v6nPTwO8vYx0wDYrfKrP4jAf+0H1jgVZxYLEoyhvH4K/Q9IZBJcC/cq
0bhkn926X10Xw4FOiCs5/7jP1S3d89nuFhJHMUKMN4zJHgcRZsE+Z1fW2C2f9e70MVl0R4RCfLKb
YaPEox8WNXtxZiZnAUKm77JYQZRNsD8Iz56UlF/lZ3q8LOtv3jJOYv3t+vOgfq9uB9PDnoRStQXx
NFwBK8TOSn+wTMOYhGewuX8P8LxPeDBYBvuMcWQX5+oMEHZYM7qe3axyaLAmnXPtLGFnHM6rFjjq
NmqcuYfx8bHhy5m7EpYTdXXWbeo5W5Lk8WbG4Idqclpj1zEDUb1+GNt+fZ0OOpnEturVAOk/iBmq
EBegS8JtGCJPYFxHXjitl/oUxxVKMz46dJkk9AT0ijS1C9aD3EsRqyMOj4utzGp7kzlLlhO0OZME
XdKoCrM7psjO+ri61TSf/hi7e1xt9DdMDGeiffq6ubHKToInHcRspaGmb1yF7u/lJzIt4ExdUjmt
CI4I5qPOZTxEDIA4/GmW54Xuv7b6z/VN5I6XkttItbwngp+9QVflj2ttdWIDZmMjAw8fmcablJjR
U/kp3qsAaNbBS8nrXY1bfSMFGuecGLT+TfWFkMLvEaDrjA25Oi9niu5M9veOSaTZPqOHI3+e44dn
cILXrJ/X2Zyt6vq0vNjPIxLt9/gcC87mU159YoL7iPJZ9vXcAyC+SWvJuzobRKuF87w60IWDOxtb
Ns1BJjiZxxCTu8au1ujux349gV6FiY3beeIatxQVTggupcHgF84trjfKqvbPHruKj8w+4HAR564W
0N+EUGWd+0607usce0ck5yefDUaYzU6h6gF42OnPmAzu5kDHHgL6UPwBz0Gu+TxwhyAAoqw9A9ZO
9IjlXGAHKMwnznHE0YolVnk70cXnhdVQsR61kgVb5cEHAnTMSPEEKt4tzLm+P+mkMdOCwdHPaqgY
X6ymX9azt9/TZPGwmilHQXBje/OT0P5YyhHRJWAi005t09pepux6x7033i9hhs2N/sUemvo30P5r
q8wRFgyoY8/CIeoJrKXpI11Grnh0wsxdnlfqijMqFn3A/OpgYmEX+9Yfl8iW7rANjU6h4hs0+C6X
ow80tGnRSFijwppDxR6jXoR4PcPDgy7a50lB1XxTtySiQV7338VP03/AB7rwBMYFqjZlse0W3lji
K/+8Nr/bpemsM97+yn9tDoHEplW1+g10BxtU1Gvt3dMZl+OIgtjRs6C2B+/lbYOUFYPXJWpkXlw8
AUaH+p3m3R3dd7X5NeRZwui4x0JC3Od76ahT3MKKpJopwaG1f5rjnUuhmgU0zpfZyP/4Tmetr+zM
7UAbtXicnQkXAMSoE8J7fnLD/gunIKgXRDyF8lybsnhm2JSiPgFgmSnsdFJGRDB5yA5npomnz7p3
qplsw8CJuU1EGo9rkAIPF2vsnVzu5c+O92TJ2Y3heublrvlekyPcLylx1mnbJfDUYrwaEH7bKVsw
3aGfgAyRhb176DlQdL5XepPDgaMsGq+Akjfsmoxom+mq08YRwzIZ26Zo8344sH6KIYyNDFIuzfHe
DRjGsRqw6ilWifDw3A3nL90ANiy0Becdu07KS2qZyzvXBoeJ/RXfcSQfWTQVGrnzAbM9Zr3c/4ma
pOI5jZvNC1PkRqY3ePiD227lSLYHA8jTgLaQu8388D6ar9a8JJaNAv/BatGBvWWl8FaEVQU9ygE6
dIVfchcghtllnoKwqiLEMGM+YIswwMWrd9qC/fEdRDeuAHUl9+S8brP+8ZXhwePUrKFRyWCil6+l
K9GajvJYXuaCzv1rekA/Wgg/DsDyWY4gblC4j1gLyQV9BEB4494NIovusk66bSrDOlbefB7HcDRG
ZYlXTZKGTexenCmMCldQElpVl5n90OOb1AS0EOHVZaqMuCv8yYYheX2KtneLrf3YfT6SZsbCb40/
4MUzos69IVHuWdueQmGNkUAgLswKhzpLKo4i62v2BvDndDvfaRC10jj1EPdpSRVLc8a8rXspA3Vs
1vOVArKqfeZcc3sV4oHz2JZfCDYKeA04Wn200/Q2w5kv1mD/Vq7ZUuLs7Ed4LITefnwOnasqLpZV
1x92fbAkO3oqQQ/ooyI1rEawZsGJcalX5fqXvYAyLF5Y0j6X1MKxUe0kd3j6/ZJXW85Nlhz38N7u
usJDd1827lkJkBfBFBauzMsRH//1qMsg6zHh9gKGvW/YI33q/nCQGGhAwLeXD0Qq9Qd8b/f5ObKn
gWiSNsg+YCtCa39XgZQYI3FA5aPQCLSnooINaVY51/SRFzOxz76KqBT7Q9yDEI+JKzkUl18Bg6Xw
5BVRiOI8ZD9NlJPKyMc21T57XVjN0nmBRdZUXmWb4ub0xwVZ8dQYlgTTF0I1AR6D5Em0AbWn7diJ
gaLxPtxKuwtAQbgTGELw1ttAp3Lcbj74J5dO4Ltw1mdnls8uVtSsG4OOS4pvgv3rrYGFxHnHeMBT
fVomvRvwGCV9FylORGgvwpjMGd9pRFqedDxZM5uJbSQJWbc1fzuqDjeCikhrwsTGvY0OzK7cbP3+
aQRfzs/jHzCX3/sXV6Ano/R9oJuzeBM8PocRGtmcvsc/qwsN/z2XekwLu2jSeJRhYt/owIygOPwC
5u+ZdQLSmAox5q5QbH2zppKh7riyhzD3mD1sXm96/Aq1EA4qEDiTy0zBj7QO02alHQCegW6e3zUh
IyBg0eNLh17ZB0NkOF1j9eEkJvFg3vn4DXoCm3pcbaBaU7oERJao2QghGAI4TuxVenfiSg61mmWt
PB7PvAbYXEyPAn9xxb3ey9AfcS84v6smzoo9Sop8JmTbnovE/H5ONho2dF+Zg0OdJXp37/OZs9SC
/YJZQnfZ9MBVMKPYSrHMqS1Re+9bMGDB745QI0TAZJ5YhIi6fx1FrGj1iyV3sxMbA2w2DzcZOBK7
W61YKo9VNtkwZWnJOY0vU9BvV2aaUmhgvWe64qjS2J3RPvfTEo/bHnNQi3TaF7WIcV8IgMAhBgvE
x741ASXd1t+6hwnaR/TpPcxX7PvtxoHOwUHGdhB+V03a+WEH3jE1l6Lg6JRdR34T9dntBq+YfICZ
oXKC3BNeqoic5Hl8Yu+cucKG2V14+fJXcSStWuqx50rUdz3UI4Rg15RbD0OKe3K9W0CY5z0eYr/e
CLt+eDij3RX/ulMXNfczUa39zWuIqziHLQcQVj6tyyzncA3BtDq3ccadOupRLtHpoBRAr5s+KpKU
/lYK0u/+4mXXCIIftJmARpb9XovOuQHUvFm+YpGK+CArg+97dLK29NE2Duu1cv18O12CardoPnEo
ldTgtTbBYBDHAePKZ1gBr2gAEhGXEK4/4Hqhh7KqNyT55W3iT2Rz04OEPONa/RFwB9PjZwlfxLC/
7pQJWlA7jQeY/cCy+eyB7+33VSE8CqtUTjyI9Sj4mq9DkcWEvFh5jTKLJ6qyxgZo41CyLwB9sogU
lAcAIrWcP4vBOyXSY6OB60UIu+w0KhkSEKOfXmCk46q0JYgjt3HahdMmso59ed12SITz6jpqYbWN
NMN7j26JDjXdD5zxhc9I9mtgvyE5wAf7uYe8VUc0ALMnb3EzBA1K9y9JYs5+9SlsptKTfwaFO3qn
3aYXsI0uHOWCG+Kx+ZgALZqdyTLk7bJp7erwGG6eMdrhbRj+zqYDhFh/irMUUEe0fppYXVzXaEFG
zxUuiLMSQiQ0i+1EcbBB7YIfCeyNvehH7ZLky6COBynREXA6lBm0aN5f2WXHgnj95ZxZXcph9f8i
CP5L3dZ0czQ2MyU83DVTQnnyf3/3MPtXbmuj+OOvbmv/9Pjf3dYmv+HgJhkTVVUnuqqPRm6/u61N
flPRJogk4uomlksj0/t3tzX9N5zUFNXQVVUx5YkGufkPtzVTk0x8LrSJrvz61u/PdPEPmnj3tz//
2WhrIv+zkoOnPpFkURR5DuKv7/9JB3+/PmrhMmSS39cFsIbCWFFxNmM7XTaPTcqINkFNKrCge4kY
XepYC3YQT4bTeyqrBxMTdlZrlV0+BJCCvPWLboLJH8CFWSpr0ll69ijPfthPhBaCpcKK8/TVtt3N
nTzXRHBCNByy9U3vq7eHWA5H0exybttW1mmKCwOsTyzhFQiieDx1l6RsK4SVJaCJeE+7bXvDw1LK
MPN89Lu6R9ubYcR7ukGCeFZgmt2wFyUhkS9i8mxOby0F5IWErTvdVf8i627PVlAwhW0GtFFLApaT
Z3/Q7utXNcRD2XjGLb/7EkHYYjvxMgloq3tF5XD+NDHPHSYp5afR9qZcXqNGeNzi9vxqnVPH7k/o
ycnlGTF91hmJX8VtCMy6rOdmpR4LaXsXdwZnYPEaXHEiNTEBisgNDIE5yriy71JxFiqxaC+wi+sb
PEFVKTGKhi2D+EC6rfTf2vU6baS0w/UVosulwVW2xd2947Cr0e0RUudNyHfA2OueB9Wg5IiAR6rb
M9CvGn7IhIDyfj3vjbjsWmDQ+wPb/yyDyZ7dMUHNlBwHSoGG8kV/POkxxDz/aJX4JV/O3uTVOcO1
OHYFLGGIzAP2jdVJ8EsV5jPSOC2b+IIg/sNi5L+0omgTQ8EtURENWVQ0CNb/vqLwA3+tKP/0+D8q
iq4hojTxSFT5kHjgHwVFNygYqqxwRyPSoGr8XlC03xRdEqk0xL6omqjyqD8KiqLqqmlqGKqaEiXq
//ytgPy7gsJP/5OYk8tqLKQUFFU1/ybmLDqhVeVbPoFv8Jo9oPu25Arhw/eWVzCHgaf1tXRjTwDr
2ry6zVPdgDLi4mST6eK2gW7LA0InmJP4V7AG3TOhJS99JrCjvqffT35JfyGGzGq1uLy+19peM4Cw
HQYLpkWDDZ6GyYml3Fy6tdvEU95VSHv4pKRfiAYr/FLChxixGE9D+cWWJhVWbfEFZx/0sVYHr7k9
nMdppqTYOp6ELzMom+P1NdVZAWNcvjGD1tMLCPD7X5/3f+OlrZCWKKqjPZ9hYAOKWeu/vbQVDqm/
XNr/6vF/XNry6C6K3SkOgOOp+edrW8YTUDSUCe6gXOJ86/dr2/htVPjphDnKKLx5Sn9c23yLO5Ak
Z5XrWpvI8n9ybcuTv6nf//bUZfFvisLXcKuvaqtoPkTIfOLUn8/lFWkImE7lMxMUbIzZUu4KiDSt
13ocia/1q3XV1AO4giBpmGC8FyQfxEDk7ENlV/u4hKdFHxYBHhgk03nnWTbL36q3cgXQbjR29WZa
t61Aj9ghaq4xlCnCSoNXQOcswkHQ4YMWq/Fxk9yhlQBfZU15lx52n9zR5z+w/bkd20Qk7gBXLOu0
0PdjuU+mZ8wCJdbM0Ll/SGZALJ0yNjDTP60pjyolX2Y8QqDI7qCx1X2xOjMToMy+bYHwBb7nSBcf
B2r7SguOP6jhmK1zZ13wdOuXV8PtX5nt8laGE23V9u4HREcFU7AVju4iGon8S0Mu2oaylwV9mEZF
UC/AUmawuzAmlC3FvdyCgtZ39ZzhoA0TNb8tX29FjLnHDEup5JWM5HOIPIkRteGQXGfjG1isBp48
dEr9EeM2hW86IR/5giH5s4h5A3i+vA6yJ1zs1N2Jx0ul+2lDVphskxNqEz902+JTbMLy55XrAMZD
idEy24q3CtVQc+Ctbsm5SFhkqp9IJARQKrZ6Z1fxc/b1EA7WGuZ/SJUuCyazTHHJEECJ8jC75Hll
02LoqBWf7bzJMxSokXF5TD81fU73bmntE4PGJs7A69TLor4yrGI1obLJ1pz7ydXaSLwur8POBO0R
M+VHgc86sAZthcZV73Q372LI2v/kgl6CkFw+BspiVwej6Suth41BeK9yWW5SEHBosrnbsd8Db6tX
E2ELFqKX7oewzxk8Jg1yH+ssFPu6MsOqyqL8rIXaTjteJ4NT9+JyKB1jAlO+xmzvMpUbLOVf1Nm4
oecpF7dhkVZLIm6AqjrpxRSLYeS5DV431X7G0lSaMvj/11ZSXOoUPJVp5jVJ0kT9/1NJOZ7/Wkn/
1eP/qKSjher/jg9/NXmmGlIJRGq3yFH9py5B/02UsRBiIJBNRRwL9x9Ngqlp49zxv87Q/0GTII1/
x98sH/7yyv9u8vzkLxc1I1d8AcXQaZAO3Z2VHOODIl6C0z13lI4FPYL6YqL5+mAEXbpmZ05sxyvH
I5N8EUWBNISdknSHYTScwx7yO+33R6nBttbcztwLGvh5/WM8CtfTnvAtW7cwn3GHKWTRfafkhlQC
Pk8PM3leHqEkDv6l09xTnuTotE4D+oEr0m49cA1UPlj2pylrwmeQyXYJecmSuE91icW6hFvclZpz
Ns5HXep18OzXpjZj0CbMVyH9jashSI7jja1zf57J2YJr36EBX7SjPPPql7Dx4HdqyMqbh+533Lnf
CpGyJFCVyF9sZPztJl+y8IPj29ka/0xsqIcvhvzS5Y9DHr2w7byHQKekMQxX2AfwBtGuHE9LTNR4
HL9jdFab86/0GjzK5w5LQBaDHUzfx88w8DzOS9KuTiRUgCcDMuUfoKLXUX9j86OwPYp1zS8hV0s5
8Nv4CyePpV4fznPzuuqQzbOGYTcFyXhSLviSVl7Cu3LoGeh4lurTL1J0Z9cltMlyXa55/sxieOUe
yzlPkSfbwyWbSrt23FeeltKOZdv4tNi4LPmKBKWAFBTe+eM/vsozeZRue3f54+QesHTjO1cCg/h5
/qWwQuPt+vXvdkPSUv/dbnj1pyVfE2PAl5G/+dHAA1T4IsAxX38gpCWnCQQHk6YdW3WUmohaUoc/
8z0ejlk0u4cl0PhpyVf679ztN/wGHs+r5Mf4h/8AyBfP0/IFhzXgH/579E6pg3KuPqMnW5MTPF8R
h/2Kp7jiuQ+En/V8pZzzy2rSJZ59LOpRY6IYTsh+GdT1A2s5EUWWn0Eslj2GNy89Tr7RKqRQZ2FI
Q356uB1xNZWLKNDcTjrLhEHy31xhqasMQ0xg1FlD/fe96lj4/tKrUmH/6fF/qrC/G97/eQbDXR9g
BvsSU9VFmmQGrd/7VO03TcVbn/aZUqriDvvn8oqVrEg1liizVGXtP+lT6Yj/qbzytOnSDbIDGOzU
v/Wp56epX643rHPjUZBDowpZLswC2SsDGcNoslHQexiAoTJCSsOXvSIWp+wVkiNXMHwKcdnvB4fQ
blRY84nXWf08++imZqx7NLg+Tl0e6UiTH8CdSVRtP9UZ0ojRLcLGk4Jf2n3nHuolhDeneRvQ+Iyx
p4SyJHdHYZsMFRj2MZQ0SHEsgtXLAYIp1Ilv2Az/w915LDmOpln2XWaPNmixhQaotdjAnHR3ChAk
BAn19H0QNTaVldU2bb1ts6zIyszwcDoJ/PjEvecWdv9TLzK3DZilfj1jPMlokX00lnCH9RHJXIw3
/9KR/N+h2L8MwUw+lL89jv71/RoeV38ZgplCJz+E0kDwK8EPtGUkUPpGmal4PxOMl4UDbyKsDu9Q
wVBW6rPqiBJSAyf99Isgm6jzbFKw7BrVq8fgF8jgES/qytFOCtyaNnqv32MZZ47Be4Zl8Mn7qvi4
OSlsmwCXoHZ6yl57wkVwdwfTMR8TB89aYieClehnzmA/HObNxfgseEkkodrF/IeBo7XPiA/Z3FOA
83sGSzFpdCNjOQTNPlm79I5IUfkZlmz8PqWyD+E9+OWwdX4Qvls4Nl4O6ka08EqYBZTK2Mow0kUy
Yph9EQlI09iiDkcr4v8r6zDEFGAMtYaDEhCPk7ASPKSrbFYMwXPPRblRmDEn7v01WL3eG3YutXNf
NDsG01keN6dulw8ncA+rliQ1v54m7NSeC/Zy4ZcaXr1nYE6t8WX333zC6n9Rcfz1TmZ48q8fsaRW
TSnLIk3NsJFf0k0wd7iNiHUKu8EZgMN6UBYoH5u9DCk96G1IcHTyz9rq2e8S7qC8HVoA/np1rrSy
QjOb18JC1havbHRXljcRM3oqkmRMQ9B/X3leZr8vVmc5Uaedcy9BdXiPB3JbYaFcNli7hc8uR4CK
Klp0L9wfqITN3VVZ4iRHfmd5rKUAKZZjAayK+KUCxaVHidjDsCovfTQujrg24SfcKfttg2/EuONI
U+KZ6Y8JC+PPlzu87PcH8OJlpOI+Ei3EtQlbSBTgGP9FXFgouP7hOwbeZ9lPofd4ud+/uMTRPnkp
dk6bEwDJIgv1wlhhAEz6xQtEKNr5wrXIqBux+eavoeVNRwmyCdSF24rVcvBkt4lAmRUwluzKNr8q
kRBJhxavHvJEbf6/ajn8dzWb/uPf8BX966g7er9QNzpXSHVQKZq0m2d+5Z8wywOyMjAVs26yhq/l
q3J5SmeYH+psTDAmiZ8YVPXBuXhP/QcZlGTQon8ZJ1vS9ZRxN022Os0wYIErDtqZcvO64TOEQBSX
Bx0EGEznHnWi7vGKe94dplYYsO3Kbug2k7E2NvqRyvrz4xVsWIFilgf1vW1JlCdVx71qDvtZNS5B
kiYR/+pTDj9gh+XLyTzeRpzRUb/mJaUjy69cAZc/Um5YQP6L3Csj6vtIWyDwZtccIGQfuGGdB3by
Nj9wBmBjcaiJPs4782R12TFFALXgPO5Rdfm6gm3liA+IAGkzCoFIeuLn9Xusu2gOQIvYmXZ+WqsP
mZLYYuKCmgRr9YWOrot5KcNJ3SGCT8f335uE7u0l3eg7RcWFMkRmoS1RVhj9piEwTuNH1g9oKD5N
cL+vntgUxvNzYL3hFKwyVHF557z1tYUSpiaU1WUxuHzfHSy4yW30kLzrybyO+mSf1LXzSNTRNV/p
6ukKKlJBrWi+1wZfSVIdf9H8phTN93ZppCazBXKcnsRtAvGrEMh8vH6JY8QIXk+nVgCUs8vlKxoi
n+GYaQjvCQcJn/kq/az59XPg9+i6x1+Jn/Jhid6ThatEPboUGGzc89X17qi6J708fhj+eOvrgcPi
PX1t3vM3BHRJInwAzxH7T1zD2/JBQ07scb/gUrhWU94mWRjU5nOV7G/p+4LxAHmsVXIweC8JKwOt
97SVfDSkCBLSFeEMxAaOlYzd5mHTV6w3QSHz0VgHOUf2ZBICX+5UgYGPnZYe6IcLasRTp3iE27Wg
+p5OsixGSvTe6Kd8oe/rab34zMuY/klnZxKwAEQ9P5FOyqmk9rbwY7fQpqTpm0eFFLfc3agEYeVG
r92HX+ND5aOICUkhgWC1xFFo/6huApNhk7Ee2F/OUtCdSdASCFfTRxmcrMCgmH6jTn7H2H3OwzWM
xOo+/vABAoJs928feTbgbnQc+HZfszyGJDUwYgb3b7W6e1bUHhYEo4XE9pGj9isjaXztTJ0gDsFN
pgS5rFREliWqjcwt5k+sQx3HBvvZe4wxxc++0YNYLLOF+fPYsyOBXyw8QiEYFATAX8ZIGZxBq9Xv
s23Dkj+fDP+cTLQVjIepibOYRxEOIcC4fKwsSYe1vxl1h/NUHmOD443ukMmjj5tDjr19F9G086fI
9jZP7zktxi/OVJ0fd2GeqNZhSIk4IJ724UsPM5fEnPA9UTYdgGadV8vI5cNUZi6h1iKtFxnZZVcx
XOa0QYXN48dWJ1UoL5XchicvIx0v8b6a8VGzt01Y0ATBRzlp6/uYLAxObfdCrlsD+Ofm/ejz1+Th
687xfRsgFtj2i8VzZZHyMKgE6V8eoVEgH0t9tEO/KKxH21/87EH+hXbGXtDcHhAl0/6hGaW1QOpa
RZfgjmdsKOswHEETcBjBW5N33A3C6pIVtXNG0uzRbKAixd4w1dAx2Z8dmpciRBtlrW+Ja04fE6if
YRtIiHzZ0NNULxFcIoOdlAH+NSjNjkqMCip9/tvvdw6VzX7v7+CrUajcUPyU9gaTnrxECep+U922
6FCM8M1WnIGesRqAA+aSmNtfzTU9C/0IkgLMEGT5OlYIcMixokGNNCUx1GZQZS3RGs+aSTEx55an
j3NUB0jUo+ZbHGcQf8jazFxcbaJbRZk7aHvR+5ghl5/o8FaN7gglxy9e48FY3YhE0r0GXfgAd9bc
PdNFd7BUXhxWCAjwR995sFk9xncuGbzxljs5ljOUf3ik65+M7/Cal84CxmiwRyZ4wJfu6N/P8MrR
K8Od7XxODuSOInxUzCaxMDmn1IB4wp0rmT0PCjwZuplpj3lRYBu1sYgfPQ12n8EuwhBxRKUaXcbG
pHEVDzG1j54TcX0yaD2yccHeEAwbKnbEMe4lPns6V+8ArAwB3co+FSEzxefkW4pA/F4ogeSpAhUc
WTGgKKaEKAtdoqlGv1d7QyIVMKZ60q1kF5P2GVkUCiFj/vzTLfMRO9XKDGVXQtCI8IXImcUcQ3PF
FtYjPhy/9xagA4+NEjE7ZSoqJjhEe/LmmIKek1mK93myqxH6h+yGPFIPSNQbqYyIyfqOOFedM1oQ
FGHlHyreVQZBBzSgiJ4e0kJfVcKu5qrYSK/la/Z2hBgnHu75kAOEMF+3mgvc0/xWaMuRMecoNg63
Z3TLPVa+9UGavbHOoam2e6ii7QmICRZ23Hg0UlMLBpFIPk3M3fe5R2zAdKQwhstJjpYPWiXVHXXu
zVF9bDULa44JCuk+BwNFNkdGmGHUkKJ82eu4p5heON/kDgTNL/pvqJji9IYoL6Qjcr4krFs8gCt3
QFGl/nPzGllQ2KnaTGzoWN01Ox93Xre95+wWDP6UTwZ/oUPchgYQa5HAdIp70CtCDtJBfBTcQZU8
Dn9QG0HGxMc+MXiBqYS7BTPqB5kTTRICXYODdLvA/sOZSY+w1RxuDTRIHhrJh/1Bh6tEZJmuuDDu
zvbtVtvPVgZNogHIAbpkcif+br6IpUXQ0lF76zFSKxRAuDHOKGuZSbtvMqnJn8rALKDf5hTiQrUN
r36GXN87FFL37WXd+AVlCtGEkTUxJhrH82gX/5JrziaQmF08g+wRSY/yAFIsq5GG22CuIUOl1Vrk
fZzHiMOJfLVBfSUU1Q06+aHlgQ04zb/4ri/O3gZEjl8P0AAqeXuxQDvvDs9uJHMvlIcoKP/IznkK
e9Lqrji37dtnnKmsBwUk+56ADBDQRU9HsWsX84bb/JKs5mOb88PfhJOi4YcnNxoxI68Lmq9LGjif
CUou8i6HkzjOjy12psy/8SYNciyDu9EpFoovOwMtyHSGNtpFTH0T2EG8fiFcqhPsMYAdlbmWcZn2
LkdtXDkTSn4PWEfhGxfEt4hnlX3Sdy42xZrJI+lfXRuJR4p78lfZ+ue0fygOCr8/fubJ/96NPrs/
ohHJYzQsWWX9rv7/NUIq68h/GSX9V1//z1GSwXAfdZBF6uEwNfrr2tNULU1CmySbxr+u9M3/sMgI
MRnwsBT9MzP6f9N68z+IjBT5KlFSJBOZwP9onKT8DTz+95eu/w05OSTxKfeuT4JP93A6CoHECjMV
JOe9DmUYGPpV3d0469Say14lELxqmvE1oZQve0GwlQ5/vYiA8XU3fMiVNEFtdE2iaz6u5S36GNpb
zgSj+4zF+0diSE6Abqbk/lOQcZZJsKrabFdVafjoIWO9W7fusX2nDVYNDUiiIX5VWPmVNzusW7l7
CPFDNlEL5Bi1UNYWhcdeitgoI5IEbU1L09KadlFRUe9C0LYL1LWDuOeVcl4Q/P1mZWBf28+SccHu
ytkpWh2Yivu+lDSam6g2LuHnlZ96UM5SwtqypGZrvzv5u1EvcWWqrihRPjcf//3pvfxpeSUDZInZ
0gdHl1zVbvkxj0+thBD4LGl/ekvtvOQizF4V+eLmCyhYe4fZURQLgVFyenmNM1md1OXFt4TcbruW
R2KvCeGz0ydtW8dV1eHOt2TCBswLqQA6Qqd3BlxWfNJ6Pp7aLFd7WEOvy0F8I10nTzq3TDvNTTfX
dmofNHfDvVw6oCgS3+Aylc2a8RHJM1WdkmUxvdZNYPXPM7FhuW0BXrPWzaf+cy38rx4uKzrJp6LF
PTtElf5lKPXvqkGEC6BS/6bx+fvX/+VEYIKsGJJFspP6Rxr4T5EPYkLubBGZBL8MGol/DpiRBHKA
IDlCPfQ31SB/nKZyjkh/Rs/S/+REkDma/n1i+tfXbnAa/nViqt+z7na7cuVUpQ1UruSp9wxUCqbO
rr5oO9mhUA2zV8EpGjxXKIAcOml5fUnCs+6IEx+QgFs83ETx34f7ePDFDqyAMmpgxehf3VQjNwjz
10b+7r7lVY+H+wPrKg2uKwm6F+OgzzKJX9NH5pDeAA6MZdTuujLgOa3SBWPQwn/PYIWNs2k+Lt3S
Vwctb86jGLZXGWcH6+I3Kzy1xDji/GaqCXdEPkkIF50N7tQbfc/VJhPUx8f/LQbmsSSGaY0iggqP
Gl6TGANS50DrIXuGGS45CNHTvS0o2s+U40fMczyRR0d+XyAsjSVuxdL+2lHl9kB0gNEEt4gJoTO8
WDE+Aio8BZULA+4k+Wt01gyd5Z9Z52XeEsSXbTF2ZSaVM4xTHagQMGaJ6ZzgeXk7Uf52CLnGcWML
aATQ1b80B6JtkEXyw+8Y/SajatWCxaR2/dCdJaPpAVVB4v8UceG8AiwFpMAwOjPZ5n+l+em+T+Ka
l0WRu6QIj/H+ex3gke3nq78SXVuvRTRWXkovBMVa98r5/XD/JhkxRsA/UC9N2/wxowcHnd27ckzn
ut3DRaOSncieYe8HqD2Fj7hYMKKb0DPZBxA6xEMYeHtx9y2A6LBRPQx+rQxo4JBj8hnxNw3nwtAr
xjjKvGpdRBppj5nb/+CSGmMnFtkRfkFIwAid0HWUSL2Kde0dzFlDT1luHsG3tqaKhgeI006LcPNi
pbsOOS3sTT+FN/QwcE0GtUw2RQQbPt1PQHTN6HGQ1jn9jfc5SkS+sHWmhKdn/GHQ+P7mX8H9LWl5
lwC/tDAz/BLhT+N3m9RgiN9hzt1JoPSBfPFJXd0s4LMPugNDq4+PgO1hM9u/sk6A0wQ46snlR5jN
LSaIEo4Yf3oNYRvah1tgudfwWBLUQBNMtL1bsXl1Ww2pfzOqfwy2h0d8E0cWkjSs3UgM9Z1FtBNf
yrDCcCRaJQabX9X85WdcSTYwG8iVU0MHWoHVsWaWP7zrLsDrd2t3K8n7YAZx6h7AgO4XGEv0gNTH
UcnsGNkH/vaeOn2NdKhZiAsT2+xYOZf4jbbNtpoq43oGhy+GhszmaNee+lHFz8Zg4hfm43VerqWx
vuV6ymfaqYeL9QqMEyMjzGZX8koJLy3QANumjp/lAoiB95ifF00fka79WP4q58m2XCnuZ/r8AFAM
NaZNjW+cFNI7SjRUjxm2z5iLkWVyeMUudpKpthnhT5l25g88fQpFC74Z5ozMUDClfJMdOH3KY7IB
i+iDB3XMFCZJJ8VpGF49Bs1LOvvstGawQ8kncXeP30w0mkj3q7X0JY/7CcnKr5l6qkzaqtP7WK14
m+kiX7OaBlNjCYznmdfzU8yS06twoY1bjxE20UfMotuqvftEoM+2wi5+RN0vvCLY+g6qI9mpMSgw
02ExlB4EaCas9vSXo1MsYT4vqGFcfH1aOLw7tzD1IEJZD6ZBxcLyGz71cQJ1iD8zBvO7FsZG9Jjc
YzxbPzcanQGOzuhlS/qRK4cciCVmn8a7SbaBUS0NzHT2uIUtCa+Laxqwpn5cIxUsWG7nliMVTifb
veCJpWvuZSg3PSGcsbLhwE2SQPkp8XYwDRjmZxrN/BpWedAuYQnLjHd2r3MCvZByb5yP8Ogrk57z
M0hm5h7v2QX7MaEKWyJ2mW3jjH0kSwwLPDUevvhwrSvMOvuDRgw8C+Rp06/vU4ngkNnjEqiqrzBp
g0WEMR465iUoH35luMlzZM0kQC/bE2SPnWT6oP8ExkeRMZFe8wuAIDK88IwBDixtXXKbvT4mzN5H
obbUsfBu9eATv07q1BgLvCZUTWcBU20yAYubsuGbK3iNEJwCRiopm2moJukXKLTxZaRv6zlC6+II
bVywrekDFjTE724zQwU7ksYD0BSc2xOsyFI8FPT39S9H+ZvsY+Kixm/u7+ekDrCYqGd9Ji1EeDlA
2Bi1OsoC/u5cn/ehtevXOabNLwR8ZaTHkDRrAA9vrxmCyW1lzDUxupWOtBYnLWbWHzDuVTp9ps7n
p5mUbEKBdwAO4lgrPfHnTW9PGsH5fiboDqhWxskoMLC7w5fTXm6GhTzFsmULy1tAW4mPSbv6qgqh
lMI1qNjJtDXhstSVj1U6Efn0UC6CDd018E5WHKL1OmHx+EX3Oakm790lfvrqMFFZQpkbGLYZnWtM
lbSQt7clahMcTPUBywwRKtyKrNvMU3FgZsJIeMU1l7Or9XXMhJtOct4/b6hXBABQnkT5AhnHS59c
Cu+eegg8YH2mPiWAQa9SQ3ZheynD65sUAKZmtzN35x2UEpE0OdTUtQDMHqcEm/W4VZxkmEHOtDq+
3eNeHMvkGZyFIn5qYcWZC8IOTsFg68NttHrmIcS6bvOZDOp+Pt8VD9Vm0vMumjaTLyk8sTo8J4uS
/iNi2DJpCAWmXU+glrgMbvkh9cQR7u5Hm4k3n2mB+sJ7FBj30b110PBdNMZICw02kzWXeWimrgSM
zK54l1R78CMe2+MF/7vGVUSNo/oyA0A1JKavWjURm7+MqNPLQfmC3HbFj74QJafSAmyM73zM9tdc
knSnHdTcM5WQOLFpE5NGveY2EsEBMJOfXxlQgCvbcfny1FIhyWhoZ1xwE0y8l+ZvRnV4GvJi1R9S
22STrSTrPfGHKWlmTGvgxd/wbf8kcr2vTJMKhqtMRHg5PEWHUG+kM1doizQ8tza6M6ppuarKFSF+
FSvxI2TLvqYAco0dq0RMbp4genAuDEb2H/d24cQklwr1VDEw/DXue/u+57VlRy7fS+6jGJ3q7BSt
ETpxMRtrwC0YMZEszxr4/ASOLfryPPk22fnD/A01ssKKZeehMNMXtS9PixEkgRqnNIQoaY7FvfDk
QJoRiUoiyrH1h/lZxmZ50AhDmm50bs7BAv5nnDgCXcvPComX8piWbPYPPpv/YY7ajbkYOr/edswn
k1NN5iLrI/yS8vIjOoOWOMCoosa9uyWum3qRD22SyjhyTVDp227gzovxE6GrTtEmOwl011n1I52E
ad2deJSUo94+CbzdUiSzqq5Xxcg6ZBTJoNVdgV8RF4EYBwMUN+yQCWfLdVSlARtmw7bYj3LMqsgi
9PSnZaaJggmlEiUpW7QPI6Qum2no5UpxbaU/BJZOigE2eqP+qD35Hrx+BOaZjG9VGwLyVIIEn6o+
uzxmliQATCj+PpxSoCtWiu7LJuoCTKtRceoP7OSvUelaVGdfCkPZ8e3h3oswN4Lb6BJCBXQW2WxE
IevB/QvkKamXDP2K16Rp5yinBKhtGfXc8YEhO3qSX/pJfy794TLC9MIkUxglTAgBU/jOLfXfKZ+0
ybz2MajABUS1iI7RLWdTLLgmXcUS6Co+WW39+1m9HQVyQH18seOa3b1qxPe5MfjF9I8Y0Fedx1kw
sIYHD+x7/BD3AZLVwPrBy/1VfDhxRVbQw0LFMRGVXP3ybC5e07u5vL8Xtepw9YBVMtAc946q2cXv
DQE1C3Bq8/Cokfx1h1sXqXjacVTiGa5QoTnKKJ9xj8qpl/00B/AT6iyVbWaxul2XW7ar8p68qnm2
h0IL0uMeVMSEv/zLcQ0fF2UbrQZva++/cWg7Ehp0ENJb6J3FLbzu+XtFAIvuCptuTnPmz65cHQaz
DwTS3mukHLiPeDw4xkqQKGp6F+1lhX8p7HlCQPNsoeIPTAtxmRp2fjbGDcXsN3HTg9/ZchKf6EBY
s1BTVeIq+kAKVG4MLWAbazk/Dxeum3cLCaZEN+8NDNVcspvl0eCbPhFyeGZg+WsYYXx2YG9nFEnT
BIa/vulnLbdeYS8eAUChry0tXn++Td94Q8UtS9klJS3S8HT5mqoeD2++DwtxH1M9+qSUux0hqeE0
VGyNR0TmgSqXpbeCPp0n0nfpwfrRAA2sCaEfYzD1OBq4f95IMfiVlZ/iIpoJUgHvdhvi7merk6/Q
uqOrSE9KZHFrMLxFFQ4Jzq7aJYN8Ay2LiDf1gjk7qutJysmdmCAqA41uLbwyqsYFR2asCEBw8NYO
+5APt/h9rxwHbhXSwY+JRX9sOlz8WBeuIqHVazkAf8kG8QI7BIqe/ZwLJowKQk4RbvD4oG1+L6l4
14z5wiEgh+UhV5EyEVfqZdsVIXT4R+cwfxtDiIMrxVPou6IVAT6I3UB1nvGIrRwfbJw7vwiEjIYD
mVEfPcyqtKfku7FVkGldKEKFqDrR50CQCvuvYXVps6BJiBOAqsQf8GBD/qqmBUl7t+E0YlJFHES3
SvrR2wByT3ZKMuNpt0bnv683wgFKRgJDMHgfFvRDgLwavw/e5OjgpaMAVWeXdfvLXYApOsl8K26x
FufznKkj9ocpb2xGRuoquy8zfvddXSO6jS3NrR9zTdjCxKz0QJiDfwkRBEH67bx7dJu+voR9G1UL
+nR64giKBjfHlWtaZoRwj+Bv72+3xWc63P+spd2HZ3xVV9Y5tkSDx6lHYuKbCwblwFCny+5jCkjW
QyPhma4w1XaK233RtK+yxR2g5vyDCY8/HF/C/v2LtWPZrYo8FGTin9FsWahxQIRyqFGXlbxG+60g
krBbwJ6UyN/ql9rinZ7gi7SvuL5pt5jEIrgA580+p7ObWXvsN6/ZJ3evRxD5ljsq3evbKyscGdAB
Vow4EM2QadDbDDhl501bLXBgvPi7KEYty3gOEECViBmsA9U7CRXUAxRgkBoIgsJkDwO+Xb3YqTs5
ji4T+iq1RatHDysG/7mBiE7+HnxVlDtg0B7BzbAbdis0MUAK63ENo1yB/1mgQBkxWfLlScpCKw+U
cfIMDLR6F1z8GNZRw61oKtuInl6jumJ/90BExWHF/3ijjlUs+M3C4PlDOOFM1qMzYrylyGpvQF0n
iM2fS6oS8/n1wcmCSoPECi7mH3oOkbegHwM3KZ37XI47nBiq5loq7zN2z2qrvs9XkCjGqYO2KwvQ
7K/p8r2G4j+AtygbxZ8MtJhJtlJsBoT3wh+kPILmeN0jdC/6r5SwBVtJ7OYnIXRplq8JXRvJkk/i
bpiSfPDZNjwU5N9baPmARWZDBMNPEqEQDO6nPhAHBgeDl8z+KU8CUVKXY4sigTUUpo34M3nM4B3c
gn5pfs1S1oJTxU+YnWz5RWDLfLFNohjJwmb+RZyOfVdsBX7EJVCW2NCHGtdAGToyr8MDCi8RDz0M
Rd/yxReAr9dx/sVj4rtHJsefkoTvbGQmvjnOYDF+86Gzoaf11y/EOVOwdNDW+ag/MDe4mBDkwR/g
kEVAvekj4gXoRV0uAnVDM8FF4ydItyGfkknTTxP/A1IeSU4Z7+a7px3sHve4BvH1Q2wbaemSlnq3
BL2Ej5oJBo6X76ChO6+NxECPZ0VDuNZcOZZXpjUQuGMQlGkkTK69U/A8QtxpgsqS2FbLgDMeW4V/
Uhb2OHvZQ05SymCKmsy30J9MKv/6q0xKznOvH2SlsCPUY3qbN0BGdprXnIuz4QH4wAQp+rs3t5xb
sw6lLUbO+Yoo1edkla3ozYfzkzg2yKo32K0GW1V8R0hyIioWxe9pyzkdgEzb11hz8t7TlfFjyZ9J
BrTzg7uXK5HEjyH6Wp8/dsamIiBCWLwrP5vfOWQyH01P89y33N+yr77t1Q1Ucc+acQJboh3UVjTV
AZpHgbTjUBhXI5ayhK2V06IblXA3bJRI1B5TUmVsmHp3KsbwMjGm4IIuHBNXB/j1dU/RfexH19V1
Zk3LkfDFZfErTKRYidN5xVClOAgv54HBweM13I88KKAW0K7dvTagMcvZhev+dSRN9NHl/A4G2pUA
sTcTbYXXA+7eu9oxKZGAo2l1cJbSKiC4tIVNP73u0CcDSALGKqPq6TbX1n/PL3cHzLAB4i540JlR
d9NdkhV+959lzGyb8la7jOWPC3+YBIAO1RspQUUsIu2lhtx/CLg6aeHn5+XMxxeECfaSQQw1g90a
oRhLfmEzsOH4uDD/bQVSgrRwCTv/4xMJ7jQRJNPUSeZ8R6o28HbgZMdD5EvGATxb3/3Xz22jzuXo
EuGzjXCaS4wlLbtM5ruUQLZkPoZGQ9lLagoPAXBZ7KrnGUKzDPx16vYvFCh8tky7cThkM0aGFetk
kWfYCGWuwjt0RAkh8f0brxNurs6o4+3o4vizesRqwbjr8WCkXL2dJj1gPMhYvIVq419br2vmDIsa
BDOykzIWBKICX5ZFeh41lyOPRyCJ+TViMf2YY3KAIt3M6uMjmyda1MnLO9FB7WT4r6Ocwl0dvUpo
vg79vNQ60Noupafc4k4cG8wJOCruPvSY4rP6IMhu9C8F8EjjC1AcgXUxCMQQAYir4d4CKR5ZqZsw
3figpXPrhcJcaoeL+DxcXYuMzHgQOK/Tk5QIV04WxufYc38+AqFbxBfgJ2Bph0FQ4+eUIu38Pqid
mDsMymdM9uMOqg5cVQa9KhCPh9eBI+L9EKgKCZ7ReWTA5BIxZD5GKaQeM9boyLvD5aV6PUb+s6av
kmaacpFQ6BIKQIYjkLuFzikAnBwBz2uBLjA96PsHzFDqIr7+9Q1w7U/eONPgG1dq6gntgqKOWSNA
VKCR/2ewpf9vtCkP1g2FXRgwD9kwsML9t9u5fzPX/dvX/2U7Z2Hc0xAC6AMzhOXXX7dzhiypmC5M
aBoSf+g/t3P8e0W1DFU3xH9sA//prpMMWWVx9+e1qsS1/Q/cdSBL/raw/9vPjtXuX7dzda9fXzeR
YrifMRsVGT9cXwP/Ge0T2tmZMvuU9t41Vq1/j1qA97SOV65Mv0hDCyOuHEsKtYQY3wrnOb4ji68B
XJ+313GzkNleQ3YcKDXcnDsSrj+Y3Ap/YL+LPES7gu/gfmvUeRp7NpvSK7O3wBtF8g/m+SfsgnaG
XLv9/iPKRkTNwzxX7G7Ko9saXfGXuTzb0Yk3FL/1vDsSQNyhJ2fXgv7aGiG23mTmjpCI9wvpH/sq
ghxiQ8QnTI2ahQBkU782Wb5LLKGyjHy6SWoMA0ad/Vge8W10xeeYtkhS8Lsp3ztFF925TEG/QYtQ
yQzi8ltIPVEjRP9cd3wtf36hsxwbXlSDb6PlpqSgKqDCe8yZ0JgzPurZmUsi/76HBiZGtQOMiBQG
9gzUMgU/I3PUVbv8U05YLVSCdTdr3xvVpcyGufkJ79gCD2YVaEiTMegA8CN5VVoxfeKfrZhHHhJh
GoQRTTuriz/MussYYJNoTvgHvhG/tovLGA0yxwyLGfpddfr6qTvVMUkzDZri67a49jO5nyerFJUl
7reNvBueptC1V+KonvSTR9h716UFaZNz+yDb9YZs5SGOkXzPZOAvt0ue5tUZ2x1UpjbAToeXh4+W
TtTtYCo+NkIk/dCpMaSbdZDVlJ+nOrp7K21DmJ2NW2UhLKzA3KM4cnVo4vRCpDRILm8dEbfiQT3c
WMjZdOR6AOvlpEXGeLAk5d8WFD1hxj5hWG+QuTLA7xsk8UxGeaiuboskSiKd+nEO191nUkAel3P4
AuQci/Y4YE67Zpl8rPYtp2uc7U337mLCmVNyY0FwR79EubNOY0DqpOFroT2Cu8i7FoozCbS3stcU
38K8gqdgczmD14TSxUIMkcSooawwZj0q7o8eteTlMe+6hUYf4MZ7PuO+X7Dj4YjXsu31uX20XgE5
lccu66Ay5tDvoBc6ah5pPwVwJihN4HVzn2foS7Jv+xovALDw/fvhMRAq5OFheKVnotwj6uOn070r
4t/Uv0DdrTY1yVXCi1nTvjZrJ+l/DJoMbqdpuXx8GZoN4YIaiM8hkJzp1Q6HnSc36tZcsCvfZ8KQ
zUP3z6Dq/o7rygO2BVfA17fy5vpcSDmPUseQl+/3JJ+x36d7csUv6TKn16uYbQ6lHWFdiyyb31pP
ApPPPLD0uNUqNRYI4BiamVibCWSP7I2z/Ft9PeYMbabcovWqmTxXxeY1bD3TTfL9PHWHlJyHIhB2
QnpIRxk9ALOM16rEQ0L7jNgyAJyuj8zcReYNpMtk0sZCZPQrTzjGmKyp3O0dHSzjIjq0Nd3ZVAZF
TLiS6GljBj00ioYjryqK7hysdZuFiJTJXSaJy0a7YxvhizRCaqOxKk+Et3cZ4Rvhngq4TBBF3r16
Kr6d9Awp1x9Ukm8KTFq+NspXVZB5tBQcc3dY7KyVPTwKromaAZ4SAwhAdeNchFjXekNhvuztV8w5
JW+08fXJOGwY8jzR/v3SCU0yjlIWAs7l9D5X5nSyt5hwCVaI+2WGjD9+kt0gEJgzhCAzgq9PhncT
oucocVOvHZog39weRWc0TBnhLDlJ45eLBxvALRGMnXPE4HXsCf0pLI5aK8Ekgwc5tk7r9WVijhlB
wdaDg+2xFQY6dOHF9875FpfJIlP85piRuUnYCqOildv7Oov/wUSYeVe8SGeWRs0PKnWLlh4EqQu/
fwjIYgQxtJthib+AT4lkHHuP5PJlnzT6io5idHV3fwxCBmzqaWl0BeDocIF6w5jfflsxdqXUft+A
vg4/E4ctWnYYbVci8KZwuKf8gIt0dlklU31pjZVIWqkLa8Y0r1S3OfO1bqErWAeYsQ5S7Bt83Acf
p9R7DBr4SBgLpeNL6TI0Sph0zo1fjsVinu4TYyKHAPFC2GuhOm1nNPzmQmY8HGfLIUqvOr5Bs3o6
8NLLzhqr02JnzIW5gMakdGQ8kXsW7zfFkxGb7Eqv0kOoCtpEncF5uk+HRcx1pNI/+BmQce70gfd6
IfHTSabEOs7y/WP8oN8cs+Um4nBJS+GyolNCRdtYfF9GngjQW2bYzSAxR4kOqbANryYX46C3EGcY
c3iiqHSY1kQE5zFrh0iJuPzC3XldAjZmBVUCeyWhVovwjX0xFNjKAZdKwRki+Dr6X5qANhB4m4jP
MwL1TCqwnzbONXGMTRK28WtcY4/Ip/nS4o4YtUEy0kOeorc9jM9Zs9OnQAgvJ32T7997ZQgtgVE9
+k/uzqtJbXV7899l7rVLOUzV3IAyCJGh+4aigZZEFApI4tP/f7Jrzw4+c/ac21N2uWx3twCF913r
WU+4sEvQUy3aFavd1f+g+IeEoszZUbEwd2v0DZhvB9WMOXVYY3G7kj66+W71Zjkg2oGcQtyAUBOy
7undN5hoLg53+F8CyPJUN9PC303PMdOySVn0w5CAFKdnO2Cx+HoMjTk8AXAPwoxAOIR95bf+6UCY
bLfN14TLEP/7PL7mCFgxJdrsHL9mwlB5D5S1lOVNcGaD+CrRf2K598XXCiBTQDNeKGKd5qq7dFM0
C2cfZI7sBmFN8PtXS+fHEHWWsQZ+9Q25sMdsP9zFH+c51//yQcjQ5k7Anel2wujicrdg1Xwrg6wO
X2vVxSGE1wnT2XXF9keksEC5dh7fuDQzhhOl2w/+VUQvjQ+SipKMrYin97o2uAXE6XOcjdFyiGQS
kwxGiheEdTIws0DcluN0Lnx3wetT9sVNFidYcKLQ+paacOew0BbDRPc/SIVPAq35fGRjsXfL7P3H
je/HtFtefT5urzFyaQpfkTyiyrpjLQK4eEoxCn84JUlpGoFl5VraYg3P44+PimCFOUMwIdBq+0wj
+/L2ezrWEhSfUf4031/UIWTQs5+xmi3r5Q2dXh1WDfzzoFki3whbqELdqCG5mwDqp28O39Pq0IXA
ZGOGyhL7UPFid+hJNUgf8S1havdcgIM6PQspjXZzSPEysGCgIzb7UT33KYRb9RuYVKQ2LtxzhLFj
i9rMb08o/+XBx9O6/1e3XTCOLUORNFXXdOzEfnSYh/Z/J6fHvyBFytovVoq//PzvbZeMXyIkSkOT
9d7mTP9T2yX/pit4GJpW72MG0xHu9e9tl/EbFieqavGFn2TKP1T3fEmFKmliJ/XTgvE/abt0XuNv
InLk/rqk65BBtZ4n/temS05x5VPgeXsEWw/BR6FdJOWgoNhAO0pJ9BhieCFQGkAtayrRvV8f3K8w
7IvF6yuBVNNzoHZ2wdwzshj/wAsevpzX+rFkMzNCEWECYoqeoKaH52bZQoZ6+FAWhA+lT0Z4LHqt
Qjpjn5Owx2bxHDHH5a7XPqAd9yEpKWMFkhkMByfZy5VC2tHsP129f6GkN3Uorb+eBJPuGPqqruEr
+deTcJayxzPNQENRD5CGhGGLcmhudmL1lQ/xpTqzbxGioJPHrKxk9UxbxxJj9pvrJHe81GYFipKR
/A2biangtCJs2ZEbW5+hy3+MLvixPnsbYgIJTL9WWVYYHkHHHslkAsJvLGNZofRVbE13ku/HN0wK
8lbwpMLzqf4+87qJ04kfsjGkI64JW6B6SmxZ8u7H64d56mnkyHZuOFn5bwlDmbhuxrfNYyQ/wHCW
CjFB6Pt3NIva5xuXZAA7w+FgOgPn1NZ2MAZsadlBuLqiTiLUJbzuiaPvYSlbXl6/mAtIL7eAlULO
R9Ad8Uo0zkT6DCAswNtqHoQWA+7nU+uAFn1qjR/fWB5vCWLUhq+tddDiXcTc8I6bP8t7Hr1ObSRF
uY7aURy9T/URflC1lscvFlWfOeqs3CNKJ6Wk2yhTcQINIX5BdJ9obhr8uEWAApx+Et0j/Y1KHKUc
7HxEkNQ9Nel09eQW1qcL1tEjEowwGXtvla1AFBmuwJjQTHpz3XfvJ9awcqLkyyMLE+zmmI6QF5IS
1AcF4bc1Bi6/TQVi8/BZGbWxjEobUZsYkV2ckekmzHFHDt57wTPIly5n9QxlfsiZhrXxXJUQPBgZ
Tsv9G5CC0B2qd/pb8gRvIX2Go9CrcQxHiZQRF1BDOsQUX4mvXuE1QbbDmLiiAGrddCqGVpzMi4BI
2pl2BC9GkhNhxTlBT49KnAMDgjg5elOcfqkqdahGxvLFPShRQOMZOJGX0J16zgcPMYqvklxDbQK/
bq8ckn0XPkYJmRqgf7bKA0bni1bPx0+CceK3cXiauLIJCKX2MgS826jzaRrT2a0cWlML6wzyiyAa
TUs06Kii7gjF8/g9giKRx08G3tks/8odzXs779VzcVtkLqKdIdYDp9spmYmnhkxSVpsIE/5beLfz
+LpggGF8ngUb+5kNcGlg7tHre+lXGr9idd3BzTk9SMyuozeC4LtfhbotfaXkuOhhOXnFRdz6Mjw9
mYEVfFz4fTenQqUFR2QmEH7mmedx0RuzE6EaY15BCbMS5jeCWU+1xwwRq2WdbogAIpqCEY5zSyhj
0HamJutjwGzG7qbopj8JnKAKYVvfQQ/7Iv+7/oCQQhWSsbfrU5ZIToKmecnsZjIb6WI9ziDqwXb+
kWMKiShHlXh5sin3DUdvcWIQTazZMziUw0qGQaRc+tg+j4t8f4UWoSS6rUSMIwZZ7yRg+GSeD3ty
EhTrEZNqtJTEp1AFnIl26LVfOkT3gayH5KAQM4mMi0hTifhVT+xHhUScQTmCpkuiU7ZI3B/pgaxa
gmsFPMd+MS4nl3Jae7g8nQfqtHQ1WupZ4QtzbD9ucKrlsOc4vX2y6YSJOSU5gU/j0ESRAQY4MISN
DYs9IlYF/nr28XBFv94YzK/luHJ3SDr73gfKW4ZXyh0VaBLgHID08wyi4qVOiu0GpZY42Pd0QrhH
Qzh7/HP16ifs0NrXYgEpIcXZDxmyNt3NsQUfPWIe4SRuBvqE1LTJbV5NCazEbmhgzBP2tTNIVW8e
OG2ieqWAv+nagufE1hlOXEifhr9OHJxzWVVfnWpnpwfW9NjuoYTjndOLLZT4vCxNrBBgIFL9pkDn
LpXZ4LzoFx2oKQuRpSPx9EsJdfMV4Mfg3YgGYtRG2XtlRJpYntbB/MGYBgE3Y+yBrGLvXfUCtg3c
g06E6nIwpBCOC+ccz9smwZHcFAcPhRuUGby6tLxsqYDbIDvE0b7VHoPXk3El8l7GiWawU4b5xBLR
qz5s0l+GfXKDNm18HlpUg7ndhebsxwrxsr9oYmm4KoBV3SPl5eGo0B9sIFDMUvo8zcm7dWvk3lhT
YdaA2J0EbPe5SbisZCO0Pat9LENUcmtSxZ+2NjcxP4BKhwH9m4y+MexnLvQVrrqvRjC/6OMX4Vib
vJAT2OKRp2YefyZwkJ7zZiKuyggV3wCSTOf2gyUp85mMPOMqSsNXE7BEnyENmsS4D42pRk5K+7N0
/VnP/YuKAN/Zf1ERoGGTJYRoqE/Evmz6k7dOIshC3dUGWacOudNhuzjDx8HsY2igP90F8qz7Js2W
0f6FSSXO791AhT/NMglrvFjcp9binswpJdQk0qGXa3Qph24tU1OdEoiYE4AjWIiMOqDb+uxpckSE
yCZntr9JSEL53nmyI2yLICNswUpI3tFDBffYYe3rk4KZGsVFH1JuUi6AeVnjQrWTdlz70CTOcD0k
Eu27ucpiTKy2/1oI1ejyaeFjUU00HfiKXcLjEp2/wG5TmDqJA/WCMFyvYts6EbsAj4XUPnEBF+NB
W3/Z7PrBFPz++90aymrlqKWTHC8fJqA3bRGMxODfF2X6P12BvxWm1it91q+UK9CzjEqs5QcPnmMo
wDDier/K2sGN276g0J4kc5VsoX2OtUMv5gUvgZHBXBpS53BEkwa6c3dbnyBmNa5wowjzGAUIfFbv
DMLEjKFzWcd1XPEIzfHANTYa7qDzK/XXa5jUzmVLDDiZRl8lwe3//mP+KC1/Op4Hx//zvzSGHnQO
f9xoUj8U+dONpiHsu11vfExlsFulY5iWQ0jbUR0VuBx5LEGDUxI8MthtAlAwuUDMdPvW7t+/DetX
LyneBhbLJiMnS8Nf8a9v4yY/urOAYa3XlxT9ZiT5JjvjzsaCgX/vZiqRxe4XXIrZbXVmN8QXBs7M
FoYeN0WCqVSvdU+8ae5ATHL0QzbuYmO++7hi1DLbNX4BP31U+SeU8AuBnUNFQ4/erwfiwdiZp4JY
DcqNjAsTp+JJZ80YeClMiwhbcIQ3JHLmMNebbxNM4n0CabM8jLx6uZACxLTTvHRWgwiL8/fx3Mcg
atN/6hPUfzhJ+t+u1U5Mb7fyRZtAA02pARYAeRorB2pfcf2EgqYRsTNHQW8sTCYaQM8CmyOEDm2T
xjJYguDrR+J9zzjb4M2DLSShVvYzeDKpaaHHtiyk0HnhsBd8mpIoGHMA9Ob++2st9eO8X9qdP13s
H4/en+45Q88ekn7WTC8/VMm+YZf+bEa4dgTP7x8GvtdxOs6NAAwG/54JTDoSUOqZsrkr+6TFvosg
nbn43L7nyqR2RbRaN7dYpX4ybUOLdpEAUsrMOQYPMTTV4c43yVWnhyroDzpzeK/DZzmAJEWey2sD
yblVPX0prEkkxIRjSvGsC74ygY/zaVCeB7jtO/lgqIPDLi5EKKKOhUQy49w8ANfhXa/JZQVJlweq
T/b5AQGRX8btScXMdS6tBcgGx2qeWEBzwYXBB/43jMsISzuKk39/ZrV/OrF9n/mnE3t57cRrpnGD
vBfV4TbY4gQ6QqGg2W/maw+6xCVsoEB8Tpp9vVa0+dv+uttXN7W7Y59JeyftSwjflEFCxNMRVHJU
TMrgPbzgc3Eb5xPY0qNipjAs793lmsHs6UvHf/8ZZPFfr7x/rAX637rhrMmMl/RS6IY/ma/Si1LM
vUBsb8MOftYeRYqKOC+EGjajHUVtD1D8HKIqwG0AF7G2Zpvx6FWYAvSmetgIzzAHduhlYVSdlyI7
2TqL29wlpmhSbnFGIBzuDEYMjH0dCHAgsPmCrZcOXyWolxWco5d7D55zyb2O2949OqhuH2IxV6ge
mYcR/pkjLYbGxAhOftEOSdS5RfDeXGbi3tqWk/yoEAqEt5jTsXhghUomFzVmYC3fWyY/YQ1Pthpj
SOoDw/H8Cn42t7bPYUUuNw4NmHtkPnGTaIVKFxVHz1uVv/nWpB4/1xkyqG17c68f6ceOdqF0dcNO
lXF+G1YJlBP3fQDqLiePam5sFZfzdFlX2xYbaFRN0PTe04dzm9wx4VMO2gJWIxKi+IxxqoUyMfO/
kr1w4HR0Q4ZsiwIPbsgdIKL6jDVGGImf3fy6vWxKSvzr7OkmC3P1ctHzEVbI8Dp6TzHACOW5inyr
DIncQWtEp35dFtsGGxZ0eoVbHa5RHZNDUy9hkGbxewrPFwCWlOQSpZHqUcoTWqQsnp39kJwcb4fV
+dMYvz9eQAWCb5KWdR4/Rq/ztNs8vqAvrbSlOa+/HiMC8mCNswPPc2QQxCqyWjo1nn1w+hYX4CNS
OqgwezkR09NVRuM3MIzB7iMLS6ZeoPhDLii58cMLX+T281hUJtY8CSX2HESoThFcp7RHl7nEurst
9xeMNWDrIhkQQ04EHE5MxId9xhtcWDvDphxG32vcn38zbNa8rbsJLbymIe9HMVAef9SqBq0JbTZ1
P8N9OM47O8WlCKNEX4iTicAwZhcZC04NqOyd3LCS/lvDxeRnsCcoayDEvWwiDVqXaTBVdU9b2EUW
rYPEjoqZm0Mzhvk3BEtacpYnT/bwAoqv4x7c4M0GGIXz9p8UOjI9YDrljuu/9WoTo8X+S2aWc10C
CQsx9yyWLXI67AoYE9j5bWQurm0i52XaCDOULikkn6qmUac1Lak3pQUu71OTq9Ohlb09iCXhPTUQ
p4fvEULdAV65+LtVobm0AL0wC/h6jRBJRW35zbxe+7RW9MD719du2ntsnvFFvy+FA3K/5OrnF7Cj
k7q+zfPjNbOL42Vf7qslIdD+y8qnYv6YZ/DNfeZm92coPPxnlC50tLaj0kvxqKd/y2c5w3Yl6tmH
KItPWApNzNQuME2T7fu6I9OxOFhT7Iqj1FdC8up7Nxy6sGSo7dt2uKNa2mBxwrgPNtJuI3zQvEEk
wf2cKtFAUfz9XBtTHWMi1W4219DEKgpzwsuQGU3NXLYg2OFGIZZ8Pjw5lrAVs/BDemCJNqDx/9Bm
FMkMA7U5dDowGMdyUBEmQ5Qg1VJc79DCcBuuu728FtdmmME5ZaHgATzseO1jd6R6AYRIId0z7t/A
X4Wil2MgL3t09hq7GO64PK10hpjbpIPHDAzO+roecizivtSfBTG3ckuGBPOQcbN+TrStMm59y8F9
YaJhmopR9FR72wVNFOMHw+ldr75U1jNjYCqDG7bnYFAT7DGIotjmURu9HQLy6MChwzn0b4tigdUF
KFDYbl9j1XkyBwPLnVxWXUzM19jAPpG6cHZZGii82f6FT1Iw/Pu8sQXGl8KHODpjQLgQwUfQOCBp
xoCLrPXoeerJ0Jg7fgtsluO7uxvruCkp8x5Y4fXfM5zJluQYe/ma9HMH99VPc4wbEpzvtb6QqDyk
2WNszRKMXS9Buu+wUGOOOmOZAs+oCh/jyd0nExnLl+H8WQykEaLNboHqSp7GyC93srEQ5aNHpMwQ
oyoQUC4ryc+iG7xdyC2vEC5J2O5vTJOk0TWWvl7w+7w66IJeVoTVKwZRuk0dPGWpj6URiMHMmKk2
hTNaTMLR2c+XxThxrytrbHrnqeQb26ZjGp7sjQXbx5rkT0AouLZxHjy9c9wLs3IHc+ywwTVImu9c
2RVj81B8S0AsUFdsDTnZxIzv5PI+X4NnYIAuj4UZqbnb+0aaWw4wTO5cAibINgKoD+wtyekDeKZr
l/bZMt0oXhmoY+Zt/nkiBvko9/NFw+ZT+QmkYVSGnlg6b1aOOJ/cOcNqgCQwevkGLSq0QV+0nXR0
vA/RiG31AVNs93YwR/kc6e+oBqbcOSoEBBJcS0yOENdW4AiciP07hGH8sHcxo9YZooCRslEmyTid
dIdmapL3K8fNoahAbLPPN5rGrzqCruHrn72O40MiUdWhc7v75rSdvSech4pvNmbaZ/kh4ZLVba3V
+VsMVA15wpnlHnBgPJZmmkntJLvPoDnka6ag342bfRjrPv24SIcXZrgPxK+sAGGCZgYqCnyRT+Fk
ragkjsr8vEn7tQ7akIiW+ojPWNASqZr7xKqCieU+pJyQMTubEpg4KAbkeuszW5aHAjnWeXCL7nGv
i6WJxcyhHElTdV6qUMmibeyWXran0pE/RdTiox9FAtyOzSXKToS+SJTWcLNHYpDNtNl5z6VWZvf1
bdxNcz6oFJpMqJWQmxOYIe6Yf4rDGwuZNsSuUlK94hJ1H/czhpvYTsFenheme3+d8op8hmnvu8Y8
mXu4depxPYaP2XLjYVfVc5/gRDUIy1JXklyR8bLMYikhYnj59yRUlZjwz2gXlaPqNZN3mFMNKCSq
g+plqocb2PtDUkhuw/FqeIGnDVaDjQbYU+pndAPKJP0UljtaR6xsgajzrTpPPUjuYBqJL/mFn3m6
rRL5mDhwC7hRpNHL1/j7KzQmbAQ0ICjfz5vSzX1uAdg2GdnJKtj2w5HnL44aXwGx2m25BsoOodiT
Fdx5jJUWFWvDUV+1sbZMiPOVgju8KIy/7BtbvIUmmA6cSkdG50Yg8IPKaMC8qUEDCQl4oM5NxFby
TO5n1G46FmcpJU83kz54ZvDsupKH/s2pfA0kVG1E3C6fPzz0S1/wz8FtRNOB5Tz01udAJ6q5GDo6
H7FzNiITZuT5xD8DkN6Wt/GGdimFIAbFh6wLxMQajjbsnnAEoW7Dx2UqYc2MTyXS7eeKiYTNHnf1
ux4kuFFlfeOjEZxH5RfOXFgn4q85OoedmzuEAgca/UVHrqk4Mke48bH2NcTsugyUWdN0Xws5zAvr
PGuNtvYrWWhTXEHlCDSYq57yUL6Z7xjHlCI+mwDA6ZOH+4quK2S23Vd6yk/f53FPc6+i+0oJLhtr
unNAHPvtB2NoW1g8w9aXNlWs0j6vAXTcJiRkNh9TFi36R57z7AjLd1wc0E/OoF6/T9pKQbWjfJRO
Nr+AfXPeFgHyGJ9ChV/GBlUNUnHFJhaRygzJFV5ADoJkMIQcnzJlwdQJQ49scqUCeyLQUhyGLMOC
CJbqeBnlS7BT3QH9HhMoPucB+JHOcpuItC7JntE+RRYb+nXJx0ePqNjF2Dios5omfyssztPXjUAW
MmbgtTS9CRr3ItAevkdMsV5RDmOIjTfCbmpRrYypNIWHMCTdEXRa21YMFPRpb8TSy+tu+3M2KA4Z
166n9QBW8exdHYm5yKz12KbJZrdmFY/uHB4gW9GTnFMIWElUMuwAjEs8Ykt5t3HlaCH5kvdJNac9
9zB3zBZ4lBBSS71NavjncwklJ1JD7m12TS4Pjq1ivRYnBm+Gtd4aJN9XiNoTYop7mqJaH7ACv1zt
mISb22PT3Ka91lSGwdQN2ujc2bnhmngP0islvMR3PnsuTHaeJgMvRTsxzyDBeYUwayZW1wzUJk63
lzk/79Auhgp2buCfyWuBbqzzueUW2GyMM7/uya4pTQt4Sg2JTDsmi+qjOMgTZp2y4XZzupgXUuTv
G6p2CBG8p+jsPeM0LOPiFpYK6BHs8heYcmSgVnzaTDZJhYCQO2g9I9THZWWnX9dvfXwZZ8uGgopN
Yd1s23C3NCbF1TZmBYUjmXbr8gGka+fA4h/EcvXbLQOgLesyyM8Y2iV+HcWXSa9IjfCMNYwN3qzU
z2h35ApRtQPqsYXwMPrF6Lw4x7tlBvU+wG2HnR375BAfEcBKhc7HmPdcRwuzQxZpl8muw+Yda6G6
zefGWvXzz+ZHeENyIKxjRp3BA4z8ZYrdF0MAtfSvydZ51qEgRSImrWJAQMmuCLBQ7iWB3iN+gpd+
XieFQ8GrOL0Vnz6vR2QQa6dy2gS3qRayHNRcMedSBpVhvycM5GJY/sF5bq1yWsUpa1zYMLKHLDnV
eIKlaXo6h6YvUdk4wrEiUxx76JgU8w0iyJm4xWKMT2f4ks10EYHix26tjdCaLJOgtzCt46tfE6WG
dyaXiQe88okXcmAbkTXCJHNUTx40xcWyCG4TrNqWIL2w8biqWMNbPC6Y26unarGjV58kEQ8AEMOR
qj2rMQVu1/JWrTyxHugL6jWor4hYSjZKPRaIkuZ7r/uCMXqU373ugP4pd25jNa7HAus1HuROAoUN
SYlL+DjOr7dRPWSu3QMVNPXfbBnpsl73VIqnX44sHHsuezzdaqeyZ4D+cL5uB/QP55xj9E6o6YZ6
3r7AJn4kox0zrDfGzMYsZ8eZ76aA8f4lUBcFVXD1hEuRzo1Ij5MAFhiVG1hbzxfkat/n5bT6lFBk
9Wkdj4X8ZQXs0Z9VlGH9AJjEuAZWHRYIRw1t4RilIC6loRqxr33JGx3UzAJx+ajd64T9474mS5bB
SuroLlMqep/HuAN3k8Ap/gn+1npO/y/wt6EjSND7NCGtnwL8CTHL3m1+vb1loEiIDd0guXsFjRwN
0o1HdohSO4evB5jETr7ssCcAXdRJwhq2eP6HWQhluqLe1KbilEUwqtaMxkVbYzS3VXrjH2zEcyl6
jFG9rX72sSUVvzVMJ0V45VdNjAwqMKKyWq8AyzCcH2jaf630RGcSpvdpi/L/hzEc1/IXY7i//vzv
HCjpN93UdfQlJDEpqmIArP8hPSHiTuM1TeJHfobn/c6B0vsQWgWHQ6NPnOUm+YMDxZcUEwkLX1YM
lYP+JxwoCF6/3IU63nO/f3TD6O/SP92FDR6EknaF9G75ZT5kfNDM6tC8TarewLprnYfGDQktElJ4
hOdji0tDO9FxpW7dC9YMJIL1Q3QjbhFv/PgpjpLb93ZSgnpDDh6Rm/BeQNbF80FXtsoy11c1Gc99
X1APr5Rd8NixLeMXyQkERrKEMNS8bu+Em27gEFHJYObKvPjyrUa53cZtrICUPAOG1+g8sP04Wj0x
+YoFjPuSBg/sUJuFgWO6OTKv4y6zM/HU28u0LikRybfl8xmMMW+HWAjeZBuzT8CQZm1b7U53DMsT
u9BXVwwCQoTEvTCzT0uIzgLWUIo7a2YPPhAukjJuFA6xCsKICAh+iLa7l8oImFyM3vFbgblk18bw
wTKHH+30CfF/zHbN10GJFwROEPfH+AGbcJ8PzPmWSGpbkdmw2/NvzvIdAgycUTPiWLyF0ljktOVP
n4tU9VrbGB514d4PvA2y/foclP5MMYpnvi/155uzhnVYzNffC9wCOo98w92J9O9GtxNAtNHuBOur
JDrFwFk/49VRAHEYTWberT9dTj4W6jPahAfRML2FHkQABCPaqL6PVJxVyrHVjCDWYCW4m6VL8CV8
MS2qJ7QZpWspQztj6+7pdfLNNrbIoS+4RViBln+UCkmMzLnU7/Qo3xb13UnPcxmPQO+qDpMwCRmv
wdnMwOvSqAScYd2+hkBsCl0u3RpBNoX92Gcg67w2Nn8JrvFYsJTOY83bAekGrOd3r4q6rNmkGOm8
1bnGjTTI1makMVnWBvIM2vGbCQNTv4/sm7YnxZedoJWp+MmodZydF1xZ+KFqhFkBp7SZ4bvbERzC
leQUWr4RcAFdNFB9AsWy+LgefkoHsPHkP9EupdrQ3PMvZmHNPOY/kDkRNaHY5km+D9+5tkhLeSCl
tKjrW+udNMS2Acnuk1aN2ktUXSKCwC+S22FmRfS8NVKs0b0YXcmLPztdPngwS7+HO6RHd7g7PSE9
vWe4qDKIypF7jXCXonTUHQ28OHV1fMYMHidXMNz06U21+Zl2HkcU1VNU75b4Bgbdd9+6++LLb5X+
9xuB+FSm44anTvmi+NXObjcW/3smbt5/kJAC76PDcIr53bjUVwnobKzQ771KGD0gZxgh7z55bzfo
4CQvmuknqu73pED9aGW+lG6eog6/RB7UIpXAWkhZC/gbyXB+O++l4GIgLjqQx518MCWIvXIJ1Wha
N7Cv8sFdxeAgNscpTlsx6QY1GiKdrbNC3unen8hkpxBNRPflFERFIkCY6CqS7BuCsHPNfY4oXmVY
xb0WqCC/HNC54sE4ea0ZcdDVMOdxNgCB9ovcOlB4FWdrzDPAa+YHDKS5MqNqdZ0LkXzFFt7QETSI
GMFf9jpJCdv6aH3rPAEIymGIqNbbritcL07Nsb3bHaZr80qdCeFNmrQ4Cuhf0q0ZqruvWlgl4iKF
/4AgtzWZ3YFsZdjyjgQALLEf3acnARkPsCtwRH/d9nh9FPe5RTfX9osB45UFUjncL8I6/m/e2/GB
thQKLFNSVO0fouKxTv5lb//l53/f28Xf0Kpq/Q4u6xYJt0wLf9/bxd8UQ9J03UAm+gu/WRF5QxaZ
jrwtjQ38/9pAkyIvkntr8YOiKvaBY/+BrJSX+WVv/8tb1/42tC/yVriftWfnmW+VkdbOFw3du72q
eXmmHStYzJ48oXIieTdm1HVLimGNVcsDu0tlnuC38H5NcjNSWbnQdKDPQLAHk7Uz9rurOdTTSc2T
9LqTFME47j7LukDAeq2Zp1uY0cr11D+RgSzg49Jb07eMtxAmQOutDQKZy69Lb9/wXp25rR8QSbUP
K8zG151uywb2EsNrsZCa4x3jODpbeMm9V9+tH3BZ+jzB9RGulUE/QBPa6b31BhXA5WILtLs7LAW1
iYEZ6HNoLZ5ilB7ubt58wyupL2CkpNrC6GhMW9Zh1kTSUgNNoeXZXdel6GufMi1UhkhczsgO298U
78JMBX8H9QAc+obpiY8hxgoaRhR+eqim+OTV1rCpXEAYEmdvQ7Ln54bhQ4ICRTO0ofqyJWuAdBXV
pn233Nc9MJOw1SJW07PJpog2JyOlMr5koOgoLeTLVGZ0X8xYXRIotcl3q0tYATLQUOi6nnMiiAhr
UYlLpCmqhkozxQfhdXYv7fIsuQ/DfmF8hPIL/2vZzpdv4NeVvDLzE93Uo5+aAG6WGFFhI8W8ihll
gpYx1+cGkZA7cjnK+0gDxHgHl0EvKgIm6zqa8eI93NW4JsBDMF2QUiUbsem/drA3KodBuXZgZp4n
X88UL5HHXMCbB+cN+hOUjVgJCqNM3mbMtOWvxHlpfnadJAiojLBhIvbws3ycsdo167vyGGo0vvxK
m+Pz4TLX8SSWN58/RBq5oXrMR+oRRo19x4AUHBZZ3sPZGR4gBDsvpqIDQcbNqjq9d1C67Esa3r/O
wrDmWB2YOnKFSYYVoKVWdpv7D3XCFHaaM/3LcOh5TwwHrioGje9J/TZ7oyHxrYHlYmyLnAcjBgLz
zsOUaIO0Oj2sXuPzwHJEeboN7jFomh8bLHgenxYWeFpwS3B8QXt2Er7EC8PkC5mSHI1yCriHaReO
Y3BRG7AgdYS3Kxj+jC9m7HtknIU7mS80jctGcHNxy/DK3jDBYc73fg4SrAoEQG9ArRrNFHVkO7QS
4qyYYbdrLu1l0Q/3Ghd1tqs1fks4njmoGMnq/f/gQJhzb7+x0+jDRvldkMNScj/5r9Tn+6UmMpqA
b+ZHBEwqXf1MMZxi1ozQ8vO2sMwxB6jRzPUJN/33nmfXTzxOZq/cVfWIQ8sbevHHJeb7OM5F9zhj
TPZuUaeSK2xLYB+WK7YnXYslAEl80eX+nQ5v7zFH588i6vM7OdJtwQ/e+kzTC/5d/J0fR711/eQd
Ywms3rDF9DlYbvMZXycZRn9yxjC3/3S8RQlkpXcMLhGBIbajHG4CgXXiMhJkt+Yy4RiH7giPaS14
Mf7VJzLJoO2weo7re1QMc9TA+FNjGx0ql/56YWIctrhCZiG+qk8GndeYs4NFL3LyWYudZTXk2nLp
uI4og1/6BMsOvsjvTvdS1NFvj/9RAWqxfnwM+ZND7L7OacALNGeXYxatz/ETtKgZYScOh+FgAgQS
0cZggx/F5vXGkwT7T7B5qbIe7RibU/zrE1KN3iFcIO4xbPfP5HajyQKflJ0EWX09wi6zaCGn6pt8
iGTL6jzuHrxGMgHytcPZuTDIqu324mEhW+OB24U7jE9Tsnz9Bhbt03lzQW2CWlftnZJlSPbEl9kd
z6EGOxPDQgmLjuGrgf/i8c0c0Gp8/YbGq8VK4+Ikop0Bbf085OZ1ep+P/b/faPR/vA0CUk/XT4Cd
8j5gvMJdzrqAu0F4a+cpSjdItf/NdQ0KKkNTqT90SoWexoszyP9Tt/WDx/t3zOJvP/97XSP9ZgBJ
ELloAj30mrA/6hrpN4AKdFuSiJ6LBIw/ZFv6b7KB9b0oiwqxraoM0PCHW4bMy5sWDvcy0Rf/kVnG
j6Llr7AZnxs9GXRN1Eo/0rD/DFhUKXKlwsj78MbXAc6HENffyP9jjXmVswNyJBtpLyzMWXpUodtc
kS373QnDoBV6H8eK3uCPpq+K4MCUz3Skxxybpuv3DyLsGdlkOWXDdh/LYk83ODgq/0Sw7gvKvwF/
f7ly6t9IZtpds86p+RA9sU9lJMTFKr17hXVV2vtQDKRhyHM6mRyQ0+wQncMC0W360MbV91Dm4BO4
Sjp4L0UsNOMHhZbtMj7E6nD57gWjYLAB4DKED+fhlS8HTQZQ4e3EjgXTvYHS/j47WOsr08K+fcM/
xA3zSTzQy77zowlnEqkHVj+jDMO5Xc+BWpfzF0IIrKcgHa37DNVzTGa36tNo3fHst5g8/ZRx4NOM
DYAwlz9wKPsEUwK7vsL3ER3MwICFUs+cP78ugy0TM8gRHjUlUn4wXfOjGBEO9f4uMJdgqAcfa4ys
me6RTdnHiYyww9xBZEdoAKs4GbkQhb77pFzVyZwkZLzqmEGFSganKv0jRaJ/LJhUuBIyPBn5doas
wxwyqcsxO8BHE8sOBbWAbbXBDVlrkhyUlVHsX+/lO9n9wxUH8PuHK/43kE2oLFG7m3fRAxwTRuAG
KhwkYBogI/4ENwOGQRwQ8Q8wNmAGYUSeD/ANdGBER56+Gz+NHom44B0G/ABtnbvnEwlsUSP+eOKo
51T6qkNZtwKI+2H68oYNB37HcXr4AglaOwFbKuwyxL+IuknHRUN15GKilsfykh/fjeAn/eBexf4r
QcySbQ3mPg1+4bhk6a0ta0tZ8utismskR70TYlTlIwwPurt9rn0jmeJsJ33dp5f/4e48ltxGu2z7
Kjd6jj/gzeBOSNB7lyRzgkgLgPDePP1dUHW1pKy6UlQPK0IhlyQBkARwvnP2Xnur2Go5NZtXh1JM
KSo7zmjbVCepmIncwZptNMHncIC6FZWUjDC6kk3mrK2VHj0RAyHxDXcn2txdavOGNtulLMe1DBMQ
ZH+c3h7I1df9NmioxAmAY4i7l3EPxsMvkfDPlE8TASI6HoAqDTEW2AOcOT0J9P6SdiD2km4FFaNF
ICg89Km05XUAsRjlU8VEhmcWd3Ll0A58eyQLmHN/VJnLUP2NdPYD4iQRu8N23t7elOKlYnY3i9pt
gygfZdRdMrZ+sxQVm22KC23CH/DRWySbsxwkwAnTnj8ZUjr1tXiK52+JP+OleVSVjrLw6PkY+vgX
lq3hiKL1sEwS5GdfXLUL/zFRaAEw7Nx8mPGIlgtinmqGC2N9fOyMaxbCkQVeOSqnGmry7nroxocB
wrbRznQLNyIp5CRGb9R2yWkzig7CcZ3qo6tC7t78Y5+UE66I2Kk/OkCan3fqhoPw8REPZq54Kq1T
Fl8jf/V482lHAqgneOypeMrx5g2QaZvw4XB2ukeLLclfkxNDXG9TjW/+Ur0YVwEZ5MAZsGAHzgx/
SDqF2oBjsJ0rH5RNBvRSc4kze4CQAUxBGM5Sca/PoWDr17ABM7FoVo+EAm1CCYRejScD2exATnAN
A21DfXlxXqkVqNI8cDLpouxnlE0D2GywsVMMwQCz6l2/YTMPUjpgb2i2+koZjgrhWbmARkh2/Qea
LW8iU4oDPLiFE4iWKQQNhmfzZGf0WNAx5DwmUks8gMzs+hLyGH/OkBVDZQmwu1tQr0GKUAC0U0J+
K/KBzoTFpb2w04yIy+dgB8wn9ueQiRObl155eC2cK6VasTPn4EnjA28E8oJ03F/6DbnM1wwbJo2d
cUo8QXLiEKj/oSGnB6bGlL+JuTQw8WsXFhAcEewI/p+ij51nX2hnMzE/mVTCJ6Bymf7SfgTemkIR
Lg3VoyLfUqBQos2ofVewy+wW95RRqK7KIU2sviTTZpdTecvzdmvOY+pcOmj4Je0OmduAZJtLHxyN
tAGY1p1AtxHoiVzopcSkC1NuwWEeE5t97jdSP5Pt4I2khUHBQbOZITzpvyOlnT+IGvwMpimaQ+da
Qc2Zwt5gEJxYy+IEhaE85IdkGi+1j4gIzmxeqqusmfE2cAz4syaneT5DTk17rhlHytwi1A4T3Yy+
b/3mPznP4pJF31RhibPqNiwV9t0T6mz8xMUnWcy2OYv33YR7yAVrwLheJ6MbjujRu28D18s3jBk3
KutL/HlwLY7mlYAERAdTICOziKBAokwmS74FBQLGAf4xxJnUM5RRnIzSvbq6aHamfAVydMwGbdI5
WbDL4K2DPHVAxgLtsX/SpzjNcAB77pg7k2W3+2b0iQxQGqPFQqJcvZItwdsMdo9QAEwk8CmgntKP
5h14cpy9Ze28Q529pDOj2lWApGIyRrYU4P/2Ytm0RFGU4bYNJIJfF8s84K/F8k/P/6FYZq6nQYlj
ivYHyeDPJiB1tCWTBmdQZysWYXQ/V8syYz+NWd4QC4XJ7sdqWZK1ISTOkkwLK86fZf1/2/eKL//+
P3EV7RM/Lov/+1+g6v629vhz1wmZ4+c/DPj6tpFzLQnFGUM75lxkz8TGi0p3nqJChuzpTD1zR78v
wZ6YWLYcJcDj62inhhMdSXn2Kj4zggoQHMgIxBHjD9Om9A3ByVBwPLIF3WYqGoZVPAOJzSV+a5MN
A6h65nyEt28TRX4ucnExhjx25oE5jyqWVC8MURRCDTmbOUXmvKzNT52P5sDTmwNjLyZ21tx9nJpu
04kTo90zJsu6Rf/OA5yS+PJkaHb3JzTdC16PYkeHw7Wz5smE167G316Hv/Py30Z8/M78LX5D9VPf
+5N/BVdf33Pc8coZt/2iOzYHTxihpaNioi5j7+mTMnZTzA2SeInL5FhS0DhZqEKZegIYpvIignke
35gc+daeCg/60xuSi3DGXj/ssz/aPdNvtFUoSoMBwPfnXWun2OAH+dah2kzJmCAeu1oVwXsMylJZ
QVaS25FEtIt7ESrw+ajeBRJ/q5MPMWJMoIwAy8sJcQY9mf05MU61e4GAV4DEGoRz0dYS7PYUARVr
3YvKlCNlUJJXzD+YU3Kr2nfvCgX4Uf2gqAJxwdsLpDNcQVj2ATMj5tHmqWi71sTBJ2i8enweSTcF
loistVtI/dpwibggwxrGGSLwZkpokkhbg2GpMiV+pFQmAdb4UL8w60pAYOXrPDVsg0tgRFsBoSB9
PLug2GWQOUM7KpobdrN7l54pGmm0ULYz9eQWOadzLFIvGaDkIdSMW4IAUFmitSTY+5lCif8lkXjR
HoUPunPwhmbWi7KRzxqwCgZSDiqafkvguXy2Xnjt5E1wp9ynR9RjlH3lcsgMz0k6o/OK83oJfq0c
qfFZX78Vd2pG3idxQckon8V34cW7VuJTCTQLxjWb98fKszPEdow6iWk0JV255FU4wMaY0UFcC0+9
uopuBtJFZcN+C09FSOTBQT7X4lJQpkhsC5fQ5Ak/ozE+8AIJUedk42fUg9R4HNBDnoMWNAi2IqJ+
zGfH7sT4cwgkkhmG06Qcak593m87ZJbItRC4t2ic+63wpGtrmmjpjXs1ozF5TIkjXWrgr3OcNLQD
7aHYAYnKF2mVOvCPN+pjWg6FuXvLD9Q2E7PZ9siri5lM5UAl/6hL2zE+A/814aPF4ZxvxVcmXoK0
qyOkmDbYKFGPV01FW7zC/ORtnRKj77mji+rbKrkQNTIXXbyKCak0zmObWAgvH5jlyui9sd4qbxtP
arzvMNptYV7MrWrCSemqU0rYdhfeohXDdPG53bGg+eOsj1bJv/3uJiogfL4RdZTfIHwk6S8IHxoS
Pz//h7ubKmsm7RxTY571pRXE+EoC1Qoj5w9ly3f5ikKXSIPso5gmNvKf5CsyuFXJ0mRZtFTujP/k
7iaJxtAs+Us76Id9/+LeLawic1OrJfCvncQtcjp3GbFWIK6GSce8OkJap9XAFYheg0ocOCRDepbh
RP0w2zljrYjMt5WAaHhhJlD/xkk9dY76Vbl4yzWLtE0yHgIg5PGzvExG52jG9HlEh4Fu9w7c9bk4
a08ZRD4vnPhv3QI9Ck0joA7gfqPT+3DfoTWSjEDA+1xmaMGQvJP0k6d38HlQQ4aYjxvRWIdPb6K0
y3TzmPQs0SZchPRzsNHK0VEfHXHzoQxPJ/dsbQIznuggvQ7WuhpnEhZxqlPuUe/5Bp8nVbJHONfc
E1eh8/xg5Vhw4c1shB/cg+EvwB9D5YtfkH8ZYzWcBdy7zIvMOg0POG6TiXlBClMa+DgDY3jYYJ/i
j4IBobhMo534XCNjbYHobI1iBg3WeAmYMrOQYyQ2TrrxwAA0xt+kL7xcdxzu9dxmue/yCHkjPvOH
dinvevnETZYbvrgNPI7CjIe8Dx4ZWVDxDpzYbNb1Fwn1Bjd5YfUN6a9ueHqBtJ+j4pek2M2hQ4fE
6/AgSDUb2ibGWnbW4Q3A35LdpCpITfxjh3bn+wsOod1xy674ANkdZE9oMz6ewDzFqCOGDssgugEN
ideJizGiTawS9BqJGGlHNq8ltpMCehDVizPNLcQzZXIQ4WHe+FkP1pUV0rPgsXkZuZL7GMQ9FA7e
WubjHGfDpHQUAVOhREjfGA+SUukyUbm6V+elf+fNAtOxZP84fvGZ9eMmEc+M8TvUQ7wMLY+hqzNI
g9a8e3xOg1cPsZL7SQ0Vv1F+1ad2x3u2VGmp0BwaclLitxVHxEWTL2R/KhCwD1Iojx3gJTVvCI9u
SKof87+DaGlM5cVCHYwvwcETahyCFxkCvn2TC1EV6axhkYggcxgEVLwEh/i40ZWQzk6azIa8O7J2
9uEbWAzCM/t7iPKhbRetFS9TDxhsmIxj/KQlYKwg+EwYPJsviLokEJ98S8CTZ9BzJyTlqYxreePT
aReCqD+IrrIVWBepnA/xK3EwZbdQwnriM01yXelqGjvGcom35waJkywhO4JBSLLR1g3+x8cSEDr3
VGVaDJqlbh7wxahwkY2tAVHaHAfecHXq/Ul/JtjmKURfThSEaBFtSK1kME1CfAw7NTDDiYNUBJbK
EAuJ4cMZq0BipsJB38ks7IcKZKsTM7kCzUcEXTF1rbmAGB6uD8u/D4ejRMJOtzdA6saXKVrhfheN
3QND4pRx09S4tExvqceTtgRrCA+ZN4fqpXmoywqJDzmaLA7rq2Jsi3pFmeDWV18YyYu3UT36iMYj
Gqn0fieGCVroImMQdVZpvtbbfYupBkNYYlvHaCbfMTVq2EsMKgr5oiZTEtDAoPG2wzF67NRmnGLO
ct0VetvEevVptSWQ+tDdZ+kushayBysSTKkmbkIpe5b1CTWKqk9KiIG03Sh+CIowiIwINNoEvgmw
yHJ3ESk81bwWpFEsSTOqPAqm5I0iKdwywaKjLZ3JREJI1fBB8fkRtoSYqmxmfBAdigXzKQEW6jME
jOxqwayZl0ASN6FKiqyRTDeDhcDO3Lnk7d3WDHpHxcJacjWEh3TxYLw+n4qTOWfm/iEBx0WsRvcY
+y1+XA52hgfKWYKXMZNRAUGZOg4ck7/x6LU1TBTphqCabmzRvpA2uPdp3wwUG2xQ9BxHpCYciPmy
yJPiwU/51LAV7DXbuTvNLyYdjwaDHQKii7zyQdOIs0Mzkq+RXQxQaHZQW4rrbIccvB69tDN0v+fH
EU3glTyoAvF1tqeAm4S0NelLjNvtfYukEH36mGyDGwVkwRJqBGynXVK7ahS0c44LRNfImeVnJsng
6pdAtMMBy7s0pngblt2yY00xVsfdhsTSF/pwoyP2omO+7SfXFtxSdwnm0jTQEU3EdjYb4hfcpYMe
isSWkRIDDrk8JhgMWgCf8Whfj4pZMzvCSFv4e2lZgjbY8Z0aEQeOHTolsQ0q2BIZN/tFasIUegQN
j3S2HLJ9Uro4h2okc40SFgMoDNDJKB7LK8FOXrESXYPHeHk3NiGir718Sp/wPA9nSLP56HESQKmj
YYbKosCNYgsbFyLUueFLimJsfMLfC6xpZU48d+59VOXIBvo5OARRriz1G583trLMZnj8FIw/ihl1
eLq4PQ1uYoOKtbEHNGBD3BsakzunjFduOSdxSRS2nM8HG9QoXTa7zJlu09GigEbDLq1BT49J2tuk
F2Hv41cIl7AYwgPlcP2ZrcHobdtZ/RzgWgVhtQM2e0j2fIATOEIEnaGZoQdIigEDizLcev5SlI5t
ew6HfL8Xem2EMyT11mjuTMsL0ET03LxPYh4IQ6Cw99ObYGAWEUhgScCkgqMI2WWg7MG+Gsh4o765
Vg1h4lwABrmlatzgGiSfynuucrIxNCPdp7u7IuuMSbXPD5+DznTBXF7E99iu0IXE0ozG5axQdFrj
FEJo7Ds4uZQjOLCJn0FMp0wibjpMvw8ypKtbtXNovmOhbZHtzBruXAfxSs1Ublhx+EtJ31Zo04dU
R8CeUAKR5R0Iich2BCTS90tO6kq6SFR4IVp9olrp5NI2BQNHyIcJc7GePeaI3J9pmp4aPDfNsCU0
FUyR80t5oVOmwTp3prwwroTyufQ/ydH4V/fHTCRnukHJLkuG/rth8iB1+9If+/r87ysI5sQyqeiy
ZZlsggL9x/6YRigDzTOk9+A+f+yP0UvTJAsgD9EMrBS+98e0/wCqVA3mycY/X0H83WTOkC3m5yxF
DDp1P3fHDD2qJDECMx5lb7EGnvYxeORpfuNk/KGH+N+duR87cYzG/7JQ+XFLw0Lmhz6c5CPqN8W8
n1V846xo6wuEE0vNb6BKf3s8CppD0xAlhuNDN/CHrXh66xQPNUZjUsBf5ER0RSD4rG3S3xzO37UV
jR829IUSFvu0Fc0kI5BKB0ocvLjon+X2vZUPrv6H2vT/iyT73TF9WeJ5kRcxlExAwQ8+NDR2abNL
013irv8Xn9D3Q/oql3QDNXxENdthNWxXHqgTkopkMbB/vZnhXPnrN+GH7Xz5JhhJnT0Ch88oQ7cU
li9KfG8txM/SU5ysE2dZeifmgJpPtNaysQ6/3vrwuXxZL7OaRzFiYjvSdfWLJtQV6lZM45CeW/W4
tw3TrMJYGD1DyeLaJ8SJIPX59Rb/5uP7aYtfGtDVI86SwIkY+SQd+qaEsVVtO1z8Q+fz11tChPKb
o/tyOqthr3kPibdWMToiQLA441dIulcZn5/3WFlkoDO3jSssmC9dh6BbeSrA8mJurN8d2IgNTsyG
1mygFtB9YJpCiHIfb02Rj5ukHQtaNm2Rj5VpQA/BnUjOVqqasaZJU916qREZNKe0FkZNfFVLHLIs
VbM+GgssmAzjLjHjcjJv0hrp4tEEFKUkPBhxOanEQ4E60ijXvsdKkxZB27w02ktX9k9yibdWLCdx
rcxM8OysSeXOmD/KW8TNWlL2gSkT1/baOcVKz4U1Ct6aGX487QygPx1S+lx6970AAAZOm1yBovYk
ewlri44ZKjpOUqa7oV7MhJlgNC5+2nGcXy3Ctg1hkhX6KCgD3k4s8hg5FFL/GgejtcJy0XqJMIGk
D2eviuldFaKpKewKORkrnUJ0gvL+60/3d5/tl9MmM4eBicVnK8Yrnx55+eIAZv71NqTffVm/KDWq
RC+0xOfLqoKKlypMiJl4KCP8+L4/xUg17Vnx6A9iVT1137FGyPg6VIZxDKv6uc9LGpReOfvNTg3n
5F/OWTpqIJolWl1fPVpVaj4qI/T7WSJ28xYnstH200cpjA3zMQbsvLRYbYlNZAuUUL/e9jcX4q+2
PbxhP9xQEjieQdKybdfVXkPBmlVhR3QO7WHXG5XCprA+K++z9l/7+Ig4fCQiRrHokCjqCrK2gw41
FU9m7Fwxg6xKHUeKQfpQBpZF0Dd6G9+7Vj3HlPpMaiXTHfVFdJWsx1brr+7DpyPnTGIEDBFMBSdC
2GgRn5ahmTFti76MVC/lnMUJUWatfA5ya2QJAGidottLqsC3XI9vZlf87jrzd5dwWp7/84mYX66i
Sd5qnZBwFXXizyTOng03wMDa1+cHdXbh4yUjqLzEBpvl44IGg54CoMpolguIZVIKVlVFWu8jVAul
bV3TraCqfTjyytXIO5HURWc9GbAKMM+XrjHTShil2TZS1VvgbcSagtebl90pTCdG3Yy4GcMOe4zM
wLWjmEyHnrOfucrQzxBfM5NHKEBlxLvZP1eEjLh+OguyM+9NRYqq5+HIxwGsD76AN1/n4ynXFXwZ
QN3dR2q9hAXc86Qf9cK2ET98cx12nxGfiek22HAAfnWIqC3CvC1/5yAEMCGFZZjolCcLdCUtsRrv
VY7ZX4lIYIZES1ABd1etQcwcbZT8M8jx7nLpicgAzPG0EmroLx7G2vWIWWLNCJep6rFtcVFWRe79
7rWy2u6ku453yR65MqcfiPBHV52xVQAieATyvXywMpOM/Dfnw3D+fz0dNFPUKRaZ3dLC/vl0aNtI
dvPEZanpReNUIiEifPv1GSf9ZhNDs/7HM67LUT42koDJzOImxCCm6XY94yUH2o2zKEkZbAkKp0at
ExgRKe/zsUsWv9mJvynvkFj+z3FKX27aaqXlneN4LP20dlNkj3tMgJ6GZ1At51pf22KR0U8iA4oV
VcblntbOqSb5QxTA2BWOPvXrcFr6q1/v1jBu+Ju3X2WUbmgW84gv9wCjjX0zQrc/E/F8JzWTt9yf
eSXxHelZqHDs5Qx4CUFTvENGRm1aXjqfUJ5oKyjMPlkaGmI4z+EThZxzkUmdTw/QNe+h5vLtdY+u
Hka/+cZo4t/dU35YXH3Tg/5wCe30PBXCyoQPnmsXtSzQ85kaPV9L7WdBY9LktzyG5WLdL/pcmPdh
oK0FsbgaRalOutat7wp8UvQ9tI07sRnlgbUMMXf0gjJOCmUXZOBKZRwW6mNCvTPyW9JbaSEV6aRq
PoU4X2gF8TgFUwmDHoXWLkI3GGv0skoqspC5BMQOOl5CjG4JC/BeFzad8Vr2Hu5DbRXFIOGTJ5Er
lOLfZOfuIgN9vMbFW0DbzRSvvXuqIenGqFB6fJD9NDDvbXZwREKor2G/DLtb732IJlgOhZbQ49iw
4M+iaQBapEM1pRDWhZckj3cR0KOOViNoZf/o+NueQGDdnfne0ZVPRbjLuKo15XgwSBIazZQ+MueN
1IzbkmzPq6BcC08dVw26AauHJoZTj9lPlN8Vd9MVy8RkoDzkLOIiwYKX4iwlZRWKOrnBgC3o6xrY
78DvSye3dw5WtWkJ0LHsKEvGWXgpwrOVtiBHnkyLt6IgSKTaOsyGZBjkyS6kqJPfU2neN0u8NJ0K
TD71pk0uMBgP5w386hQXYB6uiwDbaXIW3V2enUolnmpEWKonIaXHe/D4QmrlhwvrWPmw9F3IeFlU
9yV8JBn36Emr5qWGF3MXsJLsNw/zKWWKbqAsVOFdJdZccecZUMAHScYI+NUns1knwqTNZ0p219S9
Kc5T1EpIEZoVSdVVtxcx/qCvikkyt716QjtI4yRoOnnyULeas/EbhFbyqy5D3ir2ZD9IwtrgVK+l
c6pemM0/6NW0Ca3ueVThP94rBLQne9OcagIR2Fwm3h/JWow/PJR3DpTHsYFMxN/46kKgSFbFe6cf
I2bRFuKo4BwQVR6uLDxo4nNGampPATsPy7vYvPjlVgrWTYYOinwChXE+RBnoxH17T4G0F+qt5hbV
RfZD2GTG1FcWebiNqerxGcNqbYRRKE4CJiEt7ccBDTIDjaHi4eoXpb4vnJccsXjDe7K2lGPYIVwl
VUzbcgezhobjWmUmFsxLeVpgYtU/XHrn6OWaWUcxXqElNHaJvBR0Zm5DFy6tjoS1tiD8o5tfvpYx
0z5MD2UqcIZu8pR0a4f0xXrqATYpzkoizR5cNyN56kKz0oxbTUKhE69NZkmWTa8OO2sfrB4Z4ca1
x42ROocrXyaIKyXfxOGt099khJm9eWm/GY7eHTxf3aIUyCxFP8TlMFpG2UkF5SSvKutUVzehCW2T
m3xSjCrXpJa8ODT6XUb0nfimx3iLLjJa5ZpmHXeasKIpa32q3TV1T20/NzAQ0gA0wnGWvfpDD5+h
i0MsbiCgyxQvHaTRFG564XOxwg9Vw5fSXcSpjmK3jGQjZeOq4SoisNwTu4kgA3d9C8nPNmTUMbWD
TaVaJtW5DiO77AGOg7WWtbVbfhZ02IUKH1afgPuivak5e/LcU62alfmzUgWA3CyUB7CNEn3KhHtO
YQFwcPCp7RWrWNbivTYgyZrNuKHycPt5XTTvSanffOVhdwZ5byE3d3fWGHwsILQTXjmqFkGyzRJr
U3fWscHcLJSHxiFRwVqEZr+Ui2km31OXmTJffR+2hpY8JQXYagECPqLWyjh5HQLI4ENR9g9THnUB
601ImogbH/WkVMVp2e0Dgcak22PGPNeAe02XINsOHUb35MmMkDprWuq0/tWnuLoHMsLmsLDzGlIm
EzhZvlR8Lb0PH62HDy5eZakqQGl2HSSvhG3IsThJWMMUCbrEfKlSOMn6EzE9C9VB+NEyHHrpYnUS
YMUP3vOOEah5jhQi9RT6uW2HL69GrV2iHD99u7n/S4Eh9IB0fMWqCSRfVqhDfqUnpNHytV/6l+d/
75cisxhQ5LJFE48C6M9uqfwfGnq6oaEMlFQVu/H3bqnxH0UVQYzAC/n2tB/UhMZ/WDEqQx9Vslg+
/iPvjST+tTb9ab+/tsj8JIj8RGzlWdYE6Fv72rmZtAP6hlWy2pXQBcq80YKtbGWm3hOBHAJwz8Jp
53Mzzs1+23vQNwVBvGiC/1rVzSFoWmmuO7EXbkotTpB3p67It6zgcuIIRW+LyoOODSYorHvD/dQ0
VNspGfM52L3HmszUs62cGKScv04LNOOhAFwdczZX4kFRVhsayy7RZQZbPmT0i5mHJlpQuHpUoQv7
K4mNeaOb6ypTq7HWW89yi5s0VRkZC37DXbvVidIxDRTr3a31YrsNXVTweguMT8wELkIdJKVQlcdu
67wGUnF1Q8/YPDLzAT2YxqtktVg0a/na9JgpjAq5cKRdArdgnkzd81A6iAMxvG8KJSkjKVsFzR84
tqnk1yKHIJ4CQ6jrcm1kzIfdsAg2RhSAXgv7B64MVp6yKU77NCf7og2kg6D49S52tLWv9PPQoj6K
GuOW9lD/DXMrGHxgAsm3oUkUZavLGzPpKRZCWkVCjFxGVTzShgzFuD/k0gPK/G8+zaHvcGYpBJLp
dLtZ7f3qNEfW9PU0/8vzv5/mugk9gJQzmXPaMDmb/zzRkQ2ruiz9kUc9LIF+lFXRdbAUgAOySPvy
+1AE950kaTIXABMTP+HU/0RWpQ6Xma/rrB8PfJgH/bgGzUuRm2Tn9DNNHqNlaXcDpUZY4S1CdFIs
Bw2va3MvHaN2QWfiSPQc57mDoObZkt9E0BYRghkP1U0pvWNvQzAjzlC6YBVLb8XSAfotrT1JHunG
tuZpdRR/ovlLDrysm732DJbbqSvTaGzZcPzGSwx0HsS57iQIURIc+hPMm3IMsAY9MPIZdDJD5gga
59WA30GRgsIYRS6T7WeUTtEE1ZdlU5+0J+xJE/OFCJxZ2eCNBoFQEiWmTBF4+MEna4KmeJHjN1Kp
vfrkimfzJQptnPArxCSPdtufSJH2xoZov7rRSuD2imlcG+2abGp+VAfHHT/QC+OgwDSB6tZPlUF+
xr/QnhTxUlQJtuYKRPd2uDac6z3KjuYYvmlrJEeIi3UJgivAhlA5NkdLwdWLclRlzPuM63f0nI1u
ijQG5CAmUx/j+eKx86G0Y5LyGfS/Vd00JKb6XUXsiy/JIO1Em4RvVD9hvcqWtTLJmWRjV1727V69
1AYNOu/ZWiXE+6IO54MM0FxYRs8bVeuLggDldUPxYe6dIsKS80L2ppUuumcYiN1z+AZGbs2Duudi
VO/Sab9gXo9RKZ0aUxzmA78QNiUgQ1+kmqN1a7uEKm2IFR8ywJGwdMWLOhEI7lzhJE/ciUkumDRn
CxQzDsZq2LLvpVWtk5f4THAEFfyTyFtXqq/p0O2r+10onerQ2En5Mpjo3onWPWq04TcgFHkZLYUi
+PQNlbLRRnzSZjdQNVVJWIfXnH3EDCRSiMsWPXfc49qgECa2DGIN36qJT16z2bLSyEZivkOG20Mb
V89dyiK8Q6GxUvlbnTIBQBHFdxreL7CdIYz5RMK09oHc5WDBmGC5GM5iY2z4JxXn4adEr3jj8788
EtVcsCuBb7YIWlT3CUVzFmWzz3dcH5+dDeQmLD7LpXFRib8ahaPjqzXaPLt8oOiYtfhVCWYOkqge
aVSKxC3cYhEfXjqAiTlNkdRkePanqmCzzpORaj/HyK0ewWeB+CpChGUxkUkQZTWIsxREWj7hC/0d
LUc8Cd6anRQSyUq2aDLrTsNt7yZ4C726Zoi50RNR0wZ48VF5o8grFBKyJ9LA+Z8iPsBg1TUgMWY0
BQqk4sKgEIcPxBuLjLxGTs7UXn+1EJgLJp+BjQICMQC/6CGia2h94kCd1Ea5rHzUByRxXAB2ij/H
TpTx7U44uRTu8I17CRG6NycT23q0Rf06ynEaQM90L7FxMvoz4uYCsbwjHzkUiBfd3KlOIoL6nFYR
fy3cizjY6UfZoO5fwQHIg/esWiHKiUfjchMe9Ku8KhHHFLbnz8tZOClJ5NKQe2yX3gi26L/4FimL
5HEi6VUV7mOK9ZtKGHbdl1vkX5///RapaLpG3OcAyflDYPz9FqnoKtpjbnpEV9IO/H6T1HCoIyiw
ZEb6TEwGL+6fzhp+xNiTvpqqIE6mhfhPbpLIIr7eJH/adfVrUFZaRjJXBquZIYWkJ2Ei1qxtTNX4
0L19ArjjEBDBYuv5SLvlni3sLJLJnJNOGPOQ7etjyRoHKLTO+dmaDkjH5hKipQzwfR7QQZbRWnNm
CsZnfF3YwNU5cwZ5ol0dc2JWdj/SF+6inIgsy9YBVWI3Mm+djQ7MGr+SP4fQ50hY9idFHkhlYfLY
DcEJhMEVM0F/cR9jsV6z+lQGisZKhrpBSHO2RiJNNIWCL0UnT93CbfMY5cJJaJeVugibiUhD7RFC
SsXUO23Smy4fXenUDtR+m3tG2tpb3bMDdgsVKWouw7YOcjglzH5crujHsTdjtHrYCvSpIlwL6xKF
z6R0tx2EqwZF22N0Uo/S3QLinvDPFLb9+jEHvj9af9RXEgqwD74M8O5m3SycFaQImolDNs47DZJF
ZyDEQq3bkE82CVGnXY0xwh93vN/77gwDO9HtEekxwpyIohGPqmyqYyCvo7kMVF7Ip83tTjYLQs3s
tS53FsY/DIYDhoVcoiUXDiLS7RC47V7Txnq7fmBT+Bef/BIQBgv2hD6EeWnDOP5X9bE8rFl/lg39
5fl/nvzyf1TObNazOstsQrlYif558sukAHPyqpph6Fx0hqL7zwoZgBagTVx4bEoWpeGU/fPk50cS
FbfF1cRg7a7p/+Tk5zjlr2f/z8eufBnTlFFv9K3s6DP00U76SvceZsmGYti7D1wCSMS2ePEP8Boy
Ml8G4J9MElBHVIU7hz83euXkP2QB8koma/yOVJ8v6iiT5iAUkR2Se7LptJPof4TGpjZHTTvm0RVR
Djva1Cg5UTZny2ojgdw+iM2k+xDiWwO7FqtzMFZxq6ZzQmIhCSurgjbhuGrH5yaYkXQ7zenlnSos
0+KIWpKos0wfJx/9NVFHi/ZqklUBBegxAy6hP2Gpp7Cs9+aLJa7NckqFRGkG0wFf1MZ5sqYIcr9J
v9GNIidY1e9aPDJfHEy43t7Jt/lgqs/seu+Ei4CMxyfEvGpsU2yn4REZ4oQit6BmjP2ZQKkP7Dqz
+XuNFHDRilO9P1A3o/vtFzxFOiv266Apl4nosgtxTEFPL5+ElkWEXN3W1UHhrfkT9rImQV4wjwoM
4G5rvvAsmFSWzUbc9IQrjd/Zb2PebRkmsOv8l7bm2bB3B2vcVFYAc9jaOr9zhK/0kz30yEcewG/N
rMHYZK2IlW1f6z1lPfviNUudZQVTnAXHCJy9Hl4zl7fDpsWxhYK33LyyCxqlvmWbLnb4NT/L79bK
t4aDxqs1XJnViT6gNpDRo1pd09kbJNH8ASapH70O75I/++OTYDv9whujlDY/eAAtSWa+GoxkRjEL
ni3pE95R3ka2D82MN8p5ao5ygFJfW7Mq4Yf9gv/lF+uZkhjsKT43gilV2GggsOB4or1VCDaRz504
bY8MVdsjfVAjW0En4F/xvGFlYCsc4n2AJqzC1WCuK+7kpC2sF6rZAeCoEKb0XtzV86w97uEt8MTh
33jbqHgBJ7BlbVBvCy+Y3gq6SKQIgVKf8kVmVzJ0wIvijhVj7kyJfdi2RyBDxoD5mnz7S/dOE3MB
ViEePHA4Sng0FgDICglv0DY3prwm+9tv2RE2ar04U2x0w67G1sp6afYzNiYuBphEjfmdhwYgGaQ1
6trQ5rDQrzcjntHsVTskdrdD2AraYbAYdvvi/iY8cZ/8f9ydyZLj2LVl/6XmlBE9MKgJeoB956T7
BOYtAZDoiJ5f/xZCT6bITJXKNJXJUpYZ4c4WuPeec/Zemxc5bnn94vET6fsnx32HTgsIFNrbNqpv
Z2D3AiM5faY8ZmWLsCX6Lf9KijJxP/BSyBBXbe2U3VwMkLP3yQa0hOvJkAWOJkEtprQwTi1X1EGr
Jpn9zVjJ+GKX0ftO+io+IN0joaDjfkeKTYDhAKEA1Sut4B57zKVeZqf6FdNjj2+v/+jG3c0e8cvn
byr7HQ3kjDPt6USy1n40HecZ1ljaJc/cGtZzn3FAefgVkw7Iq6axK/fDSp5SEgJxrxyLBYcgsFUu
Ucsv7QosuJt7c/oD2EjSoLzQicfC0sEAheKLDTkOFWT2wuAw6ZcPxjsfAt85l0VrO87VmgMWQPDx
PifKkzIP9uxR+xL3I5L5xD696xB7uDX3SNsVXPoM+tdigImUMcNgCSuVpB3G0G/PHbB76/UdtICj
wdfwjca+dgti7ynBTdryNq2HEbThzDYiq5XtlAWMuAbdA55dk2G2bw/oOCSuwNrKiHEeQvFKACVJ
pJSWv/Cyz2UZ2zVDQFDxkw1Gf0MoTgEtuIMdKcioCdrAFPZVnnILjkLx1b3PBWBwrviFfSXGXkXy
Co0RHW2Z+fxRTnx5MfjOBZy4xnBSBTW4LJjA4zb1/JurH0oPb24DEHwjb+P3BNXHjBmWyYA4fxMR
ZayVbUe8/KHdPJ6m7sYIpQfmfEBnOQo9zXGZfcUgz1vAX5HbwAlwOboRLaW7100ctOvbviG8YccU
jnooIBEAewWzI8IzfvK92jHZsueVEy1034GoSnrVHT2cL73d34WXa5BDhEF9P9sLP/HCAOTLPLqW
6Kg4PbTnvbhsmLmvtJXBKnuI3eEDiX2zofhuGYtwPmVsvNJJ7npv32A0EB6PL4x1U2JSh7Rek024
D/lKYBE+y5mLu0Uieawdd73Pq1+xDDJ49a82tbbwDWpiSjw8kNZNjaul2xoPmWDNS0ciGYVTKvCn
kRM4n5Y961az4IGDRHf1aHEnQ+p6qDCyojEX5f3NhUvWae0ORM6m6tDVVa8VeTqgibYSZ8indAua
Uy9+N720bkBDDDen5kPazyQM3iZTXiu76Suu9QcBo5v8QB4zYS+Hs479qCOM9k1rKtM4Ju4URE6q
DvEEK2byPrCmLbXxx7W02/BK3BgBaAxsMkZIxNiU4SM7P7pVQ2gyW7yUg9kwH7ueWp/E2u976Msf
4qL7nvB5heqBAtTo7qQ0rEk555p/+unjk+CSKeP+kOnrK64LEIfQETu/I/mppx0Xdp0za1c8JRqz
TrUep2SjbUusbYNNouUDw4rGK63RET3dfMuRIfmWR+QMxAe3/ug/GeyNZyhFNgy8i/hSA8rc9xhN
cDMUgQQoYxCsfNLsoNZqzGJmcXUSqHFj0zf8atsVMsksUyz7nU2x2dxgkNRLkp5SnIs7uFBHlQ9R
JxdnSapCAwmMQTAdgBUwRXcIs1V/wsCOSYk5sfqRMITET35ignmKV4CwMIIQ69das0vEerBlJI0i
ad2fplCcC7d4nVhT8i+cXsKx2VQPT5RYWUgIg116wve1dYojEVXiGe6LV3y1Eb5E0EncyvXDSQ53
Tz0r29jXD2CEo8u1NBmt3xlUim7acsSy8FaCpULiULvMrZUteSW7dqmQjSRZBqEAGKdfybtY9Uxg
vSu1GhF9pMXXFrvUGGjv5IWP3GIPJFe4m8AAmNERdOeKsLGaLLdl91Kx1vnIHrLDbEa7lTAf6Vig
CtmIxIjRSX2ZERpyN6VLxBdFxUauA33EAmapi94Kg2L+ecn4K2A8u8wn0z68nR7nssbbTcZ99T5z
hYL8BRorooX80CAc5wyyqg7nO7aRj+ZHptGiHphxL1XD5X6CwMUsl9zV2GJXYHV8vsFnlmI6MaZ6
ob+6IppAPNcf6loHFTHzkdQBGU1mCOrMiO1t171LxDaJF32hRnZhuFpiEwGoUXG2nlpzWIAfpma2
DkAGiKg3hybFLDmxn6AGGVsr+eKWkTSNC4lMBS5Apu2sHMVaf/rPChUhQ+MJGTkuym/ggzDKkAvj
l/Ufp1Ei6QiH19vtw4jX1Yx34mtfc3AsjQt/sYgXjQ6g+4G+b3Ob75XUltj2YUepq174HMbXcu7k
kseKC5ARF8rahwPqWjata2GKaLwT+GfPFVNf1Y46pVwKn70FXiIkBW7H0jnQeOISyEpHac2G1A0A
+k8abrgQIfxyvYsAtO9hqlsNGEtcaHOr3w53m+AWiNH3p18//DR3xgOHYhoXBYeDq+CMuZ/ErnJU
Wnv2DOczimBwoz+1AAPosZ5xw0BHSjZQxRc04z5L3KKuvuCrlHUzBjmhm6r+ltnIElmoz+IRhcyl
PlwPzLHExYDRDc8msfbhs+SCIL+aVp5WKP54KDaldTv052itrpVA+LuI7b9zoEy1qqiMk6kqSYqY
dIX/rpIWZMrRP1TSf/39f1TS878Bc6RCV2VD/t9e2T8qaeFvE20al4gyNybS429tNPVvtNdo7elQ
bgWFcc8/K2mVQTR+Hl6mIqJUU/6jNtq/8CNMoy6diAzsPDwiZfZv4ri6NW6z9AbOUdAHbtbKE3GF
amAmHpixI/TUY40u6bdPi87aeC3y36042l8E1X/8tP6sbmxSZJyPeTZ66dNgCc9oMK5nQ5S9dIM0
kOyVF88M/939Ic5/xKxGvppf5YruHFnrpVSdiy7Rj0Mt4Xp8Iokox0dmZ3NOdX0qpEGvwaBUn+N9
I9dGbz91ySDRDI6zPcuLJhjTMT/d0L9Urpi2mbzC8U/GaHGTyJ2La4qF9jFgSTRKFaEgyjKxjXD0
p82m0kWfE0bq3mPycQxSzR6kGs0rzI3JKCVW3TGiKZtuxn1eG29NFgtMeWrxZ1A64qUSNESlRues
SpIPQ68OAjZCKZHcfjYLi6uKoDV+lkt5vHJ4vhcdFTSE+TRH22fE4iFFFaIMJN0NlUD+UIoCL0m2
sTz/SefqR3zjuCqp+bP8r54XS8hg6FhhaDPQF9Lu+nd38a/b/A93sfCX3//HXUzTi9YVs2j4qTCh
pk7aP+5i8W8qcCkIT7r652a49jeQIHTQMd4ZkqBOL+if/TCZOTGsVh5V/DWA/hNW6t9hpvS/alx5
5UylwcZObNhfA+XfbmOjG/O/56oTdKfRf2V8yCTxhQ0eptobSVHVD37VQCMzbQKraSZbeXgFwTau
NPfm09ki9i8cFjFBf1O3rNyMq96bkiduK3JXdYBMAIE43AATJ2KU/Mze1bzkOOO0xOVfB+MyXQzr
dAHtnHAjAHLslZ0nmu+CdeIoQP1m/5Sr6yb1ej+yroQ2XN2IosCOOZDqf79m/5+ONeVfGASmz0NB
ZmKwVkL7/+OyJtf3gbVYJtyJnTdzZjNXubsXbUvtMnf7zBs+8QZFRIgRuEOxrH7qva2HqDRqhyE7
57Gang81M57rR0BIIPl/5cuTmgYI4xSfU5zLb0Uy5TeF2/BhtrKrM+cbkT0CGjFbzNEMGEdTem0D
uusGxQIfFzE5SOlV+FTYuANyTnWrONZLfMLMKL+6dbwgEBFrf8xQYkd/O8U+X1n9O1GuDCyU6RRW
0OMHe4AGcDoSqZlzb70B9RmUB9D81kP1ngRN9ztUqrFdkRd+TJnK7SkQbZKCFeJiu8XsRKLbwvho
jmBRHopfKXbMaQuk9nkum1fNeuhhfGGkbpQ2ctqFuk3oQmCNC4yf9B0jQPcRyCcJcUBkNrEzWsIn
r2V2wPkfyqEaRvyvC2SasNMUGuMXI97UxYxtcUS6LukYevVOVHFv+7QFIVsrnPZsHUH5zSnPJD5D
NoA31Zn6S/QCgoRumeSTd1dQAgCNhKlOdVeeCANBdNoq63t9aBpzALMYhzrqTe4Ame/MFUUCDAiz
QfyafYgpoaFudfMenfs819TWDEmxZ2ZT5w7LMnZnemLr+bt2mDIYnPQVI1UZm0F26hEk4mZ/y7dy
+AhuwG6f5LVv9WJfRy/7wTg+lCkjRllXnyJJ2z/tJSEsh0ylB+JUiCWoob3nqnglY+0KQ3KJEFUk
1qx01jRKsleMz+UKvOU+KqawkwfgCMW9fcVvhMhsuvV9ffssQRHSZIEcyqyF+n7R7fQzBqlHKC6B
eEMM23RQAPJ1e6y2mDZaO/EaNM9EWTOxfoZ0Kaov44USrLhBfATsVVvpNwBhvwwxEDTWaIsk/raP
TbeLPsRlTAgbFqzIpGDKry6pcwI7qlt89UAw9g3NCjxQHI7Bzv2ILA1gw6cmIe0btSKD2y3oqDBl
41ntwXp9mOBIme+ANXaqAxERthGo+9rXjtKW7tkM3ETiUUOu1XN1wDke9sCRRyJqWzp1JiU1s/zr
3L1zQSZW9yRw0Urjyz0/FA1Bg5yR6b3QeTE6TGJ8wxaq6dEVLvjhbvdwLNZF7kBZK5iAUwSzIzde
Pl8kgqchuT/w97PP+yu5y/RYHm59uQYDfVlqcCoshvCgvOChIbGLCU7yOvumLjiOyImlEHi1B/vJ
K4g9dScD9IMMrJ8YQ+bTe8za9VzxJN3ROHzoTgtYFAQcwhZzBjSbeACuvEV7ZC6e/1AHgRbNInO2
E95YJTKye/BPvjDR4/QfXapLtJQ8IV4pN38qN18f2qUoN1RQjW4ZO7m+zPNXLpwrgjzkz/jsAXcC
ZVuInTsv7GFw0dhGQJcQSFzPv22a/+IwB2Xxr2qlP2ybk4/89zPkoDazqKsH2J2fD5fVUD2Jb/qJ
hiRtOgmINJkG0Sm6e8B3bjkAmbcKGmLlYuBsqstN/pUuNlGS82RZAA5pTrCYSaocA5biW+ojx71R
/pV0KvC6+P3ul6gIvh++ATppDAYifzZflglFL6XN9cyiznBxh7JODnEQEPxl0GP0+GMISyLOhElD
RTtsgiNCZgJjBHsI5g719vMweUYnSjQPR9RU4dQhIWq8KSB9uKd8zofEVq1oXEXf4oq/9GKwL6t+
hz7qnUcCiUi5h3D8+9dD9TuihnkXon+/SGSp8Tf5Zw5wFK7i88ATqSdJddBqyRkRQhPeECwQsB8o
Q9JEWuIHeW7+IOuXD5cMU9lBksN4gYlM0i+H5IOewMg6KiGJYgxhuJmvWowlYLLU0w8RmKq/Qy0k
a4IUkXX0wp/162luIZyZVSAOYopCn+GTX3A0H2QPPzB8lZDummPmP4s35jC30jPcbluhvolA7tHT
nCJbGKN0yPqRYS9B1JEly4CGh2KsMQQkYNKyisQ35lA6CiNF5WJeyNBfGJj0eyg2vDTSfflxuiev
ZGMs+Zfo5bZgrsVECkRKsuj3ypIb8NcwZyYz0SndsTzICn2Q6ankUFmmMz4RGbit06crJld8L4XP
7rsfNleXbfhF85GCcZKBgi46DENsAMz7hm7+u3KpXsQQz816cBEguU+3d4h7cZ42ND9Cb4IueC7b
cqHrFwQCsRPFYIvD6vwTFbP9/SovGx1YjlrvC51XOM4vQ05bQNbM8Trgw1N3gAgLOXYfabZCLRqJ
pa8N5JLyE7VMl3b2vC6j+yOzHPwU+fHdwaTnJ9/sXm/p42PADDhBDUcOKI1XPbddbNFCACnYuPJG
+Ck/jH2XmYKBRsYVSkRmj0W2qypTB8xNq63zq84nkqVJL7W6lMoDg5EZwi1lxFIbKELYij/quDbo
eoNXAUo+e3uodDdZhwZJJyFXshPyYdVr6fdK6T3vEIXpvntJxiCHsHfW8usUFKhtHiC2CblsPXHK
8m1ujpYs5cqNnMjpZT+Ll+XzmIKpAkCi0CiGMXXjL4Jobt4u3YsWyiT7XgqdN+s8Owe27tzM8w+6
jfgKiFqRITM9aHWwZUd4NR4nBVxnSsv0dfZ13wnfuTK1VdHxVkSlXcN55xY4ZxRbZLYKz5NT6A0N
limTeIxRl+xt0pgbGyuSlxODrAV3D1o2TMzgXm4bMcR9bMrVKlXNRwj1iIXAOMxojj/o8XPcmpMW
LgKV602IQAvanjx08SrD5eagwjCPMA+MpE8n+6J7WOh+mlgE17TyJ5QWpBfv/WHwcgddmoUPiEDm
3NJP2TlnJ99NsUP7KUEYWv8YqKuJc8r7lHEoZGbsEOQ32trdQ1idNOQ3cVLAUG5F/vUIM1wgcbTd
wkTGGG3WH9h8WfJqZ5wtOzSfUFe4Kmg5tf58JHsVrTPUn0I4zDI/j6zik46pQAy38NJuDkNl5qdm
xpdw0qMlp9kbBP/SbCPOcSQbMo5e6TZEo10ERcxVUut+lo/FkvH4knbUXngvOf4PZOpyv9FnZPdE
4nFWT7enHbVu+4R0MH21ZI8wfpPeOjhvkMu4+N/aX9s3Z5Mosti2jKM0eDLRxeQFfAov/VGvnEeB
+pGd1MK9gnIyMY3L/TVSSei9vc1P+kv9Xj7XcxKAoUK/k0iVw7or6ElbD8Fpzu0qDwzRVhbjOv+i
XzlrLeOz+qnGKWIwBRfvc5RfGnRbObUuxEV+aj9mx/tF2IjhE17ATsiQZRIeFYre/QK9jXvqoL/I
hVeCOgCTBSrNHLfFBZVMCPs/kF0tHAPdV8luomeO8IUmNpPT20qlBsPLT7OF7EPeymxTHq8L2SF8
dpVu4oO2zum9EJBrWPjLGMzdVqXLDE0/q2RajnTH8VfqCDF7aH/QriKys03pS9gkoEBMDvAsd+p3
u1JfuWwefj/hTQGFwHNiyIwKnrEXgLtAzJa1xRuf46Te6igGdzxsMucxXWN5/eDYQAHVvDKeZlFP
FgaIwdvPU0zo+MPOAiSh9m/ZQnUIZIQVhW6C/UeDUsXbspiL2agyZUhjoz1ntahbu9DeYzoYRXij
3T99HLb4DMfvDivQRA0Hste4VBBetufz7lBmDYTzvhTv2G1pdZOcxYIuh/Mf2uExyNNNU/sjcyty
EmqXJPWpZFs/Z42JtLl9mPlF5sjx9Pn/+BF0o2CP8+Ncm2CKPfRFcaM6Q0usPJbBjP7NI7WVL31f
nyMmneUbV4BuVh815aotsLShcvjqQ0J3XK6bMVSdPrIyNRxe44DMBShMpjSFJixGsIv1olzNXvV1
a3ED0N3uYVJGOPJtMtZ4Y47g6ctrZeKL8vPX/LAXt7cl0dz72yXTNjg9uzWDwts+g0EfK2YqbBBb
Vq/UCzSY0Wp1wPNYNkEYMqkRaNiVyKc4RV5xQJIuoQCDB9ROODq3Pba+URX8dKpcAzxl6mhjnRSs
+zdYBUZHczvVWd+kS+4QybLiSJtzuSWoGaC4989F/5WC4hcX2SHZ9IvWTz1EV6zl9svcumAQN+vH
QoyQYHtCbinHbpU7NN08cSsGRcFjTZheTz+KCj4oFBgmbkKXld3imOuRhcnuESRB/nI7StIOX1NO
7QHma7r0KqY6WoIv9jwL1PV4Fs/3IaADXrxGBspoUi7MUkE4h/PKGgfE4b92CiRpZEPdqpBAq7Rf
Jc+lTqMBmBfn0Q9OxRWfLkj6zhVoPgDbnjNOMF4bBlaM7paFgbB7o5VbeRZWnder+1LcKfOHe89B
VT/9ubFhJy5HrG8IWc2mPSU4V6sGETBfjC8loANMbtqGiq83r2/J6UpvBPdzu9W2SW0ZS2EVAs9T
WZZfhg/4hFCfRVjOvkpSeCBvHoJ3PYrBzaEgYaVIMosSoaGOxMIG9PBtPAJ1W98/hnN5eAZXwwKI
OJ7Y621hTZg8T9qE9/dZSqXEKq2QxHJ/IdXjVsDtK6zmA9Z9wrpo8XUiRuSDEq2CocZAhc3bsJhB
qA0D2YozQG0xEQTMxdA1O0yaXqZSkX1/415wWcGpSr+qsxGMvroYVmT6TLENxgvxCkym7janoLQn
wlcIONsOCLVnC23Zo/jlNDubCMK/6pD/zmkDfUba/gj2JscYI4ffSi77vXn/39HC+j37/r//R5Jh
hv9p2vDX3/+9T4kwj1HD39uUjBR+61NCMFFR5k5h1+Jvxhbtb4wgAAXjlsGtJs75pd/alKKoKIxE
BFlQ5wBb/oM2JXMKdIN/crb84a0rk6j3t0alVEbtmD7vujeGxmbyQ65jb47SgArn5enCLt/Wknck
x5EohmyJ0AuFWclME+1/wL9SRGCdZtVZKktg12tOByCEb84HETkW0HArEzfMNXN80VO1ROQjQ2M1
oIzJuk/9HsT9VE5I1xfViimR3bmyG9eotBCDSThbRZ8aKiHgBSlYjaKM+fqacodKZSpiplKHAfa2
1FDJE2BB0xSmPBo7ShBCXRK8ZO3OeC4ovPKQB0KzdiVAdxJ4YZIQ2folG5nXuEYCRmz0HNeZJXOb
43Uw3NsCMzd3NOUWPovcRaQ04VwCMehbBx0Ub2YSQfWE1GMXQ+eFYs1H3hW5CIqM9zlQePMTDQ+a
CcDskxwMdRRFI5IesEeomBEtTFh2/oDf4gf5AyVDgWCiYxKPPN2wR99V28a78c5DKk7DCnUXfR5L
/rtMapJ98TdyYiO9ytFHTfIpdYkDcIoIVpfj1y/BFDIAmlUZWjGNqh0vzWJStDV5WCUebuNf4qth
r9QTVx5aKY+ENQRu7AyW5DzgCRCzoSXjTzKKds3kN2bvBp3FZb+Fi0nu41lC/BhMD9cvk8hvtOnT
AqEVufUrx5p+O1aAtDgh4jkyU9mdax7/WZFZ/nCuQJ5OPVumvMA1cub91wMSnDMo9gqdSeNpz1cd
6SfAD8R4B6EmSgu1NKI0HC2H7CIeeU8Emb3zlPcFn+bAkgaTZWHg3eEDFYN5cOvDItsANeg2yAnL
VwxCSAcCeu2LKW3rcf6u0IgJVOvgEd6UyFYL+hhWfog3c1ZbptlT++lBW9JGmqO29gPoKByCwS+J
NMRH0lPh+DTApko/4at0tvJhcDh+d5/z6wkAA2YTQpS7HblK7/ndHsE0IySlfciKTtWCxkS6nmh5
0LxQ19fD3W8D8mzW7Qz1nyUPtT2dOyXTk7jJ5uzRKMWoY4pPoLXhzSfzDd4BpWn0fcs8rkj1J+Us
nNQ/esrrf5jSufFB4ss2ikUHBz39b4XDQeLrVKixYT/f9MM3z+ChlUwFJbhHn4wg0LDY86/r8hqU
ELKPju6KT6Q1pC8Mk6aV8HQkFfYkxYOaltJIGFQG8pJdzm03OfVbYZczwKdVAwpYwk7ZI1178pao
aUUu0Nvqzm/R3ojihhveij+HxcMncut+Fg/aDuGgK1Iv9LxRlVZMpdHEtKpXweksYqq0TT3VIkfG
L8DLCv2cV3Z14u4DLsp3Ks3NZJchJBTWxSX3G99wWlfZoXViOAghGV1/gkqMRO12nXL8Gfh+Xu4w
+66WOtMDhaBsOiIfrQvh6Rjp8MDM9kCbdfgBAUC46ke/RutTkCFGlyD/+NSXxgrxiT6pCvghHZsA
wwMFLsUQanvmt7IUVJy/9JwXPZwS9FvPW3CF7iNtBo38ML9MPb11mypazbqvxqfLXXXOHDzQukg9
Una1NUuAj0assEu+CZc2FCI1LfHzmlSoKS8nUYP+viHREjWD9l7PkFl4RrGMYlfCemvsr9iIEFr9
ChBW3yK6a/iiKAY36YIe+PBGqfqwx/04hV6YxcvjqP9wgNd1636MVtoxDvujGJNYZPEWG2u21Wzl
+tU9KGOib6O3RsWTdTclaqOW/BY/sbQ1Ek9DmqcjZ+XrXKeaQx4JnbabK10daAiIk+LUo8Evr+6n
fjez0wUhmb3f+5lObTUFwuJKotNQ2DdUa8SGSOR8x7vuZselqyNPnJvFh/Fabeqt8I47KV7xtjS7
KO2Z4DaKxWG7eu/5LpEBQr3d9R83nc62QZCYOYbPi3aJflLg5+iBdjcyPU1kTzlxHbjMwEoQBatu
xda+E9KqMoEDVKe/oxtWr1Z3KLynz5AkPjSLnm8JoxwztrPmP93CR0aZDfbzCzmTqy7S9R1ljpuA
keXzXZbrBxudSHtwORiMkMnYEq68E9JNAjo0UWQTO8qsgP50K34SmjoUFumxSD3h+XYZeDpHppYI
5Z32ycjEWADNZuASd26JXmv+oTw8WgFXarxVQ4cW9H+7uXEIJOR2hqiIwBPU2aEATAxpUNj6Mjc1
p/hqEz9Do37Ter8mavXhAOJWOBhz6xGBettUeM8F2noWsvrKmt9pW6Jue7JyCU6BEBGR8wMSIC7y
L0BE83Kp8d0Qz8rJWbWURTvp1u/IcYclMnoHaR+d/y+chN2JTvR52LZWHyLpvSgXSfvBNarxbkHD
f2eeQqTxJ2W8F2EjSAPjQDxPljI4CaXvB3svB94uLNAPs+D3tsAojjR4pke62Sh2OR6f90XBmK2w
bpvOvVvKZ3s325CEg50iTh4D4/kiIBC8WWkZqN8RrY/5+kqPhzNxviXcw5n7Kf9JB0tYJa9MBW3j
hxv9uq2Psv94Y1zK0IZgtfzuYEhvJYYSDi+htvXjeGmX3J3pietZ+4aFQvdsllwywqm/H6tZ6gAT
oreDQrUQTs/kRcBKQ2rAASG+xHA4AQZOtwA/qMpyTjcOe70u24bgEMFNva5/sW1fmcN5VbJ4Yhww
aSyoxwFFEhHPTn/1ZtRE8Myc1MNVfEkQsCdWq8OpsmpQFvSm8CnSQqLEEKYAORgd0LSdyh5fU8Tg
ZzXQFrfwykpKcb5pcBoZJzAsyr78uXbTUte9x1SUbCK7FoMGNBA6S2N42xfv92X3zcKyZ2XyHp8P
icRLnq+00xOQ6XTS9FZfKe1O0PHNT2tMp4xsNune5mAHRjP6rL9YJKl7kPa1x/ll/EzPnez1gnsX
HH4yQRHIEpaS70xuoTkTsFeaIymBA7eHM5YI203r8RK/cPphhpOELW/+LTup9HKSMNvTyaAXd0Wp
gviSo8FzfY9tY8bgIbOvnH3Bc7uNT2+mzMBSHXKGUUyOyarkJr/bE8fPy8fNfcMuffEaej7UbZuC
rKbFbSUtpGX7BkxFWetbVXeiLWkuW4ptZIh3UjQ0j60gMbwyd5gRIUlE4tcrHtWkn4JZ6B0SqmWU
wovCHegpIcsjjzr2acJW7Df06WUPYaGIyW5f7ro1sjWyf3kA44eVMd9l0BCxu9q0XIraIkWi148F
Vy/cJK61LqBlRwo1t6fu+nkfGopVC6RJeekQAlPIU0d1hC9yHeCw0O5kmTV8TXLS2pHTsOhtReA4
Yvaqqd9tpAylYGcvxQjorz91hQlbv13L38rNqulXB9q5fqNXrIKVDoislz7bhRGICzEJBgmxnaX0
VgK0rXQl1goz+RJH8p+8SsQEa6EQTZx6K9qir7auulZZt2nWge7ncMn5hLbb9T3WPjq2ghC+RvrN
WPaOMbg30bdX9x26XI6yrT1nWnRudVK6MenbCh/CDrhFFdSwyW3+7Op3yVrvAN1gIjLLnchJkOoB
Jjb5W4Z7YIpJz5tnBf0nkqPKF7nnFNO9CZMiElqs/CHPrSp2ES52Fy1fCkMop5tyNcz84lc3PF6h
pP7Mw2gfnSqHRvP38CIu0h4xswRLEIaBOT/TwFKl1e1d+pS+ZjTreA8MhW+I9N174bKLAiZT9xiV
2QkerU3bhJo//67UkPMDS4O6ZwuP0Scq2ztTV80xXqP1ACrtKPpA92naNUdxtFF0zelDPG0+kPV1
iwCfpYXEs6UQ5uvxyInHvW6NcBa2WBAbcyutcz9bxmty6ZekFiIdySD1E1+bmNf3x2f2I12u2iJd
CtsdL5mVjvMHT0e9sJDfsvV8Ve8fyxvgck99ay4DCPqnlWcWFxAfs3VkPLGhPb2ZMyukz3vOF9Sb
bFZuuby+8JpTlBOsB6Q8YDG4xN4Mfqt5tftFfNJPaLOmM7Ojomx4EVApM5+auenDTu8u/HPRv2qv
uWJ1ryVHAbJgCj5iElE3WutLQU47cM+DDWzjml9q/pSaMqevY6kAbjmf0yCjXj1F5wSBTO8bS65v
GU3ZJ+i5erRzLPT4gfZgwmbJIko2nH8SkroEVnAiY8s34LG9Tw/VRrfKhom4NbbIikEUxoAk2gvf
fFIRBqjeu2lmI8DLtRjRbNuvjC/ajx3GC8F/d1tGxNkIaURRgS/+/+yUNEP+KAKlLfOn3/9nWwZF
mop6zMAFOamz/tmUATaioESbKOs89+9eysnOPeUWIvEU6M/83pThN6ZfIfkJzab2H1GFaP78i57M
b69bm8Rlv/VkxhadZ1WnhhejHoD2Ot0s9wLrANGg97AvfsSZ38s/V1UkapPkFo/WLSMSMpOfmdME
nLMq8ogI/gue5n6pf974wYR/DKYwCKMut0DwPtltHUKt93jOTYN/em4/3RPp3cAfKlypImJJ8W7H
og3r+5veKhhmLtkRdcCaZFOH9j7bqqlNJB5E7pZYrrXpkdjzpGU1wTgiIKhOE84v5Yi0gtTu+34W
MjzD8NX4rXdbRB5THM5ZY/Fzh59lfbB2+nXCruBwhqcUmbqVlX/TZJ+9LP6uSURsrQIBjat9TvwL
inUHz+hp8j5EOud1CCAMWub380z/GHAyFws2hZkNA26KKVa8Dpe0xFqC34oAWJmBodVbqpdK+Djs
avGzlkdkJc7NTjbsEZgDqAzMyumg1iFAtRobocLioA6YAG5BhNIFl3bn9vIGR7opPjkNlRvdownP
iWsVm+9144zaZ7duvGTaNuTUApTh1s79OGFq2Sh7a/pJHwU7FGOpdrFLWIlNnjQ/zUIWCDHctZA5
DMf+PMAtChNDZDSoM2lYi0vwDcbTgz14c+/ec6tRlC3ulratcLiaTCRVcipDdTfD+uR2eEqCxtU4
HzrzN944KqB8/Xy5+4WLMCWy68VohrXyQxaOm+Ph6a1JAHG4vhT8sPMB84m+BtPYGxeSk4XxIX5i
JIkZLYFldxijzUhXYqhr4Ygn7WpJ98AacP+jzLDSdIHawp6jGSCEfQgL2oQbY4OXgYEr66ktbUrm
i08BQ1vKgTB0GufqdYvPwYEw/s1MYGofmIxkGd/UL9FkL81b8wHgjeMsgrQzDt3rW+URO5QwX95I
vpq8DAvMvZGNO2MhB4nXznxFCvqBhKJFlzJrkRAT5ftcWQ3TRygd7vGr3th9Sw3fwGYOu3LN1BgZ
UHqfpgEzbx2e6NhMR4SUaY7jLel/fQb7fYAsDzPitjO356VDd+AFmSHNAPZHa24eDigezDs6KN36
oSqewtznrn7AGYOykEkrw4aMKfemsj9vOB4bZ81BiPO7eQirwKOrhmiMRBKZ5oSHeY6a2TwxfsiC
hDtJhFW5SgHNdEtEM+envIk3H02gmRebqN/HW0d9zdWN5IiiLbPLwDABW5lYcpi49D+P+hD3EE/N
j341FWwA/pziu1s0PsISrwgwWjB7QQnHvv+wytP9dN305m0Dz9i+7Z/2JGjFNokEwZZC9fDKSkA8
zU8hB9I1jAcT8xKLFGcVGqGGI0eE3LjXxduwnBMsYSJE+bit2pk5W9ffg8mphnKkB+KD/5tFYDxh
zSVFprbizc0hZIV0sIisUWfESUERsaKKv55jxA7mdT/Y9y9piWTFyU55ZMs5RxHSx6zy8DhoIHgG
mzuidqKdlOzvSwbGFqdJ8z2t3ef/cHdeu5Fj2bb9IhbozavCMLyVQlK+EHJJ7z2//g6qbt5URulI
qHveCt1oNFAlkUEx9l57rTnHnMF2mYI3nOUQmB5Q122bu1a8kYlr54oBAtO5ujKpuxmq2nSZwb4g
DnQeGB1yUsG7tEAMRzjNUkLRchCP/YrjwN4Fz6wcR5nnzYV3lzehPjiubQor74ROcIIaYUbWHnO4
uXikcKxnIbCIbYJmYKcjpiIgifQrU9kUT8ZAGdyTxj3GyKLZm/NHZWkKVthb7DuVoGSJw/UEu+tE
trGaLgNnP8DUoDVJYBASCxriBifQuToZxcbmcZijDuULqkxp183p6ExPNBkWzisqzymdWvzxORNr
eJ2se3w2GlszVq/xDHeDJGLFpJc95RTdAuenKWInPN6sXNaX4GDQVIl34eLQrfpHM2FEgMaKPmk2
nOrihyO8OizxmQr2DqvjfQm3DXmvgSKAs13N22YHqh2IduueUkw/0rQypiEaAZ1pLYMCOtjEqLvM
35HvhLSRJ3RSSrKaeH7OjXKnF7bpz5Oer13YvUlgZEOaMdo+y8mJey1J9bUek36luauSp5A++Z1P
uYpctVm64zv7FrYXqVmilHDDieG+6RoTS/W/PRuTZQT2umKqqoGW/bvZGGrDKw3/9c//LsJEyBWw
LBSCMcc4zY9lmGqixdcZc0nG3xXab6aFrmIpMEl0gScj/1mHYRiSSd/kXyBIx1D+zXAMKOA/67A/
bv2qDlOMylUKOTXszlypzIHHzOHIKRZEtKo0RlOUfyo6U7Wv7xOiX278YMzdTLp9VznHTmABl+QS
TEFNwyUrRP+Ix4VWBNoc9WKwq4rKo4eJrDBOQtIttIYQJxhVio6YYg0SLVZwkFR2m9DK9xzKLNOQ
MAwy4B/6h8boLwQF3ohGsO/YaGTmVJqFvVFEiqvTUyvAG2JF9kvi/Wrjp8fZWQFqHQ7ZqgKv1RlD
uuGbt+oi5kplsSu7hkS5ZJl6QHvMfqdl3kZx4i2RF7OEbkrO7hAaaC9U8gBRorkqjOXByQldKJ5i
wFcmdF8zNJYiGO6G/LuG2yZ4Y+r3z8kQLEqAWlOPBLpe5Lsq+7gtM7Fcqzr4bL9BVoF00ayrn8mA
BiUYvJWuJ+ZUD4qNltOzTxBLDGXy3MZ0M0i7s2tJN9B+6F2NhMG10IdjBrmP+55dXTS6YmCSHgh7
xr13Wp2YiC6MRSmDmU2baOWWFqkkRd1PBb3JZ3qh7D0ZaJYlQ4h0FYGkuFzaqE2w1ZHpuma9NiN0
n57L5MTxxmKbMst4a6Po5/gaxhO5Fwu2V4lRYxAPiC/afJdECmEAYgYJHNmbWQMhEJu1LLjbSK/m
LYGGKQ1VJU6aaV3PfHOgkV4YkLjpSEb0kCzMwH4UrFWHIO6Qw2+bHkpNnw4SyodQ2gehdUy0LFw1
xDYdMncVmZDddOnYdKSQqtMWRX6Lx6OzzViZOe4l8tC2W8pOIl1T9+9qq391h/rJL6JDEz9aqbpK
EmOvl4Q2wo5X2obOQW4sfc+YOoN54O8QcACp96kGazBNL442rCoXf7Nez4KgOcrxa03XyPNeXFW3
fVfA4u+e5bJCMmxMq4iGEifqKm52STEsS82BJufuYNujbgH7IRDCk4x+53oRqaPYDL+KIc5dJbbr
TpiGzIEatl3FJZa1u7f625YUOMdQD52860RxXqS3ncsrQ41aJMADEe7625J6qOVbp8Fni16zwj0V
6BW9Xl9m1YBgDRhhrjDYvBVUilUmLYoPNMSKJqmc7sui3gRwr02D/QZs69AdhWqjyvFJ0lGuxmCi
kwY2A4YUQ6fhzFuhgHUPKrs2LPudP9/ox8bdu2qIQrJQFq1VbsRIPrblTqSwhJqdI3XLlPChakg+
Mqmjhnb7Hz7yc/KWgJtZpEkYBrKIr3YbUQRFerXb/PPnf+024l+wejntK7iyOMmLH3ab0RI6GsLA
oL13BNjCfu022l+03kS2Gk1SdZWd5fepX/tL4veJJnltAN/+JUGJbfRPHQbhKRKuNRlOEyuGxef6
eOZXvTorss4teNXBSoqbkNFEnfz9JvyPPqxR+P9HWsd4EXxYfFRNVNkp/7yIaDWpE3iYSh3T2VVZ
cpDd5CGr0KZWJtNtuMEnl9C3FsnUh7/LJ6aEzz4dkDmULgaQOkW7+nS+4gxNHtJTkBS+xaVPD6IW
bbmtvgss+oechU/48ULjP//QOknLQU7jVM3tuGPykaVMoYhG+/rDcN+fPEeKFp1WEQlEJOX9eRVP
MSPJTSSe42Dc6qLg2kXSngo15uwjBK9iK5qTUuC4DzSd+VjfvAgOc3ynTgRbcbVbd0Cwp8chIyvT
23Y5aobYNF+FOD6ZhRNOMx+3l+5S5SoIwYLAApZS+FCZcmenNPlPJUzPbQXfsS7BzwyGf+c5WNAd
7UEU+mexlBlledA7Bbk+N21yCz/+yVVdYkQ191KYkOvkKiVDZlgJrYu6Jpqbsf5U0ACNau3RG3KT
xPCYln2Ue3T6BbZ5CAIEDO28pI1PURVH8GEKI7GTMhYxdlmXRha8dNkWMSNCLemnuZQFBysyIF1F
lrAwnMCZZanFeaxsNAHWV9tK6lpv+M1kfvke/U4Pm1NfyIiDY2sAfpB79crvmrkuVQWegvhYOmgk
nKoFY1X4r3rc6vtArUSDSOYGn0fMqDTXnBDJTOlG8l1T+crUqoNYmTtSziFjCMpla7ZblU2SOkaO
9cfBS6sfaYiBrBsG4IOBzh93EkEpiIOMeIohT42NnltAipQcS78cJtNUR20hBIQWNHKx0gqG1KlE
r6RwtPsmiu4TPHBO584FWcHEKZgXuZU72/NLeapLwHF7L7rnW4hCvmZnyiPjTg/IIQk8tDUE2Ix0
e+HcthUB5D5S4zxDIoI87EbucUO65Kbkbf0mxr41kQppLcjpYxp690PTu3PLlP2pk6aPcRLd4Vi/
CbKGaXE1ukT01JhFrraTNW/XOzqKQwSHg6+AHDdva0U+tb7xWI/pFp2G/Eu0PHosWUi2TUrzTFGY
15aJB+Sk2phGvOn08NXXONsJTnzvDSlVWBwijXUENLlxc8p0ikQ4+rRoSD0WSuVNqfBmyWVxdDOh
guqA7yqL9Cl5ULTSIlQqbQwRwy2l+9KQ7axBY6kyAXZF5JmuI9/psTY1BPXSVYw1Kv8sDKMYvpMf
B6sFqaoAhXTC7KVL/R+ulvdzxY9LQsoxDZHJa4nGmxWbGC4i/Uz4JObuRFlgSl1nLgm1WnYnkrZi
lKmC6EDwIX74T3pQbRNTvNWk6NlKtIvph2dnKJ/ynqlg4aEDVUiHcirGsYOSnoqOqboM7MgFLKF6
jUzESCNNo8xEJFQK+7xIn4tGsUhiwSHgF8U+lXCXVoJKQ4XbVCJrLwvdNnLUg2gSJJHBf9ZIZ6m0
fBZp6UpX4gEpBJWzjxMy9oe9E4NK1wxbqWKk6haVkZo2iMPDBhFWfZAzg/EET0vWkrmn6OfEYC7j
xKGdes7StCCfp1p/X0j1ucObW2jOhbAiemGDtZLyHRPi3jXnSeQexbTc9onxwPFrJTrKuZSYveaq
MhcDH0tUY64KySPI3N+mdR2DhkGrbHia7TnBQsryWVmGs6Ioj1GMtUH1JH+SFuKzLsF1doEgh4QR
RpZyIIgcKfeg7HPZOBLMS1UrPMiAEKSiAzSboCDjaaZTsTYkXLbFThfAW/WESnueT+y4BMuu3daD
czLE5E7OSzpEIdVdlKEvK1AM4nWh9l91So1u26B53PVrGAW3qVE9u0g+QjRRXqe8VEg0/sNVGIMT
CjBYkpgL0aeyXX/p25cp067O/Nc//6sKg2NJwq1omFQhOL51fvXv0YuuGlQmwGpFABtjgfarCjP+
Am+LNd/g6E8RNkJzfwtiNdJqFVNHZEsG2b8TxH42edF0SX8vQQ2s6n9u7G0s5nkrmKatMFu1GBR6
+V5inQQfi4pdDG+F1rn78LA+KY3kfxQTPGzGWyoPnCqU5N8/r2kZbROLhUZe9Cqie67MpdE6CM+2
WViTkNRupGnMLqSVBinWQ6+j3H59B5/6RT/ewVU5IwgZZz6RO8DKdoxPYDpnzJSW7Rxx7QzbO6wk
Z/e/vOb4l/hQqMX5YPSBq5t2s2kv4UmeYV5aGFsqKGcPcX5Nr36pLb++6Htd9kf9e/Wor+rfXnHE
sve5KPbEn8mhmPd2fxn5fOZSPAu2BqHQtXG6Al3Ql/UUdPyssMfRbwQp4et7+Ucp/uetyFe4VCfr
ooZjuWkHG9w1x2Q9TDjB2vU3CXHSJz2sj2/X+E39+JyDVvUimmUm+LHuIQexfCMerO07FeK7bMzv
3mT5qsqn8spzZqfj43Ux4IgzjGUzJnfTtwZFMpUgow1gXoTbC8wmyoX4zUv17Q1cfX0bKTHTNOAG
+olqZ7co3M7JNNlbNB0WtLSnlq0vRsd7ZL/Ck97S1Zl9/VeVxit88YaNov6Pj1sMYtHLK+5AxjSl
zQ3GXe5ymDCxAzFJHu709ZsLjs/0qwterR6VSnic33JB0RbO0QEq5ZuB3wdQ/iaehnvnmw+ojL/v
q+tdrRVd2XtC2nM9fWu8+Gu0YIgAgXgd5Eu6CpCxocuv31o7WysrHPDxLQPNfX/bPCGceR6FI4iR
VxZfNXUe4FhN74Nvzrjf/gmuVhYlLfRBcsYnskpu01V6xyhrEy+HWTDrF7x4TOG+/huo43foq2dy
taxwQKREFsYCagpvf0GTl83ixd9hilhoG6a4L8VyuC8WpFlNfHT55nQ4jbawbsbNYHnt7GpX3Hkz
zR4ZqfjvYGxruCqfvW/2mk8xLB9WeuVq1Sldrc7FlGfDSGYpbay1uWxucLVPjRVj7/m3q883b+f7
QfrDKm+6Xml1AQtuNVVXzVlBBFet9H2y8vchQFTlmwX+m2/fWLd8/PZ1nlzUWcfHK5QC/TXcCO/t
67/1d2+XcrXE1KLcmonCJdpjdKh32bl7dmfOxt0k+GxhTAJR/Le9kz93CuVqSdFbNWrkjCsGAY7O
kWhY4yKsfnz9wcbf8sU7/P69//CXqpT/t3TmF8lY5dmtKj1/fQnpm0pHuVo7sqjO+jJ6f/uE/Ug3
wF6wLGbeIpkldvndzvfdJ7paB5qIBkE6vuvWXtvXO22db81XlLHqHozvKlhZB+UAfOKbz/jN+qhc
rQVVIzdNMG4AycYF8tNMUTGuyjvhpGylVb9pdvK6va+/WYG++ajXIfY0KtI4HN97MT5IDrnn25Sw
l68/2fub/cUbMnZCP365TKXwpJTq3Fb2yau/yHfqqttgW77J7/I3dxVMU1vAYzGsYEIiFEBf84yy
ZFoupRXA4CnKBZkJufWI3PjrO5O/+dqrV9+QvGOuYYzvFV0FZtrBfPnjlXnDVJ2grbXdo287CwVk
JNrqWbBy0KMoh69v4b1I/+rhXG3DCuf/Wkgp51At4RgH+cFFAUFhsFg0N+ii+P/iTCW86OzP/3+u
jZxNprMrKe8yuY9/mJTRmN5EXDu8Qaw+0fYhBrhuYczG7KBmFd9GK49P/c1VP13aP1z16hOLTW9K
VchVIwrYEhuSehiO3s5Flo//4GRtvrnep5vsh+tdLR51nlRKL8imXc+KJQ91EU6AclJL9gvP/l9e
62rpCGKh8gcagTYJGrNw5SBkI3QcAQe57N+8vNJ3n+t6wVA71ctcrlWv6lk2lxYjnpcIu2ljR999
rm/+ZsbVYUAUk9KNM67VosySiGAIZzijVyp1CR1N3p2vn+P74eIf34rff7P3zIgPm4qcW0EpjJ8t
2MS7dtcsa7u04601scC61zCuRn5rYQezUfUVHL87731+sP1w/auFoVOZp5YB10dxjeYJ5dENwsPF
rcnFkx27zvG7Xeez5f9j5+TqzdFCpqbpWHyqIatPuatg8Nf1vAWO8PWz/WzJ/3ihq9dGcs3SyhCp
2h6mig5Re6Nig2QY+fVl3kum6z8hpmiGNnRZiOW7+pobchQZRc7XTu9lzI8AwzPUSIQqeFvsBGrK
YQq/gCYe6dBCQCEeBqdcD/9b0H9YqrOTjKOCjj7JT0O5ccyXHmeCEJ+EEmpTdOzDbt6PFKegRxgx
01UU/RFaVBe5mH/6+qN8ehQe518a7SVdl6yrt6Hv1cbz+oEN7JwtCdO68TfOWUJvGX9TetAp+6Sa
ssYpnqiIIlNH+c+9MtR4DQyp5Ett0KHXxZOiYElrlXI9gOIxdMS4SYCZKBNWhptMGf1NTZH8rO6Z
oG3ZY9fMEb2mDU4GctMK0S7yGD6yOW3aHrWTP5NaE3CHRYHRGrYQOP1NC9+pF3AkW2F3G6VEnBV4
U2J8Wo2Wt/ceAQpelM76AKSk9dOFz+En5Vx0CluSE9tRUJO1K8nMK4b0PVC9SDi2iAwaevahrk1b
az+MGgQNMUIwihJGdYKDTGG0dDWqufBG/ULNHjfqGTKEDR0Ch06o5xKCB1Ndh0LaMY6ocBDxCNJR
GxEVaLAS/Oc3rq4jq1TNBhJChkE4Y57TGI65DD13ZwGoyWsQ3/4sAhikZpBdMlht5tLy0oUJsDKo
906ZTVUIJLgEyoPfv3mRsdTIfyj1S4ybN0nxqhvEH4QbgIOKaAO2xcnjobRYmQz/cbf7E1lZ6h1p
5k8gow13qRFMaoh3ahlMC77KWnJW4VYKxYXoJ8F90g1lWWsPPQ5QCWW2U8pMUVd5efL6VW/tROnF
C6ZZMkZtO9HFDVeBlMOkv0CNCAGYmzOdJn4Ekb8U13q0NMXnUr5NmbyhnQ7CZa++NOlSrmTgoYsI
iWJgk1Tdtj9bQtGboze0UEfmbn3Qqhcf72Yw5rUvyvAlV2dVeGlZFoCh6Po6kedDjYSRZGhpqrYX
F9dxwzdYUe7xxglIFht97SG07Fu7qV8iGVuZvpV5RY3yzhfxGJHKMjJFMWQnGGSbA4MHNXpLYw1l
eI0L+twQ2SCUF53wEwOQCHafPoeGI7Wgl44qgtWk3pOz7KQzMpUlaEFZiwwa510fPUZALHHWaUQe
CtDH/LWozqyUZ8laIJSHGk+HMcikHqDPw+GNiZLMgKwn3xBCGh077WLFW5C8KMluGn6D5KM0D/wb
Ubgza+Yod6HCzGqFTKbuic8bNiFyLpyafos7ERAATg9OCfhuhJmVIwiu1kqylpEbm8ljyIhVDeBf
iafYfZDxf3UN0duMEt3QXPglSMEKS1ZAclhzkZViXvFlsExnpctM8WK05G6zjZG+53E6TYc3CYB6
iQMkNqce+dOmTnytVzLpVZCdMFLSNpZow8vMAFxFvTUNxHivW/qhw6vG8BK2vYZ3nJlbHd2V5QaJ
f55cBkBmViqRoIlSySsx/TqTMfq6Fm4loYP05tk+NtkBWkNT3Cb9RsNtL3iHerBdTwILopOVm55q
KzvoansbWtFWRfPlGPFZkh/CXkXQgyymg4Cl+ucKs1NtSpOYMZFe9hM5VOyGjo5UrzusUEbzZkCb
N7Nl4yFg77yHvkayjKdNePZl46IKx8bTDpkPvTKE+Mk9kzijejlO/2BugGO3jBH8g52TNngD44gx
fmcaENtCLArtviVARIZHU8W7rJbsXHoWRiDfGNyj4t6UHkhaxi13cUTSNbuXQNjo7UW37rX2LihZ
mOBI1KSf9Oqz2GpTyUF0C/E6UPa6IjERH1Mks4sPxSlVdyLMCCODEGmk59Q5DeqbIyMQZhzZYsC1
zDPz0FkbN9M4eBQDwBc4EUv1ZxvnODaqme48VaaME/ExrI+sFpgLq5XrXbrspxbwEyUuMo3Ue7yL
7amOnxU8xGLyZGkXObukuPY6t54Y6TGq7zuj32s5zmIU/ypiZZzmnXbJ8LB1zJEFDHV8qRqAQw4t
XkbUHql5JTQuo/NsN/QXmvpTMUxSWMW14ozWjXaZQrFz79Rau3G99pQAUkCM0Q42EjU1e+zw47vx
XtRxRqXRpFC2GWS8LPcnDi7LCrNl1ECtCLZJFUxSEXgZ4KphhIFBZq3FpRsV86Qaf4e5LMjd0WvM
Y4U1VwRgr/ow77AVd8zgEkQJFbZGK3xU6kvbRrM68IjNZHVfKNAralmahNFBwovs4Gas2zsLb/qQ
Mv0zHjmDPDD2Jpnq0WTsqumkUCGZkPp1Cc6qEcdwGNk5mkJgy5517CDgIHElbbZfDq3gzEqAgcyV
+kU++CdRwJX2XnH8FxE4qoUuCrmtJI3CWSIhKY6+GvkZ4znmw8jvs5//NfKT/tJHje9HHvevkZ/0
lwlNhzg7AzWSRHz875GfCeBbhR6OrerXP/o18jOZIerkt2sIxcR3J9a/YOAo2liMfShxr29du2qK
um3cDelYSquN0QJuTqncO8YyY9RtP+Cy7x3cSEnNoSyqf7YSAq0wrtv5gFlGCoKfBpImOToXQ4Mi
Q37qJHfVqtRduSEfBQ/jiJhUm7iU2BH77tCIwL2G5xgbkkF+u9Sb2xCHchthvHK8VSm3G0s2+Sap
6SKv4xu9yECaguNMDxIqW08ISUHxQHmizkkhkbTeUSkhKaNqTIjbcvOFmBN9V2yC+I5x44SUOk/E
Sm+eEAE5WJB7VyznekF2q2oQ+6xxo+WDROFQV5LAIgJFJF848FaiBACKiRwYOE7UqFNXO4RJPy8M
Akuairq/27W4MYdHTfbI2ygWjR7D3O7WdVYuSgBTCZxeRM1dGYCxqk5lj1O+j6Wl3zaTvJvHYbrs
se3jmU8oP1GW3uQiZF+smUYr7qo0J4dNvpFjzBWBiX0zMp1jlRdAKPpF4+KFjcVykXm4TFI5XkbF
c6mRkFm5FxOZseC8xR0JKvqb1UGRnOkR3VM/hxZmx0AMlFoA2/dQunvJuEX2R6mHZTqHwO20D0ZH
RAp8zE4+Wy1TQFk9xwFZUUlip5jXSS2YyW07LdVsquvmRGu8bWGkS1dx1rnzoqftWpZ/DILtdSPi
by4wgLJ8bepXJnS4pyBzTiFlVJPx46kItg6LhpKu04z+cWJSMNOiUsEvZ4DaI1y4sOaMDFKujigM
m75OgZwTTJTmBMdpLyhOJ5EVzD35VYEJqY4aZCWUl8NwK1dUnFhW+9hYC0ODRZj8sdKB9YHkfpq1
0boNtUeXfaOGXUys5U4MsVCjWyswnpTmm66mK2/olklkTtwuORZt+mbisTKJPMsh5Gj+OXVZamGo
VxG9TvXJUwq7QaOtVCh7qPxkMmB1MNyOK9sV+PbKv1etfu+5P4bR1xu/akh9Q7e9KUv8SQI+tTEN
TUhsKfbmMUJ1sbqrCR5qBCpHuUEmlS/1yFmoVn1bV+CNwfv2qOkc0NHIcBvVujEhoFCUyhp1geHa
cTKs09G1Dkw9K9EZYyaUwfhEVJ0pqvrIeYjgDRcw4wo28DqDwO6jKaseGr6TlapMquC5Jw3aDwij
UfMahVDWOTfeqPYt2NYyiVzDlWA+huIuw7OShpieYMXLIKmboIWrVOu3XT6cXbDxtETWFVnffoOp
X6ZoL7tqqg/rIMFPpSC0Qkg9G1R1HcEb5QiJ0potssSkrABgbgw8h7Cu1IHt09s1PbCboVg1AfRm
/U4ynlng50kIJ2UATxvIWI4zjntQxAeBwpSAa2mhWfXRSNKDES2iAuOa1awz51LouN9hAtWYXVQ9
geTcohwKbsO83Ml6nUN3wbGcNTeKz1kziu+Nwjin8FXRDuUNvExwtFlEqWziwY55ZtYljikPuuqH
31F+Wlbwdzfrv7i7aiIzHMsA2TGaUyzlu931vWHwYXf97Od/7a4IagxTVFTaDZJ6HYSh4aqxDDIX
ZOlv7fJvQY2mkxZt8qOjlxnH8h+CGg1Xjq5a6AJG+Ny/2V3NsS/7YXe9unVVvOo56mKYNY5PhuBQ
KXutcc9t/iwN1JTOXYMh3oBqL2kc/ArYJBmnTdnEjU8/+xaBIdYPUCWyTchYauoLUwrnWv5glSaO
jxdgvIBaSVamO+Im0FTbqYo3H3vGNkZoX/20jGwmmsSOltMAL+B6eDW7mXqAGxJPmHqexW1okar+
DPgNklwPisaTzqDqCBXt2SWwmMKmcu9db1+b26SEw2FMspU/V5YtiC/SaxaqbdoulOO7BpgX8aYK
BiHsafIPfqXTMrCbmKWdAet+gg7XnZr0PgRdNWp78nYmyhskrdvc3Tqxzbdfy24l2mzSUcmIKNMg
2ZY/a7SWmH/OGiwC/tPvDGc53t7OAM0XLce15iY71wBb9Gl3Hm8Xk0q+7Myt2e4z8VJFjy5RQuQS
oM9sT9DJkqBBe7uqMHI8Kk+W3U2EN9e4SM6DgplhIeKT9d+CaTSPZ356r0YvnJg7fODCCf9es9Db
SRZOnADuzkZ4JilgKjxo/LuljRh6WS0g28q7HoJcYtwMyY+OQl26l0wciElwm0WYZLsFwK66dR7z
TGHf2lkqAkPUpvzrazPZJ9bZVE9Z8qYGP7Ls4sGwTiy6iKOAr7mRpOPQ7w2aJlVzJ3Sg2vC1pDcw
U/LSdrJFCSyJc2JpN5FNa1HGTZWvCzDpUh4t23YTOkC7Mct2z+DvyuhJC1AHQodg7h7wZLXONp74
IeBHjGp6KBMqnKlzpbrL2KrOVTOd+GOLYWy1jpGowLAsfMFPsjLt5GUJLwjM3tBMnU1Exci72Ew4
w8DjI3YVcS+cQNB4wPeUqXyLBGDhC8sD24l8K1gsujMA0BERAfxy/zigjBwDVct56jLkwACNVfXm
qRj/V3bvSufFPGshm/wEJBfmlhjkLr5lbS6/yDRS8UbzR6FpGFtEE3vrAFgcDl4F95CdBQtxH+H9
/EHlxekzmQXr7GSQosCZa/KkMXuA6VMuY3WCJYpwqJlGBef4i945aupzYE1VYgFy41wgJsVrBFz5
hw97z58QedE9F5ynXjziW7CeDrD/EG96E/TNxg+lOGXWTmsxPbM1JRfpR69NJMufWf1Jal5LQu44
dwNscdZoc+Xg4Ik3B+Jln0ZpVskW7obFWoQlphvT/+xJbVxQLdrYlsICLXMGYsH96qT2nrp0tZdc
//zvvQQLiqKOU0SCyN+PY79Oau+6TZ097N06I3M8/L2VsPGM98Oe8Q7M+HVMM/6SyEDHkKFYEq4T
MBf/YiMhnOmfG8nH+74ecqte2vY+2Wy2WHhEGKvYc8104Vv+Xo7iZUNOGS8wAcHEcniJQ3e0FU8I
wp6kgjwZyQMErDQPSEz3ZkTMLzkWYWJId4aTxOvEqqhnE3yJqSZPgxALYS21wdGPehJhitxiSfEI
jTWhfqWCSafO9RivisArasvFm51Xe8tPpmKZlDMFzcvPsPJoelly0ZLS8MPSXsMeXrE36BTfXrwq
k4I0N0cCvh8YS8VyfmiQDvMMdI9bLGEnr1UNN0Orq9ushLwnIJ8Og2EnEUPi9gG4QG9m6fo2GNyT
UqkLMcWkSfRBzeKWgIsoKgJAacAZjUCuuDu8urq34E7nYgbSLY56W8kiz04pTLWIjWJYZ4XCnjBU
D3IeE1+peZVtVa04TwDi9SBXRa94LfvglNfoy2NDjCe+NzzEdAIrBOmNxUnPrI0Hre7OaeDfC/FS
AlvXMQDPWlI1OLlmGQiOIENa3fiEXBoes/EkooNrZT+l3HhUPatYCqpDiGpWi49D7VLGIuSaxKGw
DUvPbhKeV9wI/iJk+DxNAhJxA9lCo9nr+qnwoNZy1vGSYRl2KhTHnNKgnIHlnQqa75N5Kd0ozluq
kZvK7q12kFZTkEo5EVjSXUosgYzRMVTG09GDIB2dDn4FPbRSMuweBEFLKHGkrFTjohNu4iBzi/FF
0pjrK99WW3wOAti38glnx7SLV60kIeIqNEDgZaDdd0P79zzrv1r/mljbTLo8mq6yWnyzZo3S0as1
6/rnf69ZMjlv/FI6V/9XNf5hzUI1LiI2v6Iri7qIqZyxnWLorKC/a1/9LxP1OU0lROo6+nf5Xy1Z
n6xYH+/6euCYe5YfmlWi2W1HSLJD118u0lXTBvZoxNXlN0E4hwG4wfySWqsaG56RLxWScT48vcPf
tfbHeMfPVH9/3MfVDLca6L7mXQqeE0RNzPab9N2s9U9tOONszBEAqfuPSrAYo5SzUutuhrb+e4P9
H52Hnw1fTfp8PFRLN+kxXh0DVEON8rYhNNwzqiVq80kOQY3+dkBKMSemtcIJt4ieB+EbSaA0Ttyv
zh+kafJumIR+sglddfeK1rSavISG3wB2VDrGgFm9icZxU3ynOBvPGh/JKWmCdR0yvXY8wlRkDh05
aGiENHpMeEVTwO9Uv3kkn74dH27sakbctjpwgCagtq6fO56CGR6//rt/Jof+46OPd/BBftHmktv2
OR8d2/2NTtNLAKWTz7OK/zKrJSsM8AXL+KT2X4JiX7JhJMmDH8J2KcJNpTokNxOYq23qymMZy6o1
5qDZNzdpjH+AL/5A1tWbUekMEYOQuwwJjAgHjNgg8IRurQWVOE3Ebup5yiKKzgI8+xLucJc+hjA9
yu7eFKeDtu3drWE9mRk7HlhPOJMyvkmTQ1qeAmYuF53HgQ/roq6sBiLf9NGbmTPcBPmpRuLRK4e7
rIFSl2xM6ShZ88qSj/RUcKzOdXVYFjmJfUZoTdFZ7yNAkm7qA74twqWa3IYjbLDcFtJPA/hsBQ+z
UPlmS4+GSjexepEakCnRvdRcSkJIG3XR6ibDV+E1Dzv6bs+Of28M+dRXTl2E1RzzmuJiDIVpJ1HB
p8Qulz/lTDyOhyfYXXV1q8BAjjkUhemz7wT3pXKfhFgDXfJAqpBZT4imAtQPXJyquhliMO005m5a
EpBj1NkNB+TQ9zEV3gn+xhvpcwQt1mW1jcZOGBtqRcM21986LI5iJ24FztqO0hKzulL6dNm44bwJ
IMSEYAJrEdgBdkbTmYYksqY10oWOQ7QMpAeOaUknKaLzbAEmDAssdXEmbIwou8VwjI1RsgOHBa8z
dm6G5Mk7OthtkiKaym6wULpw4avaokjU9f/h7jyaW0W3vf9d3jm3ABEH74SsLFmSZXtCOcggogSI
9Onvj33uqd7t6uquMz21u3ewEpLgedZa/9RIudeHs53ZiG9mn2FvUwLJdY9dTOrDI1nUMefnLrpH
21mP/w8jz7A+GMMJrEvVXrJhfSU/qQ0rW4ZTYSqbCvvDO2aTRn+OsK9P0ucpksNAqCvi2Exgkq/r
vS1Xki3dqg8mbsHtBgMgroPiWiOzrJ26ZpmkyS0gJwyIz2oDx2TBwP/jKD3uVIHE7YF9SVX32QrK
uopNEj/xPm/VZRuF/rUAmhcerjhTQeLk1UNudJL9rvT3TVN7GZPOXO+1TVIrRPVVt9SdFeNWi5T3
G1E4hnb1BxWzjkcrn5Nrt7zGIgPgmLl0l076vztOQ0W4U8g4G3UyvQG3k/Ijvpl0uqZvlDgPln31
mjfmSh2lbT8ou6G8rpDGWYqaMbOGCSJ0e2ywnLZ6HNsK3jbclEQVd9F1c2UkO6SEYl1nDCZoyzvU
ABAS0lM0Q4BaVHLh4kXSBRJOP9cWSWpaf/f4Z6oMbdPcJEMw72bYUoszB7IsPjuC2itPSlydZ9oD
QaJUN+GhSAZ1V0QdctA7CC5G2H+/6vz1lvjH4mv+WHzjcqhhIqfsCpHu0QIQhHdbSe1iwJcI5wes
Vc01m4kTY/Oe30HfCyY//0cW+2+t4LBgxDZAFkEJjakB/NuuczI1/FHB/Xz8HxUcWRf0tKIkyr+6
yz9JAukduUGfYMI/uzFi8qOqJjJBEWmaCv/tj76TbwZtIdZApHlPEsP/oO/Upu3nx/bEwcF9M2XQ
RgrHP2+iWtENSR0PULmww37Y1xzCC2igVeJ5J+N8r58znBOCFifbZtM9tr06F0i10hZGsokIwDm0
2IVh7qngRe4aTMBmbtMAMOK2bGud9YmZ/C1zzLdcD+7hFrSw0liUSV/7qDS77dwR4zvcZ+OgSXcd
JuVOJFkSJdplunRwJGNWN/hqunlMQnm3ZbFlo//ty9v9RQGp/sUe/acP4QetMdP6EgzpAcP6YS0r
fQ6oI1ydKdNs3j7s1tErl9je7rarsaoB8Dh8HAm92kW+vDM3xCCtQkew7yexnRtHIgzKl+w5B1DE
ic9V5lVoDw/XWF39rlx1DH9ZWASbUCJicuOD2Nmj4sPZwEFFuC0SUqyw56lsljn5oK7zhy29aUSz
1S4LmHiQBmzInYfsiJ6200gloi/1FN1NL+kb8bSQMGzCdZPuuT4RtPhNqVDs+E47zWOOemo+FNUG
/KHH1MXFjaBvJluArE9EICl3t5CX+uwMnjhgdcRmoRleRIKwwcZVUKtQVMVRgDGxkbvxEYO0bEf4
iG84tffw+0kNQNkSWcLKcPd7AdNnPGReYSyMB6I38T/8itcCNoltgC2++XX7lDdYF+ftDoTo77/Q
X0qLvzupf7BHb8Y4DuWM7/P+nOLu+H47lF2QLspF/nCaD5w9GwwRBFtTzjocmFKh3rGJ1hj395Vk
TF5rmteuwV1rsuXMV7EgS6J1TbJFLtmLsWkvFPPSl/BPFPC/YlX+din+6jF+q2dDuGpGNXLU7aeG
s/VTvuaj8iJXIjaicit4Ie/DIbkY/yAr1P7idfGAmZkm863Z7Fcv+XsdXVIJK1lRQrCPbROg+hvF
vaN/At4ZF7m0IdkHtwEbaNDfKJjfDXcUn6BLRX60aI9KaWtz861cK8/GJdnmp9IHwnDxcKIH4bQm
s+Ir/rhVeCVM8b6QDwBDAdGy3CmPmpdDbXExJwhqbT3rrPyjeiHPUV5/kYBmNg78QMuAEJZUbz2i
1cj6+xNlWtZ/rn6T/Q0ubTOkySi3/7z6CYVwMwWVeCCqnO/C9HEyi7GxyP01voYCLD1ipxiHnXGo
l96ov5nj3xhwP3xSJOXVqaxcSbH+SW3xa9T34/T901H9aGjvkZrkRlcYvnRoVxSUUzyWQwF7X9z3
xWFGsmMAOfSE6adtvNb8ecftdMpRs8St7otOimWtr/vE5rXEit+J68MmXIu9ztJKpyDtQMBVO/uH
VfSXu87fHfWPnSQdOX+1Np/4x7RTIxZTwKyYpXbWjcwvEiBOYRCDaa1ws7h9T3bbcFIFvzwqsZN/
GfhPC8zFbflJfVW//v571qbX/rtj+7HAm2Eilxn+GH5MIbg0OQDwa8NJvvJ3OJKl1W+Z9WM5tmu3
RDdhg/smu90zElumF7g9Sk5ySF61RQyylnmD4FYRCbU5KhThNIIQSFYBcwu0obmT7Xk9GvRw1TqW
fXW0x3fIoX53UJasNB83059l3mQQvsITzpq5XbqSvrMgIUnjH6WimjjVeT/f929lzS9u0G9Lyhh2
SSn1iu6/EAEQ6beFmC2wGOmG96voIm4dwYAYXX4Q+1Y9Y9gq18xZLVX1GsxghF0++85q+7oA0srf
Ule8NEdsVvvY7XHHFNd6FeQoXok1N5zy3axdIXJyCGrTBdRU9A8OOQzXjlPOIutV2WCvZn/NrOfM
nn7BdrUPuN1h7Lnfc4nbD+uL//adted/Dte5YkB8dQi75Qye7gh7ifCT0L1uMREmbwUm7BzwS1y8
UICsTAuH5WgRQdkXbBimAFo3Eo4J5MTC0Gplh0ztYjhU9ZwAHE2zYDRirXu/jLjRYtOBPSu9qaM4
MnvUN12jbKGyvB8xWCvnBkEFH9nHdaW+DZw82LU/LOHENQdIC/3PSAlwstMXciV20pn0diguDwyC
79M6mIzOHQJuD2sDr5zZJsnWAxbByS7DjfAxszHA9WoKpnCRHTLSYS4dtEz/emt5pJXiljrvl3dp
Do3drtcz3O2t1HDNTTqHe46fwE15rVxxl1zJGNqnoKdwtglqqm1VIucCbfYAyzIhxAIIs28NW8Gp
/Xb1iATFk+g1P95IMDFvm+v6GlxbyYftQdJK/x6GRETMc19yyGDBlMhrrh7U8s5MfdEj02UdcVCl
LzIOeE2uHtCAzwc544+6cwXDG4wUK1hLG0t/rc9oFgv04sYcCkUN27bE3ZGCSVbgrMiz5ZYiJi7m
u37QnuA3h+nw5M3jkOJgfp6BgAB3jIO6eXvSTUeIvXtSrEk4ipthxW7EUbWJuBobSw5vq5bMw2yN
H/eKJ5KlIcizBUyx0FbaAHrKXZ735xy+eZgdfp0rzejEZj+PtznhD2OQeBS+xLrI8n3pjmevBmF/
xIsBc/yEC4MVFi4ODFEyn3B1pZrFOUmn8zz0SQbMzu4B9Y0RO4DLgyWPbJ1ltMqmrdsoXx4tU3an
z5yuwQPLi7M9FbKCexRGRuCT/aEiRLX0auESE3rSxafraYRkU8OZX8uzPYtp3z/T1VmQrVpzD8mn
SW3Adnu4r3SQ3g3pNsKCpY2CPJbtatsc4s+Jcf/eVZuysh8YbqznYLEWJ8Zzkf+KgU+qd3WKihDW
mneF5cqSR83eKJmrl+TeutcFu4l7tdultBwuynM1L2EpDV7+DSl9n0q+gPHAQdzLe7ylB0uFnh/O
w54FZuaa58eAF8+iKOdK/JWlx1GGtOfn0bcEl75FjrDICIFki+0/6ExBdRqovwU5mxC6Y4/yp18h
QzD6Ba6ZE79JI0xJdDohKNDbP9ye6aW6EHxw7dcWfp0mne5lYLaEMG+K0c+5eEYPANkE+Ai3QkaC
NOFuj3ep8JvC6dfIBJq3/HUAEu9eiLR6Mi+pR0TXlriReCBKLdvMWPao/QXDEeU5vKWbSfzPqhsc
nB+lUyU8KUg8bPWQHyI+RmYLREloR1EgSd4vc7KQ5+25+Wg/eEcwi+/wjdOX+OG1vFej5gKVSWu3
FUotp0vcJzJvcix/FeuBPccmeelQ2JxrG7rzGB7NJwu9CT6paC9le/DY4T+jU7HFEYh1bM2g93J9
Ky8yQd70TgBxTr3u54LbBD2NRkOacY1Pq98hSN6pXiqvr8UzrGfcVImHKw4C9uV+5pQnSIJTqJXs
eZYb1x7RsaTmLQV9nhNbotyeanLhBFyU9cm1zSMAD7XCh3KzH270XA+BWceIUz/YEBvs43HFKO93
r/5Ujtd15+YbttptSqDNbPYZ9phgs2a/da/AUsnHY7YTTNJArHI9LrnAj0dW4zn+keL69ky2kK9A
yOCbnbNn39ew5K2j1K+eKpxbYZulPNVI1IpAAIqNu5xV6P6t8/VoI+fw2iB1+mLjhRBNSJgeEA34
CR8JAN91qzM9O0rfgi98qwSGYoaP/bVk9eGOiNQ5PPbgfsJAsNXWXPv9md8Kjwkb+klpHvv4edo9
Ltlvd9kt1nSPLNuhS1WhftZgIvbg3naIpK3CQQqkPYKKWDOifBmD3jEOZ66VfcDJOzVnWLBPMzKm
VVc5mef7KVv2Dy8hZs/0Mg86fyk8i9FB6p8f6a7pvpWH81CdBgd41U88hvo5B0QeXkrgC3E946Zl
03VwC52nAzslAkFHgORGmS09YX6zaVBHQk3HwT56bzFLeFykitmbk55GwrWg6Z3xBsVzK0JwhYzn
gZWZaHVTSC9Meyv54iSZJD7k+VrQ6W+ok2D5XLFIm7ea29DyzpblG77V69xNPgVG8UiSDu2Cb47I
yRB1tfDZfCWfSmfjY7KltEBEPC9Hu6LuLnEddYg4jgp3tD7Kk8kG1SA11kmAwPaqQzrF7J6trbd3
T0fIfxiSDxoOcC2fFaR61qjQX5Ns+ZYvxqVgW6yCyvCmQ/wI37sptkGxnj5gMQ6GsEwLwl2cglYL
SQvrtXFAvHIwSmYP1yxo3U/mpjA7LaGCPSTOM1zzR5BYu9mGz0SAurmCOmOL6KAKHc6NavmUvFfP
Rk7eJAlV63Z554L2NU4ECshGbhAZEDlkrFnbzU/ZPmZeaD4jIrgRUYEVmxZ5Q/I8Y8Ty9Xih5yA6
4VlZUQoRoiA9ZeJr0T9FvZ+WHhEFY73UElQFjnbERg7dxAh8DLtFWFQLY1ks+tPtTfloLtU6uwwf
N6azFiFCdODCl3nMz+H7Q3PE8fVeEVBNBJ9F4i7DQWDmmdvj66IF8jnyOqqJZGbdx098d4eYTXgu
OuoiOkIAwvOdNMmIKDniFG9nnSiqXxsfC14Ox/ILu5CSCQ7Tb+qD+6W+MIhY1z5xd7CwCFYrLwnU
gFNKZwPHu9qyncKMpuGKSUw9ctuMyfXF/Kj3jyfxncvXPA9raUW0eukWNjQpDa+1xQN6+Kl4IT2D
0vSNxCGu9sZZlgdlJa5CgpxpLZkdDZhmzmXD1qjrd6QCMLwyP6TO6yKbF58mXWdjHq1raF2EoQpe
ah+Lg36Ot/cLtlGDA3PU/CRejYISYhSEJBhYwaXz9NlrYV1I0rTiL5Hcg9YfnXrT+eUCC0TdI+8H
MXDwOdozxuQ+mP26PEr2Z+5HrulJL6o+3YPAaBx3Q3FO5616NabLTIzscKc5Lk7HDRVBzVBlQrg2
nXOGk4oVAEM7j2zwRYzHZsZNdYXEFGv8BZeOS6lEEfV5FnzRbNwbw7dMoml5rneQ7W0+7OCJddPV
UEsL2zGmdOc4BsVYKuRXxE4b2gL0XMAmi4ULWgi52VbnyS+4+hlM3k986I+AJL+xt/s3k4/+eSDO
WnVRhlEiR6smczgV7XZeza80W5RKyrF7f2zqKVqQDcRgGGM4Tz7Jlqvb6Mpe8RQydwAb6rSvTnYK
i4us3owKlDb1+/50zBxSqefDa2rv8hXKqZoPRMXqUzNJclmx3dhIR518tpii3YmQMO5fURDzwxTO
30WLQcjsUJ0uZflZBh6zoiVvz+l2mu73XACdL5WOQXwmEY2lja9fpZzoJO4p3uOy3X5kOWeujlxz
r5wSoj2ek1dJdnpxc9/0c7A0bMT3yYGy90akgwfuo6EcZLCXDr6JHpKVIVrjHLS5BeypgU5mxKfC
ytTatUMeITm20Buf+8XDo7ya3/hbNCekYlXOs3ckg7pPN8kvPm12f2b7OHlJ9ivMDK91DUvjmXSE
5xozQCx4rC1EeYvtIBBJSXhR6Z0eBB28rGtri/iBM0cK+NNB+cj9UHGwExDHyk9GKyIoQ3CNufKq
vF5P7RJx4iLzEg9A3dMDc9nOxRLeCrWCNo/8zltRjG/kFxyf4Y2An2Fj3eUgY67Eux1dnDaVGILs
M/gHp+hBKm27WVd4K6Gquy7EEUd2t9d2JF9cQ0eiPxCId0GHYHf4wSQX/nk/E+eNi2rVrksmCoji
PEFazpRNTp/WsnA+xA9FxpmioYrtvnNGCYXqZXeLu/TQZnLDPAOH5BkJrMy4pI6tsUtYmANoVB1m
T8r5dhmULJiJ2fwhiR+4XXr3HO/27Niw3UoEp6YqucBoM7RZ/3YFApJpc646+n6kL1J86btAy24u
+rwGv9VGJ9HMbII0jt3GcKNCPTcaOhbT01Q8167Ke10f1Ahp2yKJIlR0pIlomwoo0lhB962rc8Uq
Vh44JuC805Wq/27ux0SmfmWuOY1lq/arC7IrASSq+jlE0mp49I7WXYCmgiqE/mOM6BMYNagoW/sN
QFvMqUjoHvXH8deA5b8V6tFlYB6I45Na3vhHqIfp8Q+o5+fj/4B6IOQQW678y+BxGjf+QdZRCeua
wKUZUkRgm98ZhoA/JoEQmjKFa01g3h9YD88mawA9MxVba4T4/wHWI/0VF+H3Q//JRVBvWV0riYZ5
PTYyw242c9PBJs2UHoOAaKdbV1supXTBpCDIMRiehkPMMaj59I9yMc7zgLX8iPHxC/ovkkWyY6d4
wsPW3inA4U4XNyZDQUOuaKAc24COjDzn04OcRKzSNFuZEVjVOTMBKNdSbl4encVoTqNhss9UvqD6
WvZJaTnDJJVxjOlcO8AkTDU00SevWSdOz1yl6KplWL7aVlxLy+41iucVKu2LQn1cn/Rthhid9ObY
Lq9wE6ZNmgwlygYqU6hBOZGaL9czqnDxTdreVuOLtOvmtIi3t/zA6Kt6q5hLpY4zVUjBY4EymRE0
XcLtg5jXBGTrfWCGQiOSz1U50JmLS8WiIh8mkNR1OL+x5Bi7KltT5Bu41Kb7BAsG2aNGGglR0s/3
m9dq/h1tro+Df/Z96C+68BxT6vMuOnb+PrsCRpPFbDrx/T0PjwNdx+yERMZFXpA6XbQSTaIcpBfS
DOwe9kAhZb5a/sM4V/uL0fifzpUfEPK1ELoy6hGdmuReyX7vsaa7PQ5EOmFM90W73RIsLJxnS7aR
oD9XZ2V+C4hs32o75Yts7ekNhwwb2oURZOtuObPLz/j7ekxfEfzcPXNBD6MxAAV5sSNHg9COp5mX
MBSkUyYJzFzVC+FYLg3yg/5hGmxO+M+PsaguzySQVQBfTZ+uuN8RD8lM9VhrRM1XxAXKYokEp8XN
ubsN40sVW3VLFfnaXX108siuEdpvi/CodK9G+ZRtH5cxGDRbSzcMipkG0xetc/J400W9xh1vrzZL
RAXFdnaWU4QD6T58ywGViA9/oYeuy02pO0tnjfHDAQ8FBnh60DhrJpgOwaOEhTHjjwa30hAaEUBN
mEO30K4aLhWLdTS8afsaL/BJQ5I5pJ8Za4lyX6DhGwUvGkkfQZhMBG0JlXTcl1C+Hn2Abwl8dY42
eWhL+RLHJB9dq1WhhYjuNj3C43J4vdf9Nl+U/VzlUhNLmhO/TKwGOjraiqsW1GYGKqwRRUSxPNBI
xokdCXNBJ1ANkQsTxmvbwFpFQeVWrwL326DI6D0Geyf0J8bM85IXbLuST64Z4b17IANbsmlBUpNa
Dvz6gYWHPCdRdSNs+nN2uNu3rXQsjFmAdEO62YZJ5p6l72CzNAzrmabjHnvoBNs4i0d1/6C3Jow6
A6xUnPCCjXq858j1+U21VQfWR+VwLo1O4WCglTnTBfuRBu0KO8/AdIxNuUTK2DDBpXfeZReNZkV0
Hl/ZE1SynbJSWcQYFUb2VVub1Zs5157ud3+yK/k2X7VN5jOEOBT+RtBdtWFyfTihu3jXPsMtC4Wb
B6yrhYcbkZvO09vkK+a2hMtnm+r5tsE0YNEvhFP2LuyTs7ETNuGOIkr0Zh+6V27k5/HYndK3aJ2f
DCR7GpArSeru+I7M3cPZCP8ZhAxWuUpf8Uew9Y1MzuZuFtD6ekx1l0hybxIUIIbkhBZuyXdZm2eS
DBkNSmRUzcN5h3uZ5IQAdaDX8WaTSVv0oQnoEdVdpAfMPmu+Y7cgNM4rcPFdgOXjg91bM5qLu09b
mOmMvAO5BvX3Wr+4ew80mymcTKfeguXRYpAWE7HAnrjePWXDkHmbrIlLFubxouLjG9FHzXW3ChTL
sF4rCycK9yzsUW4+VmYHbT0Q+QxJ84HfROJ2aHc0ATLNkLgqUCRZEQwBt6Vnx2uJoSkixeuK4B1U
K/DJxleyR2/9lE/dkkrqcAGh4I0HP3JQFxslLiQOQz+lxXLEUj6ghfUb9VIhQmbfYUD+nTtQsURL
/GjX5BfPTg2wSesckr3ycWdipRR7+Ht3HLYFZ8agUvfuLUUvUIQbfpYeWUn5BwcDGi69lpJdn2N5
qek04QlEKlRDtUWtWT2pQIoLIbLvW+2DrFbrfijJlL4kmd/H82TfnsbGiz7DD+UDT3Y3CfRvjASE
3JFR0rR2S9PMqkBi4Ue7qb9K2hHJ4vps36bfCqd5By8YxYW2kvwOBIVl1zXjFeR/q9s2A4OpM9fg
OI9uhw/i/pSt6q9EJhj3Z8A6ljlHwTKG02ZVq7avWOeeI0BngNcliExqC68ZszDBK11p3gKcfor+
YKcbWO/wEogLdAwEVXQahNcK8wdLfOVXPqz57AJT4IYN9LAPH0sgM0gO+gBwRiQ7nxFhBWNhX4s5
6U13sBOu6cFve2J6x0tNcDZaXQYyCVjoGScmBX1UZqXvMTmAInnpNt0FDL6sOj3SLY2qlDq5FyoP
LwQo2CV7EFHiNEhgS7+kNdB02TAS4nMfNbKl2LltWSZmWJqTaZP7mpvhI0aHMZdEv11UwAGQDw8h
2eKIxtVNri/kD+BqPlCBSe/1y0xw2bAllgKysufQyapPZRE9mbctdYmyeMgZqaVcDsOcwOJpOqfq
e3rt7AnoJyv99o2P5V7tytbjxJsdDJe1Kih6r3DD0CJEVzzWpJubu0beXGdv/EW/uhEisH/h5P+t
5T1RHYomSYquTVE4vxUHznvz/n+1/OY9v/z//zdT5Bl3+FHe/3z8b+W9As0fWRIJM5oy1fB/lPco
VDVNVUSVeJtfDu5/CIhQxeLdjhRVVSRz4uL9Ud5TfdAtyNDxDW7V/5PyXjH/gsb0+6HrPxB4rU2b
5g7jz4dJGoSX4rP4NAOuAHsalV+rJ1Ar45RbznNp6dabbG8Ve8Ys5vqRd1AutBPA1YwRAWYCp3pB
7YvyyJ3SoghUha2zFgIM1N+0dbfoOMOIsWyd5+bzscAqZ9AcgeqA8SE37Ln4pcaegfrnS9ZelQCR
wSF7GlkK6r87QiHBfwjASl2CWdqJ9I52h0eOdTWmDaJZ681eFq+2qt690FiaKBiHTRofC3YkhKhJ
xRzrEYgzX0ZXq3vqSj52u8crjMv4jCpRdRurnv4lHvqn+Ix9FbTliJIT8eQTzsVBtpQ2KYxPCBG7
qCORND6HNZJFKNYDsam6pch2WC0YCMGTQu7Y758og1h2iJpfIXdV4KVR/JACU5KDWjsIeTrJAvu0
WkLSZo62QjBZ6R5tfYpFlOijk0SVVPDyZMrlhEBWG/mon8YEetdceOafKUGo4bjUcIE5iwcOhGMW
Lg0j2CLg6Xh/tcfzFwFvxJA/eRGejrsJM+/Bl9raqntD3Cq9fbI4v44bbTV89U8YGBTOWLpmtL0z
wyOqj0Dd9yvzBBBEOwx57Ww5fDHRXnLH/kmc80zTH9OtNe+D5x6a9Ug+Op+Kriz4GEJPcTgI5LY7
8YvDegWEZFZvD18YJ90svjW328lHPh/huRddcc7fuJlyT9poooPXBf8Z5IdYaKbC5XCYduS9euKn
Mesx7G/CSBnUztwYa67gQYEiz9FsYArXVa5+qWGD83PMCbh9vJNy7EVacNJ7vmDuUDoJwXduuORW
fjaJQgtoCfb4FhI05w0zx1imGGBYVbUSNapsyqwVv5+6ch3rFq/PbWm/SVMP2nG14HWMwAiIUHkl
DIebk2TRbc3bB2M/ZTmpQxHj7nH7afdSTVC0d5Jwmn7RV8Z4kjnlyn2K3oo58Ru8OXltEtRXeewm
kNBcOXyRDpW3lLR5eBHilRnoBfeheJHXfbPGCYKriQa9XiSqbeAu1y0qyPSJnbIpai6/M/Albl2o
p4trPDBkrLn0+TvgLbJbSjB5q6urKiIxiPgFHoOXVOlytVcep4Doc1lOA4Dwc5xxzYe3D5Pt/5C9
ZB3LBXA69wvf1dCrF/xzPHAA4tuwZ3x+4oe4DVEb8c7v03HDDVxM38hbtyLGIQFPq19Vd1Jch574
NW4MD9TtLJ/FQOGMOU1W6eS9OlgoMRNnbghjSXwbt9lL9M2zjbsy+K+dUE2OPaKpwuxlPiUxGKJ9
/Tsysj6Flv62hf3V4/+9hWFWNE2fJLRfyMN+BdD9ewuTiIITsVPAHulnPonBTZNiVmTz0/FhYeP7
9xZm4H5EKDzJS2yNpIX9R5IyIsb+3Jn/OHQ8S/7cmfezSsykBhhBPRAZrJqW+M0QhyDsrHaQTt7f
9cFDtDgshEDAJMeRCV0Ei8zs55eH9Tzu4Of6A16z+VJYtl6yUvZ08w+X3EvQ6ff0WeS2cTs7ik9l
UC7rxXQhcAVgNkCp+p6+3xizWySFOjTFvScWS3pyA1oIaQ7CDjNPe1ggFbGKl8TWXMEzXNjIV4xW
Au0kv0kHaSv7tSsuKoZN39LLoHrXDa/O2kboxqrxmKToN4diDW2vPXEcm3vjQd15RF7zJQBY4JvQ
uaBS/QF3JpmlqHVKE+XMXOmt7HW4LTMMkjRxWx2Z9ZoP+P3+IPmNisMZuzz+ZeOqI3xoQ37r6M22
yjpcd9/Nqpq3oVUXTK287Etyuo25rEijPnQb4xvlDXTTSPOYmeFik4VoKhAF2MBlL1C4RPvxLruM
mu8r+LMLzNdisM+QeK/2rXjg+n9fMV0zLrk7C4b1OL8uTS/P3IZIzmSyUoHoVa7vxGte3f6LCKLw
8RbNXgz5pXicsX6LqGJNzdcNdl321OI4qkF7K0Cr3ptt/NJWLqBISwby/WkmOOb4/KDVPtVp5eiJ
N9PQc+AaZ7ewBsFJpfGS3INE2Mfyp5KRcf5eAKlqG3Swjz1UHkJSz8Wh9KUlwwXd167Mxm9z6hN9
1byaEBMhlaHdw6nIui/vKVB8qWI0xxTRFRKwqy7B6SW0tSv0AVOeXx+iLYKtk3SffKVBiLQ/6Zkj
MfMhoN0mG8M3dv0+W+KPcPVvwYgDT8y+ZTJVFVs7eyhzNYJV7CgxOisoY+quYmMltLMt5ldJDLpk
0xg3r6+iwNwwV5PY7R06QoYRQ2ylLz0NH4Tr0dbz83j/jooMKVfF/tVZojOElrDo6qPkilQ7aRr5
pbQh5kwW1jj60I8vBgafODfZgvyiTjT8V7RGbZJvwT57LgzAfz53wyq3dETRJ2ndQKSAP0+TSURB
j6OEc81EVG5+PaBaQN7hYZPJa2p+TSOdrFsZiOvKPXWBEm9grTgJv2qbSWc120k406ZeSDM12UGX
8hNQ9YJYecjuXrE3oAYrAZNkMr/zZR7beszWk9JDd7qNG6HdPwJsNnG7A7NbJzyu05kegss6eC9Q
BI7yVM1wYBwGpV7UaZxDuR32u1Rc9vvxKQQwbxdATmBzn8gh9/2iwpEC52Z4stwmSgCeQmzn0q4G
4OoXfUzGCo7+SzBRcCn5KB/qF+is9zW8sPBFxkBwc809YgPvim3ErvR8/xripfQ+e0ZYz6zGEcqp
ueweyxttG9Vwd/DHfUd8PHws1XyvFncJu1CWn0f7zVRAzVhHlBYjJ9H4ylOI4f5MerubAQLzWNoW
yl7z7mnmzGjrH/pTWM/Lq3vvdzGn8m2BsoKUsruAOZnT362MqcSaLL9hbiybk7Suj4/d7MK8BqGF
ipflReYSXApMjlaZ6PIKqOOl+isRsdsYN4q4a9QpSyO6PqnjfLYwXpLS17wEwwpHN5aR4F9neC7N
6y+KWw+vDpDK7/Azeao2i3oXCtj7WuLyDqQK/Uhesn7oTNgxJBU5NzwDmA8mReg4Dj7CQcLQGd+4
5NfCTMtgOhmDK6ffRmaEmVcsxth/SoBkq3b/oHri3Ll7gwYzzdlQxT1YA5ZEqVOc2xEDo5gUQrhp
a0zdsPDATYSKjCe/fhCXPLmoVsOieTCBsFrIB1euLEhfAuHJ8Q1L/4AmqBX2d+YODC7m4wuqteFb
1JbgAumTycm2a1bRE98UxNeh3HQL5S2HE9oigOFx41bct63bjC+82Udg8L7L1UDokuE1p4nzizDB
u8ntPj3/1xY8k+cHBqEEnGEdhQRJ+4eCR55RFvxW8PzV4/9d8Mj/o9J3o23Q1UlGNUWr/bvg4SYK
EJX4Gnmyj5pu+qNnnxkUSDxM/RXQzk3/Lnj0/yHLHZG3rqn/UmD9Jz27+gty+wFF/PbWjWka8TsU
UQ0Iu++6qPvwaeF31q/GNSg+r01ocd43D7xlWbKovcML/fSDlnRJ6Q0+5lPzNF72MvXbnKFheqkh
gQTw23tXMtZ0ENt+m1o5uL/mdHv2OMZGM0b3NydKDtQFM4+fCctw3OMbesu3Ao5AypJXmB46HrDL
EJbim/hG5Z+YOPw845BDwT8aa54QVzpahamxEKe/G+avkStMoreeEp7ZKzhAA/wnHSEsP1+71ajN
FXeGh3oRfTKGSFgurqhqmmO7M70blnNPdxEyGozJ/ktc91/Xp63p3SMAGTac7DUsaT4wYbWYFYQR
rBbkttB0fYiucr7reVt3BgHhXJ75NZyRhzzXtefCXPAgo/HEnDYEE6Rhm7+Un4o2J8We9ppuWFvR
6wNd6MB4b7rNj8331t6J8wKO0zP4h7R5FN7UIrfydtx0u9CjE86WNPoXLJtzdoqVtqLL52HUDZ/j
5jawRVzDAIekrGen5BbmAzFOmLACBf9Xk4wfWHzuduWn8IyhEgRKjkQh2NRjV8mWtyAMikD9X+7O
bElxLMuiX4SZZqFXzYgZHBz8BcMnCSEJzRL6+l7y7OqMyErLtnotq6jMiEgHFzi699yz917HEaAl
cUHM5D5ycOVMzUl3UVDyUnge2VKrM1DbF4md6uLz5NjKhBnBjvkUJr/PbpzMJ18XF5uJYVXnp+Dq
iK7agubHYNbjPgcN4GYLn5CdSFJrZ8XWgRw9biPWi+YFX8VXNJ2naJzcxyP94PF34XPzHJsJydPC
AMpmefOQnyCOXeyvUQJG+JtuUq+fhw5DigOcgl5yVNbKunRuN8wtG7w+trB+fIzfTHrpoxe+Iwwq
7ebwbvO+0Xeo6PPo5ig+jX0b/pFbNB5AfV6FmXHl5dAJ4fXx3vBUe2HPtFJIaDiWUgcsr0RGYKmE
6Ksg4Bd1kDsgYvDaGGO/hN5IvByYQ1U1PoVntsK5Yd3PmltVywmWeEY3EN7FeTj/6evMHh/jT0B3
00/64NJwwv7PacNL3SmbPb6a1irvAN6efPyDJzjCl/aNCEj2hUo1GzbcOl2gIpuGGiWsOXxMfI0Z
vF/Z8okzj97audxeXqmwgD/Hy/yQH8oD5IyYKs6LdvGqQ7fYCcTaKYyxi98tmfh+4SCMNzJYYydU
rAkNZDb53E/6rfhYtOHnrcBx7YJpUxCtO//h1tubW7zyp0u7oQlRvKZu4Yab7Onpsin4l3k/jrVZ
Xd5T975WNLvGxUzbOYr8droYOgik/pS6QajHyyxVOwwPQF07CJyfNGpCt5jLqi35pZV4PP0Y44iD
FuZZMyx4aSgVmnWXHRnNZ/dY19t4VezV3qJLnnsMoVwwHNa+u4+1+gXL3YEFisQGX5NuCVYXIGHM
A84ZMotjhuGnMPLo4M9Hsj31L6eTEDVtBsO1fIP9gceHFmaoBp1mq3cXB+7zuW6LbcXB8Uk7w3mY
64hVRvdxk9MWVdeEHusllQklLo0ZlGjwahj+1/eP557vnwdVQOOldKnVWItZM1kliTgWDHjNgZE+
MXVW8rKUVsP+QaqI6viejR2kmndDpWHzv2Mx/msb8VMNEwpem6mG6+WfuxiS/O8+Gx732+P/3NTp
tquSQEZaBzupUA78sqlDidQUqgmgMD9mml829bHpMYJSSHprozvnz02dDoY+7vaKTjtF+I9YXry2
37sYP/XIL5c+/QvzQ2nuuh7lnDAbtlv65w/+VwXaAS4V1DibXYkmeMX6gfnuB8OI2ezRv7ebYcYe
x3/mb/Nk9wjHLW/cK3VzzW4HSt8qz+0mxUs7A8cl8/GTb/Z9Tufb4jglvvwQEDlcOhIpj8zGsZJZ
Iqrohv3YcCPSBVgo2w/xpSmtjmsSxrOYvAAQA3aPbjobbOgyrPTn3/x23FXh1835Cx4BnUQGJcGG
Skedqhyn/SKFQ8/mI9sVO4hRc/rBQs0Czc6hLVjGAeQBZ1mwKREDZydk5xy5kTTd4/EXf+SXRkmT
s2Ep7J3snlY934DNrwqbY1zA8h+nsLaAKABKXKX9in4yu9Kwo+fMDjZjQ6QbyTbZbeo5u3K/ZQ1X
Av7bsKpNFnL2rfF5WSkD+tBcDx13vusH+zabp8tWbVyrc0HaHNrgihdRSSv5RzTgBfDXXFuGa1QY
LxWHJZ3ojSgvL+5o4Lxg8xmlAEoB/NcTc4MUQJs+wYh3MlLOhWJnhcZOEF8nhp+K+3u7Z89nRX/i
x+8WEbHyNetduseYfSPXrVXssRY11YOgkUEHGmk+7haN5ugeg9Jn6Tin15TJceZg0lzdcCbphrEg
fQcGjLyFKX8L5POI6OCBvvHOmuGJkyCHvIaHIz/TaYjNlC1/TywvjZYJyf1TtOk/Ug5O7+mUqRSC
3cab6cXb5FHiqLuLqy7JbEL5REuh74VuvsfVfWvsAcVk3X2QncE5hd2KpBjzPKhYT4Xq3DTJFHK/
XVaCTIh3KQx+r/mytuh7jwkrhbK+k/D6jpaoA3NY21iM990CNmLAXM/V5UrqmoEsF93W98pKab1n
M8NZVpyIQMkQtw8w8wkH9J7N+IRYeBGjU+Rr8XVSENRvbINMpS9eq4Uwa2YCO2Zt0aWPfKYbiKgE
w7lfJexcWFTVMdbFT278cLK2J+aZd3xUE/bGV7ud+og9zp0U4rEKum14xEyKfxiihjl1iPgwj8VM
N+mnBl8GYYOwhkpcDjP6hcmXTF5Z0C2rqAO+Jx8VEz2u06PGQfyMlbU5xi/hlZnonrBVSSpuOK1j
HRiGqyz6zWd9xcoN/LOAd4PixgSk3IloLn1hSIaw8tjqrziRXic7aJmcpI9TzHYXWgbm6InG+CuN
mRTpYj8F8/K0xealylYoAG3vTg/IxflJmvOxU9ncaP43WSAtkQJ+4gAIB0yhsEtm+038YT3XnDkt
+W6rHcQZk6ZGkJ9V2iBlrdoeXKob+xuit0P8ipQ/+PbbjELzQPHTb6rARgAcTymcDDajk4ygddCj
RBH2ZUrx9vJ1ZIO9MFWDVqg9QaNZIHYgc4ic8bvtc5wafXfn3RYpM1rI44Hl6/j0sg8ERnbkfs2X
ooL8yBF8YJTE40covFUBx6B+/XN4T+MAPxB+gMsXwAP/5zfDXlg1AYKJ/0R2qALeh3GNxn1250tY
pHlOXsDleo/HFrFkIbNwBOKbCm+XLw5OiCzHYT+nkcyfuZCnR3MisrKPKuC532SE1AktaF6W8EYe
6NlyBjN8Hsj1avQWGdGw50+c62RXOxi+KNu8q//VHQD0BUmSNPQOwdDYMf9J8pAUtO+/dAD++vg/
iwX6BXDwFJoLuiCPZr8/iwVgfb8L+r8UC1MNRQOEHmZhHvdbsTAVpqgeBtgAAbn/P+kAiD+Sxl86
AL9d+l9U+0dWFZ04dJpXyyLLCETLe4QML4FcjjCOgLx8aNWO2ZSolap/B4mZC2SHxtksT8KJIDNj
0JnhyNAUB+NFGbTlo74RMipu8/qZz/JcMS+XFOt8dK0HwAEjl7OxJL1PWRaCvm9bT1NEXHaK1+Z+
+pjYMfV1IoCSXj2a98cdP43CSINJbg0QD6LpixrTcHw+XOBbiflIWKj6p7BLibEEUljc3JjwRl+y
WsfMJmEW1+VcCYxB16UWIG5eMV1FaB7e9Ek3uhcJBAoDRpiybZedkXI7a8GT3fDJbLZDrBu0DJMe
kqiaxwsiUK7wbIO7cJWYTCEauHwJCpAAvKSzrrm/KgA6m5HUGfe0NXN521DGR6A8k5HpWTYtoqmQ
7Cql/uzBftLfNyM5p/oaiaCXvJhQAHWnWtERJ8GGKsk6AyIqjTTRBBDNMPJFp4BGJ2r03ytQ/tFv
gzFJbwwhUVH+v36dwt3zl7sV38tvj//zboXyzq0FSvFfPvk/71ZolxD/poowctvHG/nPu1VRhFE0
lcbiH4v9r3erPBWo7jWgl8I4VOU/uVt/phH/5WZl5MXo/5lCdNJ+IBi/ABXCS1+njRABknjhI9vO
1Nfo1FCyUfWyiJvZnC5Hhkbl3iJykRac6KerHu+bKJg6Bz30n/fxmHwA1xc8ndPExd9WvG5/WQw3
f1zNr0BM+W+YTr9epDz6hH65yApicZm2XOT9SirULHogAX62pnCA5oIx+x6EbxXD4ixjy6QrO97W
S62yhNHdGPcmsXM796TXiZ1wlv/nSxOJO/zN2eiXn73+l7PRkIqZWNW67lUEkH3hioxpxuORpkTQ
ATrfP5bCG/vmlKPTwy/t2o0W2lLwopmC0rEeE9+9a5SAPM3apcCeHqaHwkH1GksIOhehPW7C2Udu
s23TxZRH/5E8GpPY+UvUXkboMV+D/kLixO2eiqGLXrTDZE5j9FvYFk7hHOsTKfjWVbbKtj/Fs2yR
BLnHcNt54ukb2pYjiuITUYJRu1A8aGNoDqsNlmvVfG4fxgYDFK2eQ7cVxpILowWDI/k7qhTcG3zH
8ZtRP2lnGp9jH4Vyn68o3d4dHznHi0WvjsoA3xV1NzUKGvdPMYFF5Oak8wuekBTZGoJFQPriMIrP
P53a5MRpE7FDWdKaOPSbp5fgMeHNmcynh7H6aYIHlVfDaDqPb4oOQhIEA8dou6C4fVVGnxilEE1o
njxENhtrmog0e7/Db8IbVwWjl2sdfqN9Zh/UbhK9ZvwiFEqflEeTOe8yucVtv8Z8UgUUR5krrHi7
k1Nq2FVwhAvywQXldv6BZewPPY+Ws8huB0fRnD9AoXxLaH10l9lOlsP+p0gdPxG40phGY08dhk5b
ld/4Ko7TxJNjGymZ3+h27I2fWd2WdloGBdLGGjMWc/HyErKQb3nJvCb+yMuiBo4vuZM0W36H+4ZJ
JDSv6I8Zcy1dqfqad4bmOBYXkYNxxkA0P5r1H4xwyMEwkk2ldI4BPloxBmUHPaiNbL2xilW600kp
wuRmxhzCJDnCZpmBCpkiECac3YyMA2bjEoi7+KVA4EPeVP17iXvJEh4MJrH4jBRgqflkSPGyRqam
PqzmP5UrFnWVy9G7E2//c8fPMZ0D7iYiQUHtPxz8xUa7j24LIT5NXi7fo9FPdknIIKtFXoE5V5yR
PSXj98lju+BubidufeYOOzTYGugt+vECyoeVLOKZug6h4xh7PFEmkEN8FInJ+GeYSPQjmKKDK99+
BC/FAUpBd1QEwxJQ1PVL62CaZgojXBXBrhEoMITjgirRCzxUu8leIsIjgKRmj1/WCTme/qVOrR6K
K5Cj50oSP8W7bPWyrZTrSe0SChib45zI9XEcQZowhqC3U81HtLUGfR/mW9p8ufVzSh3o7bryG/+i
I5yGTr9Nqfy5aSB2Zi5jEXrGJHD0ntNHnhzpVmDoe5ZrGvV/NJY56w87tZi3kG2UaF4lO7n6omtQ
IOCLItN2GOrAxdA01/ju4oOsaDA+6+McIevHjH7bEaxahSNeJV2GwW2bE6vAi+8ojuQkY7IXyIel
OLj5vZBYeCLuSUxUJiMNxRVdFewOk8kLYgkJijeGJRaCQ3pKZj4qNJrVhKQrnQFJ9PPzEHoi87Dh
dzJ4uOdm72dVNTAz0W5BtHyKL2KymJZXoTEYyfjRvBXB+x1Rk/Qk3mGOrzgzcc3TaddeIJncr6AH
xrF943+OzxIZHD6z+Ut58WRWUKmwRGYm0ES4J0BXHf2+BV0QXo6MS1L6gJBrM8GiYjCeB7KSAxsA
Wme/pzfU3t4Z5yN8TcjN3sEuAIi1YdxBqOl1UOvOeHrNuFPNL/Vpx8N7YibvwnlH9vtd5L3UXpSX
ZE7q9/ORrockC2jIPCDk0DpDdsEmyalaNiOBNj1eS3PSD86gMyrWFCn1cJ7jqabZom6YfVRMdgmr
Onw9/GkkwCbjl/EY/smDeQo4HMkrz8ld2Z0h8I3OzHnZeShLGSEKzq3Kjh4J8ZkTw5ieQHwCfnz1
vsFXPtfIDX+VTBc06SsZQNMGCgKsWKZ25cPFgndT6HcJrsKsq+lVxwko3LYTZhKJqxB6qkhCY5gP
T0LXHW35JofpBZD4Q3FbSu7Qhl/yJi9RSwQyMryY2wsJMoePHkwCr54XyztMm5XwxbXIc3b39HIc
wB4NflXOSI5qeBjr2i0+JbNf5m86sdESa+PFpPadlbzn+PEGTLVW+03wdSG4nY1igDpyMWGd0DNB
htgimfRebelXWIQQX3VsPqaw55Xwo6dDhhsVM4nstnwdt0V1xgCK0IK7VN0m1Tc3DvpTOuPtQQlD
BKPTNmUuQDqqeQ0pGYMMDxJQc6J5RGuNOxPRjq9DCsp8em+jGsSuA2KkJkT3Er3KuEwYPlmbUbWi
rZfNu+TKF2F34SH4XbGj4L1FkkNIHE2xXAd/yP0fIQ4khSs93kab7Nj+4/FcGC1Jz1g159IKRolh
//3NdCp/aunEJbZPU5tXe2yVIj7Ha+RfmXpqr1Zn7/VDgW0+zxXC7qtk1x5V75JYqnfWlwhUFCk9
CfZoPSHDcfOrWWcLiwdeABIbzB3xQuQ/fj/qcwYj9kDN4Xuu8BJZtDB5LU1J18YJkRVa/Ux+ccZH
yqLB53I3eRe3BlF3HAjRA0wBkGHxmmpzszivrtxYoYUbNuejTy9VCWhl0draW5H5nVi3z2LWOo3d
uaKnOq/CzMOzKWN5wjExeHg5weG5/DT7J197in2EzTXOHq1lIXCf5yp09C3Zi0eLWmSHm4h5tsN2
gGukUXLi3fMae2piTub/sqXi85QWJPz43xlWwqsTDnTFTpi4byNiL9oNTwc61aXfj5RicuKGx6/w
3ACocYsXyQZN4ivLZAGjF9tWBEkGuQ8fiKchsTGL4UKC6xmsZVud39+AwYg+lmab4aXXwnm+1wVJ
sJjWnWGqEMRy76J6kw2QSrKed4GEzsXMr8bF0XOro8ddXZbCBz46uB1fipPPaJVCOnqULgAJhlHn
n+pC929URZyMzex9cgVwOAy+ps+mE4pSPxK2+pI3Jz+SoULTSul4JTMBD7WZ06e+vJS9RV+PlLrV
Knb8hfl9epknB2PTvBcTDqGiQ5CUYb0JkxIfbku0/AFce/nwqZDDPVyiFHZwujUUUDRfk3CP2CZO
jkq61S4sXxA74xuMSuZtXLOeqJrAnNYMo43Jb6qJ1TP42IarHZcrfO6H8LVetpA4BHr76MggqSxC
6nwOsoCH4MMytgLQwWadH5RX/m5eTEW3QPmnBn1qoPMe0LBH/xBE8OEkMG77GzMWxVz4PbnMKLhT
hGzSP16tW5f78udI8V8qiSkMikFeYmqNIjEq7ZfT099lU0YjzO/n5n97/L/OzYwaxb1Lo0vTR3PK
b8lzQdVVZfoz99Sg2/XrsZnhaOPZ2BB0g1P3bzYXTtgqp1yO01hkpP8omiLqf/H1cvL+7cqnf/H1
3tr70CsXOkxV3MtfMAnxJ6iMHrhMYwRnpuxYfXa5fA6MkLHLZ62dVTlS3T6VDrVxsYVLQysbHoWU
LadJzRT2hjThI2VA833i3+o3vbAf3SGRcOnjV2MSm5Ls0zBbFAO1d6efiobirDwPlEg83G8uqa9N
dmVXt+vLLR/8IixIHaYLxeixczaLCRVJlU2/E/220uH329AkbpuywzTTFdj02mj/1O+nivEtegn7
Jnt99udEBORLcZbFsRPifSBxjtWasZpeXHtySO7iacld40sPBmiTVs2DpAGZV/hpfmzLFyDMVv/c
D3VEwdfZg/wVSmtjgommhdk4rKftYSq2tKzWrcDkc0rXAXhu+5xASV0klQPAmME25cK44XltiDTf
65Ux4oCm3bFWeyCbeTG7CCl9dWZuNyVWBPWm+5rAS251piZMw/Y16i/v7TQ93SfZKUoV3iXSyaPN
EuxxLa4F433y+Oxjv6n3vTADJs/YOyfCsmgwQv6eMSGgYhCHGNXbiU7E5gkPvZNRg+TgmYQGBl1O
4qzsIJ8NRWAw5N3KH6HTiZ+DeCpFRIxPmLtFr5kSWVLJf7Ko9Ax8DpMlfUqwH+o1BOOoF99Sxnmr
i/B5TMPXtsIYXtJb6R8LMT5o1VxINA5c5P0ZbVeilsS7IQkYeGknXfwuENG+99m8V+SG4v8i+YWQ
NXyVOlobbzfyzpROk1y+/jcvVSMMGFM/CwRkc+P/U+/HFef3perfHv+vpUrCQUenDvzGDwjjd0qG
Qm+NNQzqxf+y0v9s8eG6o/XGKqeLEiL+ry0+IOqEGTRAvn/k8v4DSsZIcv83OIAsgmMXtenYgmS9
/LV7FuVNLlzSRsPI3y7Ch9Ps3siMrSm6D+oyd5ksDyHxO+VQxdF2WSxJbdYcdcOAYwh1rkNyV9Xd
KPhl7f+bpt74rvzDZRHR+P2ypEtVMf2Y8DfHc04lF5x8TCSsrSK/Rj2n84wDl6VOSaKaCexGzumq
zd5/y1lvZtPBxnP6qOaa6DTvk5d/vjbMFX93cf/3aflD4/il4ygWhnZLVC4uvpmlhMuvcmqqRnGr
4fM60ZWQP0vI4681eYhkIyyHV0hgDIrGfo7hPW9Iu07soSCi5OHYZygB6QeC5q7SvOUurAWLVJ0F
Xc+9ByjjmM2wYNfzdh6t78EbTDsLQy39IHmWLy4eqklec8Tuza61lekGOB2aq/4+zAlHO7dtPb/4
6axZIHNCItiKx3YFFuF9MmViugmViLbN5BYU2TahcWJiEYNbZ3pfsxd13vXmhPh9P+swQ/YjD4Rs
3qHpicFb9cU1Ugul5kWhr7mkJmZ+x4rlsYEABwxz2GJJsxTm1gblBwBslwMj5Vv61WveGF7A1+Hr
pAxpw95tWHkaPJWbyy9Jsbupo33JoiXxXjB0m9y4Ruj+DBAbxk/z9DOMiG9l7QC3irjeufR58zQ6
GaSKQf7kVsQ7Ol3fGGP8BJIlOC1WjBBJxVG+G2iHIwN3mGLoAFFHtvMoLirFhF2YHjjXax9qsuTE
rJJKHJ2fVvXBxLj7FnsnOjwc+Vg234ueKS8uzrm0tsNlTJfAqXCfBsJXJGLmwtjpXY69MntyPU13
xwlBouYZtLzhQMEzGz6YgtyMJX7wJxgiSUdfGb4irnTELOsClAZO5EKmlCRRyfFed/jxc2BP341x
YnTNz+Qlypb8TPDwXe4wueynscjoetWm+qYuSxwtHHYSqAgNHZT3TgZmbtXQ9nHzWQy2VoqD7LOf
MFhyq6tMNbW7btZ9Ta8a7I5V9aCJOI/y4HlfdfeNqgfaFecMXHtaIzFv8TdqALkkhgxvjYVGCS05
dyamvLN1YuUdYhBw7FVd6ObnjAmpGO6sXNqWz3WIzA5xgJjC+Ok8PHO30axatKiwDZH8qA/rNeH9
C0GQuryevMJmib5vTL3+5XFgqsoEUsXNjyFJMRB638S+lHnKNz+UNKQzQ6Nk5BAbOxK6pD8t0a83
IukJeHm1lVZQSyJG4ExM5WzkpF5tBShpYpFBZ10xpEOSLcuzPDXbdXbOz9B5XsNt88Uc07U+V+ec
WsFfY0DBwyrN77rMRLv7Sg/3Ie2jrJ+aFYy1fuo041DxfmeEAROYC9wGp7zoCRjhBYpudsK7XkfI
EkpNtEmxhg7/Zu9qgnGu6/r12Yh7ZZrujDr7KJrGqxPGjA/DIdELk75iyb8kpjUogHu03BaMbK3R
abjp6xw/MkonCiis33No/fOiN3rO/31BZieTmAIpYAYf95Ff1jw0bOnWtJXmyevR4AFicwSxmKSY
CmQAuNiCLeeWvHuILquV8qmsxW+FkJcpr2p6r9z59HlO7ap7CddSaiqvGL4ZvAAdAtzB5z9frKhP
/36J/r/LVf+iu0yyOJv0aql5d92ujgZzJbhcGNMlc7HRXixRtIspd0TwkAIlfuWrHk9HU9zwHgh8
pqA2K+XrbR85mXezv+dH2t4kIYaTsY8X4BX5gbeMx/FL+YsjYLXLI2fS7zl832jNwv5hOJnAnXpZ
DCAVEHkZF6mHoJfXYbzNi9MdmLXuFcR8CNy+JV/GIgELatelV9/eMwYGk0FPTkgEKAnIKLjQ0Yme
8vJpnaTm2mNQvzO39/muPEcXeyTvFI6vAlXcoF4CBHD8do0K36XzyrMYrZ4eCkcK04429HP5HEzl
mK7qBX1pGkeTcLTDkqnuYWzryFBoLlWASsIzl+5RpZfORTFbKcLqlABefkSQ03l24XKaDleePkSU
L5HNh9txomCAq7xGcot+e88kW1dmrCzc0sXSiNe54Q6vyFbh9/jC9DXSixJkzUxapnOezkakQpDB
2N8BHIIYjC5/wiDT6578UeCznWxx7aRziR6NctsSOuZB3TYyGO3brG8GqpquB9Nd6eEDhvvvdTP9
Wr5lgDce53O+e87wTPn5sl4+MndiK/QDJ9sb3b3OrL0hgeS4QWO/MUp56kv4YoF7bdMPcZme8RPN
not6pSzY4NYEtdfT+WNDZCgomAfywL2DTlRBVcrtH8nBwaS3yj/QZNKOLod6d7DUJMZnpdm5dsg+
4vtzmaKQcBPwiu6EPzOkEI3zAvGH/OPy1X9GQrvBiIiGmRHfG4Gi88E33gUlxL9gUjfQIb9zrjxP
iYymvqgdW2aSaM67aBbw1J2YrakmubbJPptjvaiuj12zewT6vHnr3rSvbvXevrSfxXZ4b1+NlbTB
EY9s9a6dwX8CUmaFjzc88+OI+gOQSXs6dbx4XIdFs032OacKqyU7SiKB/uYhHbGmIfUFPd/R72BO
X6DHry4v2gZlAJj6/e7J78X2PT+XG5QPaLbiCzh+GvPDu7EbdsVJYsMQYYKZWMAVgEDY72hWt/P6
/b5ldJnqVySZ1pph5w8ckm5zxS9Kl/rRm7eADYcPvafW1Bmi+UIkYK/i03aY/5qRwZTmk9ohIzrG
RPelcJSWQKz12iuORWpr38gwsvsg9Lim3Px8N+gBr8jPdfKS2/OWebRa13GHxhNk7MG1BXdgTMb1
F4sb6Cuu55DQQWG9TXbtOxj6y+2tTHw6ogQw3Skod/NOdIAGtGAmH1hM4c204zcpu5PS7TrpLUSU
Fhc5azpxkNv2thWJZt4ht7BurjJibmY9iyv7eeyu/WeeYYqsHu5uLJuqbzxyfWga72qK//01YfMX
Buuhsx97vehI8VGC6mPggrfy6UtHE5N0gehkzUaD3003jXVMOD9D54FEw/AA7LkTP2/crpgxeJpp
rC39SfhKIcQjYSnDfBK3kn7QsxnjAygmIiTh2yI01v0gbfu4OJeddCqfzHIZjiVeQH0ui9FBpq8d
B8wdc8NbGUSK5g8TfIPsVtFBa/HZF/ezLM+FJxbKcHOoIuY5QqcLycuoLyHeQYh1FajqaJQ6Iucm
w77bto95vIoz0v/kBfLOLePIkyvE/BJEW3Avp9Y0sWj1iwH1TbKXC6uaKdUsh7eaF5u4hfRUrNWO
UwxY565cKsROZo9oTtahVl8IrEqSnVRmvCdo+5qjuZNLek9z2OnLx31eDx/8hDSjXSjhN5LZ/Zg/
ycQJpgbn//7Bnyety6/nfU4xMzwoBaF4B3yru75J9c1tCNTXmFQMS7+baeze64e20u/rSlsN3Qbo
NMV3Wl4j8Abgueu9cseTD+XSWNT7UvxoeubC14FEoqBfkqDWlXieqP7kdUjMjqxEy13ZRi4npPoI
U2ogESAQsC4Hi9pb/n7QZ0aahrN2wQbNj3c8S/HHG/UIq0kT4GgtymUdLQ0CuLyy2waTrZiSK9yn
tZPdmfq5uzBXvgmYLsAzTBtreprwAZ44QOgj5jz2djaM4zXk75IYOxSjkVskfvPt+dp4xz94mPz9
xwXwW56fr0lfshWMe+YJSDYXkGUMqKMdLU5gszPwdwWYNL64KUeVrl2LWucP0suzxb6KoK24ehLS
nqd8Xgj6TGMsMIbg6d3V1syfdxItKGrVBGyRtGivVgVzLr50jnHZvNadDXzEhECCLMSpIbqq28fC
MT0FBPtlOQyz5FiUs0a2mlO8LT2R+cKv6foxLBS61lvBL5eIY2M9vewbAh5Iwup91QPB9uuv+1p/
7OTuDN1Qb9blIeGEBidMchRWBLQo0FJEbWkW+5LgcqwNq+CDGwsTOYj4WH5rpBW/GRH6R4wjZMIU
B0mI1JNvOJ28F99zSKshidVXfC0850B6577PeRPrkJIg3xVn4LI9e0s512cCnffOF7AFM3D5i+I9
XwImwdIx7+Ycr1DLyXgTSAVBl3pDtBtrGWkRYmw95cZ1cOtZSc7FE6cL+kvDmmkBNMpeMyecBMS/
1TUe6IBXdZPMaqFi9876dzmzH2vcNt0sXEMFkEycBBtFmbGxhS/yNvfjfcWZd5z8RKr1oFbzmA01
uEl+M5zH2T8ZkpQeY/FleDbOcGmRjZr7LOf9W7NugER+BhP2MDS4rfRCtm17+7iT5r5boYC9j5eI
ijllPTRsJTWL96bwwqk5xZNNajXcoxHknoizYGIXlRdeaOY7xTxaIiLkgTYXD72HI0JFFxxQnq37
Y9kAhMYHhQeGkxMndYgwHE5TU2pdqv9nhYJ2Q+H5iBOXPqW8lrbSVtjK+7oCV8YG1rGytK7kRctw
M1m+TpgYK+AnYZeSKFK/2Q3XzF/StzIy41IMdNXMGFZyfHwqF69fQVp5Q9JoJpaEh4jFCCUSVFdI
OTmXxswz3IAF3ujni9xbBgrQGHSmE8qJo90NR5mT+gYhivG57c0Cb82nGlc/6QhogfhaKC2grjtP
0bwqhd/hEV4KUBPYHoJyVe+6del9EnwKmCra45CQltgllRcF7xWOeDROE1HTNrzLPPxgbaKCouIh
31ebZ3JO+hfedGaArh+w+/jog51BIwfZ5xFbIjd1IAZfbUIi6KEVvZWHdM0oGYUuhIXMCnSfSsSZ
fEc7+ZitRAezWWyyvvHWLSU/CeoluLP3Zi/yHevtw6baCzIM8A8XfDxlXnj8RNE8OLsvb/A21oEw
VNqY3/YcHgVMaEoxalP5oAHA0XgjVX+g1IKf8LAr5D8G2omc474mQB0+Mu/5LrJ72LhDy8juJZuC
bEArRU1f5SLHaCnxp/Uie2lWyhewdalbS3ebEFfi3dDEydijSlEKHXEF1TN8E28tOQeY2cxAs2FL
LcVzcYTQ0X33J31P98Ct3SNVArXyiOLAl+HAGBwpbejppLU5HLT2SL+eBuv30AzN9/XyhN/BxONg
1puIZkzJT0mj1URCxp5xJebNfE/N+RFEFsw6UBZ845Zsbrwu53eodY8tCjyUxnm9VcsVzf5oMov9
UFvIE+IjuGK95kt9LbD6j8b17/QDqY2afZmdCHMc5XW/SDAswLkxeOtd7FYirvoPqhnCvuqxCt1J
SJsBuCf9GkvlgrgrmLW0q7DtyeCt5swUcG7feNov1yNsELMwLx7DG06N5D0djlZ85nYfH8m8yXW7
BeSeLLBA2+GrSCknugxonH6HzIY41SNpkxuXupGK2ytW3LnlDqtaCfESR5IzuHrlJ3x4AhHFPPPv
XcAygu7PVNsDkUv0+MkV1OcsmqkJ465wgPkhJBDWd/gSQMwXU79e5cdRBQVnyr3nssP1V0Gypee+
qR3tYd4+n+KmhPyuOtagmY+NEQxotg/Wwxoa3lp+LK3CvS/i2O9JbOz6gGzfqJmb1ecVvKGqjUk7
46veCfqqPHcrXB+2wAdAWnX7akNGdqYf8Rh/TX2GnI4Z0JGYX/D6fakZLUE3a3GmhEgt8SrZotMt
RsY6uAQI671Tmld6Y+bIoOCkekD6DjFH8o/mndoBawRLiQXidlVzXMhfVcwq1cfz1H8TwvzkZRrw
5T/YEtTOwqImQjA4y+eOYYy0B6bWQzObyuWHeyc+hdqwzxbEwxzwDC6cTVobyx68ID3oyavQjqkS
HFWxV5Lj8nMvWfFmEFwBDvV8rTFdqBbLONSBBlGFiNCxq08kUprN3fDbq84g3hGmVc0Tv2OIBMVK
P1jWpLcFngsJeqe06PKs36loWlMYJ53F5xNv0VnP8KJhvLCfKZ+R9ZSQz4CRykvFLXbs/raoyLbi
AlRf0ncR9wYWiSMtLpHJCg6HXbEO5GLZicDNxvbUZA57PVsYoomNrp7hnFqkzuU8ia701MvFwNzh
VW/j2/gf7s5jSW4rbdP3Mnt0wJuJmE16b8qTG0RZeO9x9f8DaqTKSpYyQ3/vFOpWt0QWDw5wzGde
M/OX/KbwrioRSR0QBDJyoAXgr2MzGdg5mIUmGcQTf9zwF511uBrb/F18TDZejQUbJ+7wu+b+FL2p
Gl5rOS+P1QGXqYWO9LCxsuadO1h8VRSLOfypT83Jo7bACmbqWlzIo2SmrXBbmCQbbU5V47FdIsSK
Fah+xMpli0Yr7p3CNNrED4019w4leNF7+lXqmLO3/ajIq6jGdWOV2h4KOPmMYg9FtcifG9pP9KD9
23w9rGawASnJ0Q4iKtZkULaGO/SQgo15MEDoElc1/24tx8HbnuKaCIPUUOmJXGSFDFruZ02o858/
aUJZIsjwQRPia7ccrghVRpVO+ZkjryTrdKeAvP/qTX3pPyExocuiZCkqzrw85j/pP/1dXRFqCfL0
SMJ/rStmUSs6vk1dEUbWA7Ii9tZc0eehyBBgKiHuKSYSG+3NfXUQF8QJ+iI/ZnvwU0v7SokTkS/G
OoO7n7xAc8AOnNY47VZLxaTyqHGO0iXFApSOimfZOf5M0BsFwQy6U8GYRBe3YpVPnKzoqEWP8cSw
+lmkzGOKSippo095k8R5rN9QVXzEBvYue0Fg3fiBPAOsQ1yFsCOBprES9kDWV2jGbgz0qzBAUOw5
CdgkuYnvwjuOmngjz/2N+UtUD5xzh3EnsF28Jml8bCB/5xP9ZijJs+dewfWKUFZz59UYmGhOsYMB
Vi2448Avq7OegsQQKFgH0ASjhmwixzR9FHAFWiuCfjwWJpKXDPE/IwEj5lfavSiiDo7lMecX0G9h
QK3rNbHnHJQyJC5vTZE6HaKPGZUs5P9Q3UDUA/gx7RxvqnTeyg7f8oOCe5Q6B2QcTdINp+Cun7Qb
idMwaRdU+CN1FLxTvXNW8HIW8awRcfejdyA/x2/hAQSS8VRkYx2R+4fgQeNBlsAHeSZpb+ytffHg
HrqpQxpwSwizBRFnPTdvsr6s8xv8lojIwgm4RCGi4fGarzHAqpo7LzhE3DYYV2HYmGWLTL1Rum7t
msjxTkv5iJ2GzNFnU0hAeAlJ832TCgO1NqPT4E9SKIAomCNvQ3mnDu6EnFm8K207xbpNevR+YjMo
BrhmWvSqBo1RLDuM8UMyDb250TnbTju2t7CIyXrgM88IftfRBNC3fs/7hzktkgiMm6OwBhA9hFYz
qoSWSJl/RE2Xv9v7qlgJHmBBh3zixdggDtRHG5tYXxAXXuQM1EUi6dskU7APEnpUCCnDBzhNVS5i
atMiXJrPRbxCLCT3BUwDjk60RLgc0MJAq27NLZhxelVcmOvmBhK0tW7fohyOM2402hT1Tni9KGh6
U2jBXMcUj9FuQQ4lmFHazd40IiLe8lBh2vb3JMQrUIhUWNA5ekJEsqR+bL2DQhEpWEu8w4Q40W9v
+HOBxQrdS0pmJsHwdZ43+qhXtghZtMoWpY6hYv0uPBQ/jCn7TOufi5wKfYQ+6yZ6L54UVKusUSrO
Q0rs5qPrH8NuLwCPVj4oInUEjBLqLIiXgP5FZy339vKTEd5KxsR0buIHJX7v/UU+hVlMWQq1vXk5
LafNLGIbgPBrqErySec2caTNt8fLj02zIkMxmi3K2+MS6B9qouFGQSAyW1sISiMYBsEYaAaqEAfa
Rktn42m8ZhMGxp1wpLaSP7fPiGo7d041xytbXmYbih2lPhrd2KCWLZTb0JzlRpVmPuVFhJWKfamt
/Hwdo3b2VsHHfC2fVfyWMnciv1Jayw2Q/9OkGvcZRBCaUnDTXDpNm+YHOutpSMl8hhDJPps0B2w/
QRdXsJ7B3u7wY7xtHoWNM6P4LuED9tMHqL8nvZSfeKwF0s3P1TKefkiHW5+gg/qZsPOOEmJ4zTyd
NXOqGmNl023rfbmUNvFB2ZSHwUQHXfsXbYNs3KpcUkP+cHb+ErLLMp+B0781ZiLltTUSMO5Ih1q7
J9taqPf2vFvl/Obqw+VADA90nPU7ELE0bLJlMvdW4SYwIHUQ1eNSsYYxR7NpTp8HwgJ5Gb1BcPDv
s63mwm2bFx2c8G1HcTjeU7KlvkmFYNYQYakcd3i3IYExiUlDYkpGHMQdwnU3yoY/jpauFG9r4Es7
OpgZ3lTmHBUyGrVhvIb4x3+ohNNfwdfoOYzpye+TrUK3Eg1wTZxa9xJ6qdW4mfzAN3C0dtJwrLyZ
YxZHAwC6XrTxzQc8wEybu8EUUjq2ZHX42vSbvKatUN46erkLuCIzNLfI620IgMnSMVdpdye1P+p+
ZRiHQpiQzabGYxk9AGwscKviD1pH2AywQwjmgN0+NoixGFvAjB3t5YyyIHWaMcBJbKHnZr0zzKlB
P5ZPQY8facnwjhsXSfCooew5yyKECqldiaP02L47CAy/hyt3mv6s30VhbJnT0l3AfgCMIXXHhso3
QilItVhTR9yoqJrgZiJOLIo1vM1mqiPV5i6C6Nhpe/9oE7b2b1Z+T7PXBY/br/jtnfkzKR8dY+v3
KypuMUas1kDy1pxbT7XGVbfk60Mk4XBUBCQesoCOPxIBwnuOOx3l2TVSUcis5Ji1uQs1nRqbav0r
6Pr34jEl1bBU1EDU6xIlJsKnX+NLUI1ff/4zvhQ1Q4UhieQYQuTaF61wWWTEwXpkEP0eQJ4nICdd
1SxTJdJEV/WLVDh4TICapok4rKbr6j+JMb8jHX95cv64L4GdoyV14zu1io6lVry6pU8KWpaVfScL
kTl4ZRraRAEiZwdIobr0a2lRhDQePNE6Jkm6rSKdY0b2N71gPUiptmtpV/QWhimJtzUrad4reb9V
ih6Gm05nOa0RaJQGKJ5QgN5x7WVYD8GjXL4Y2JGHOR58hn8osmIS0mcRZJfLJsL2oHKPRh4t/a7D
d51qmQmUvxIijJW7mZJQsdWp1CkpHAM3HlsxuFJPpydpkcy6gxGAT8KZpBM/Tw+VlGFDZBxNUxi7
mtRvOQFdK1uWNZvCpBaT+MZ95YcffeUfMqO8D6JoVSj9U2YnPyoHGKp+C8d83UlorQK47uFz6hkd
08TbodYS992t5j3HJkqLUaqO60CEeO0CGbXUG8G3KNopkoivLD06Nfd+ykHICWTIsYVCo/mq+PZE
sLeSC/Tfgutkyw6OuFb76BnKQxsSLLHcdpZWH5sQUYx/96aVJFlEUR/FnqvqyPKAhDjftGc//7lp
JSSMofYPeRcwaiAdn+RjtAB0A0khZAGlX9r/J5sWZWQFgX9RVAfRoVNkIv+KnzJkHfQiqMV/smt1
Y8BofE3HhhPlz6lrQz58mo5xrBR2qONjFy5rXFswGg+onAdTDd9R4iLkK+g5txQa5v7eo1+Lv8uL
NsM2AzKquCNHcob9MnPf43u3mtg7/z3RV4LymMcImvXrXDnkebgpqHvDflrxj7X0GGd4fSHBF1iT
uKOzj8wr0j+Yvg/aHDbGIkm34E8mZ/LCW41a4Sv8BW/WLLoV4suocBozDzPRoZMvpE/2eypSNjf2
soYzFpQnUCgmRkUJKQE0Hf/WCUkhkdcKxLsO8QKqkS0AS/KnARwAEIOUwFpA31RyuKWZaozBegQy
ruKUXAGGdCDHiPxJ+EjJkqlGPyYlH8Pfda+RkMV3s/hu2z3giifiadVBlJrkEs3Bau+gihA5+D4T
tCNnFGUH2iVE2hNlVjxK1ohydqbMs3YZOxsSH/VZhLgmOscWslL8IXnRCzrReoY4+1jCvVS1plJx
F8sHAI7KY3DMdhyrSewe8wpBIlhf/r5CQEdrFvhtFtk6FmcvGUo1+R4tPrHckkK40VLaeQgfxWuc
Ke1877506NXtVDiJugCMDtkSevKcqCMJMASGz6A8VWCU84HlRmrtT0NyL0itnFN8s7FXT1Py6hyv
05WzCcp5StGPlkO7ytRpBzPmGNHahVZDamkNHB4HtqF170GA2mvJAUC+NaTNUz2YVej7OVNPmhQZ
eP3B2aWFD/2IdG5HgIm/TjKpUBqCZJqMvXvIdn06FaYpuMBtGpK73HHaKeVOQmdaP7gg4MxD36db
a5erBlCOA/MjWDTQOHJWFtmQ7by75khXJ7o/ycFn3zuo4JgoI69Rk0KAuGnm8aJErSrtlhgbGPAC
+1GJEBMyr+AoLZSkhqZh+KwNOoM5bG6HpHeOLiMss18/qRfGDJKamh1DfzTk6D96uZi3t2m2wEha
I2CLJ4a9TIqDXqjjNt/7+b6BQSYtHP/J4SOBCgnEVaRPYnPrO8UgogW244d6R7IGl4sPCpfr7O/8
I4w2i0/z56/+8f//+vfAkKCc1r+kp/iX/CoyRc1B1actEJqyfqUMj86k9Z6uENLPICGOEYGuKjo8
0QR57jkuBWoxOHn5Ff41pbPDLSGZcBml+QbBohAvpIAdCcfMxtjae26TdWbfp/JS6FY9XHLxsVkq
FEcpWKTbZ5kUVpn6uI0BIgN/DywLI99wHvnANpDVoludBc8RMlXR2G3HNbyGGfZJUTW3nV0lHnz3
6Od4c1HmNpxZtfHDBUVP5cE92iag4Zk4Q0lKeZA3QIQWnHPVCzZHuXI03bk8csEYTKVV1c0y+Mwc
SjHzWMX88TRy4QunOx6MJusbPEcgwCSl++kmLDcBxuWT9qf/s7Q39ZyqjD5L6DvfoPyIOXn00wom
NiktIJwAkEBhok613YV8k3IpCqvHnj6hhP8TWMPCnHXlrsHXFbivDn5g9EPGvcBF8WlgHRtjFTqr
vPb8aWcuhXIvVjuSBolGs2OjVu49xZyXvjaiekHpSnhrIc01EqZOk9qYusIiA4iCfLTJUWviFBsN
PQQMl2lOgTs2N5lUzRKOLroDKn4YVckqJ19RtwYGCt6xGbAqQBKQK3c/QtpORrs1vG1Qz1L3rfcx
F73B9d7l2DIEKmb+kaL9rN6iOBmIHzH4oud+TB3bQsndGrcUgrppWNynD6T6rB/uFWSnAJSqr3kL
UBks3bJE9fJWPIqUx1DqV4/AvmnD9XTOK1zJd5QDRP+ubBYQH5Vgme7wECtosRDO0VUxx95DV2w6
LDve8dpAaovK/a1FYQAT92rSrT/AOCNr6dBF9lgdTBqKH83qhiK8by4VfenDulUWLv38/iOXf/bB
wVh2aTkOkFfAdx3pzmLm76jz5XRa+qHBoccgjtV1gj1KiaMbuDD5Pmlfkwr5aKTWppVBN5VKi7+1
Nu7GnQvxGEAnypGLf3PApZiDyKIE0BUy2OA2cbEKb5G2fA24fvv5z4BLRpYZuUZUXX53VJKI7ywc
kgZT1KEMfhJwQS4xyIZkHcEojap1kVSl+//+j2z8BxIcjDbsMwatF9RH/kEpnmTtt4Dry6NLZwFX
3Zex6nY1jr0BvWKHDrMcTzQ1GKuY4pletM4txPpVGXX1ZKJwnhqU20wcFQCYNcYaswq5hkTlZkQt
tMekOps4OIcytZWuIBNWsUa1zHzrgdMb2TiikkB9ciRhPulL6jTvFDaencyrqjyYmnPsTHSUgfO0
6N6ZbLsI0FavPitx8uFINRmZqpigj1xxHdYrb+DIqa+atjTTBt8YdR1wpHlNgAVASr1guAHK96bF
FlUW1HclV5NlpPZUi61s3gRQcxPwUxam1Wk6TmCtZY2TTfvQ26ROueuqqqNJjTKeUE5UY6873aa2
uh94IvVlMc0bYhJElUaJ3N4bkr+o3Qi9fZjuOWQ/xVaX5WCYJ+vU6gG5QQNvcmncVNiud4gdu6ED
d4TSquXaNpgDBA68bh2ILZrR+SoSc6456sRhR/HxXpe3AtUvUPMeouw+pqt5UbzapLRSXB4S8IgY
m8/dCuCRJ97ZkckpX2Kmo+gjCZjkv3xnQ+6UgIVbsipdI3lZ7LTfdvbXnz/Z2egwSapi0bujoEGB
4TOVYhViaEynTBzSrC/1DxHPG0QRRAtPtGG4k40tylRqNLY3KnHUU/7Jxpa/a2wZn08un6Hh48Js
QiWP2Nh5B6AHPI8pogxKVx+wracXU6QvaT6ByDKapd7Aw1ddiFRYkyNc7HQ5tfIHy8g2cbntvBcl
okdOlOq7Py2gXZm4byVs2dtXP77rpDsRSxb8N8DWzXShn7Z+M/VtZ1qDdamzalPm+pMvCOgSl0Ex
pv03luMKLQBVGemliksydVLRfYvdbhyyfj3Wscp6lmWBXfbRQgIVWOokQK+tbq2F6OizC1J2Q9Ja
4BspIisImrNlLDNdifShOraSUKN3Nuwtp9Y0YkCI8XAgYSz0C9MtQJUAOdX9rlxmuTAVbeENd+tm
EeUydlpy58wsGYPohK5NCbVe9xRYRwGKKGg19653j03eOG/aW79r7pqcGrLTH0uMahUN9auMjCPx
NmGnH8JW2YclRJ02/1EEIqE/xf0ywMEweekSbRwTkGmBvJBi+6AlKHK0qIq4ZQOnxSVm8LxmXdby
Y6u19cTQvTmZ17RVtC1lg71S1qso6TAEdTFELzTTRIYm//dWO/FWkmles83pb0O9FNl3l+5xtuaX
3f7dz3/udqyadFFEf82iFPJ1txucAQr99D/JmX/d4+Z/UFC0qKioKgUSTT/Z7uZ/aM0Pgm4a8QbW
U9I/2u4DFeekbvLHk9NNp2AEk12Vz7iTYtQj/VxX3iJPflBD6Apw/YCthfbGbCcBeqVIPZAG2iTD
EvmsMRiWSMTe5tF39XkuSGMD8tTJ6zz8MfqpSpt6dgT99lBnR5DkhqkpVaW3yJpnpTmW0X0xdNiH
0ogxM1RzZtp4AwErywQEtpSFhqF57kuTPKcf+VKrbxIhMWDxcRZPswbtU6Fd9OTNFhK3CUjzvnNo
nqUT0w+mrqUAUUZSpXpp4xdfKyaDMBVg3QBNjNzwwBdLI8NAIJ9Sig+jqgBRE9filTn/wi5c+hBE
iqcFrMTP7NAQmLOoJZD8tkUPQTymjes9ddIx58TrRG9V9OJcBcCVihhH7XTLGCvFLFcBFijHwPhZ
oFPS2mjI7NRBaMZ+VkAYKso1rbozwtRv3+cs9qvcsCtcG6JnFXwQsI1y6Tlv0knhYbaRXXkx1xYo
3YLT9yJEPYtWYIHK3ntWvCpAAJ3qLtce6+xDIcW8vPSuzWz49RPmmtCEAZoQfAUFpBJ7IWiOCvlu
EvxwZOPKzOThk1765MPUTwZr4kLNK4OpRUM53kDeQX81/QOUOrgyFOflh5yQta8LJIj4b7+qihsj
fI2LdacBtUsUbKoTDK7MUZITIGbbBNjW5fcxfMlLjzhkASePKAh908t0KBaa+FhDc+3sfU0b8r8a
RDk7g5osS8ViOINCfSlQDO2dJUr0V2bCuXhxKr+kIU+mQpQhCZnHKKpwGwA6D4KnuP1hSqsGyW+D
trai6KTjYGPh2l2e4LXN/YsweTJ2pmWCoGosq77bKYCoMwtmKWp66cFqDwZMoQqsf/aiKrd9tSAE
9zMKc2D3Pbwi0mKeDuKrAkrdADubqsGERJyYcUjBGumg4Hj5YYcNdeGTK2ebu7aFSENVBDWm9KPC
glmrvImXvMlURC8PJA3f9dJIZ5vNFW0ux4bF1Rbb3kS34iMEdxJF3Twd6inY8IkAq4345fK4V9b0
YK5wuqa9zFFTsWeCOrTkpB7sSp6LtJpfHuWcBHt+SKpnl1igebnf6gxjqO9Ymjflqgb2WlMmYhli
dQeUAmizqe27CjSB5i2plKYw4wSYaTaMaK26qf3bJv/higcBVbPIog1XPYTJB6LnsrrvnacSZ5sa
tRPR/CFHHxV3xJBNGtKVD3XeXPltKmcHla0LLnuU5ZtE2lHzZm1975IMZHTJqR97cT3JtKe22foW
anjm03YJdBSkQtFjITbFPKGMD5756kcUrFB7Mt4qrEB8fY/ul0I6X5iPlUflzXqWspUBCyWGb5AF
kKSaUdLjiheJc8vFd7C662QHiL0NabBbD1WqlnaIU9JdXUeIbfVAGQR3IYZ4JyM96uNAot5Jxc4U
UMJp1kHwXLP3wormhwLBWLhNoSuAV1GenQCdrT7c5PKmRSVCy5ZOEaRXXuOVm2yQODpdd7XhS7nT
8hZtxLlcK6eHIgBK2KaCNqmHQmi7ubwEpStbWTs7WHVHFPIyYYP5cTuPUpDCIs2OFmi6v4iTY+gs
lZxuM4C9wpxqUTzz9EVUoL1A+FQ4VzaEJF/e7trZhjDMvi20nKihY3f3ejBpQL0J5p1pNIQqCckI
FN/qNlepvaNDKafJH63c1/b/Ou/J4Y+T5TSuvPoEwxOeHMOGlptp4PIFYmdtAs5xBZjRVIMD+dbE
Ligtf0r6kyWtO3kV+v6Vz/83xx14CnxWdA0zla+jB2mdRY3H6DKoK0EgcnvWnadKhQcYvFLggwl+
H9C4vLIIvn/tn8OeTdqNdKXyIDsuTJwq9FpFhWQz1OlSTxsV0GpV3PgSa2XTZvOSYB6iRnL5Cf7m
JPx8AuXrxDtBiSUlG25elEEldIriQxtvKU9HkM3sn7YJ0mcAHLIsjPJoluG0L+2F7yQTgDsOdpFN
Bl8heUoH/aJHr62XjfimwCBuo7egxFwdbJRdwxU6SvWiTPdhDzvHus0RI748E2nAfvx+Y33O5Oxu
RGUnKy2fT6hauHYjYBC8eEUzSnsgHKQJJRLotT7TsxJfq1nVvxbaUwrp6PJTDOfEpYc4i4gdU3Sc
MuGD6nA19ANiuCWqUP3AywSymZRHG4Dp5SG/P0j+mveAvjndOG0VKlqTM28zeUs6cd6EUEmp9oiv
l8cZbvwLUzPPVkrrZa6R9YyjNLdh82C3P936kLY/U/r1l0e68iV/U11rHLFTLV5i4gC+7pFOUf+o
f/ztafP9cW/iG20aIqJ2wxOcHDZWUiRSORz3DSxDPaI8hkF8vauodskKTMpqeXlGv+KW31/e54Dn
6yKTLQedTcJo6j/9gP9BAw2VWnerpPeucyjceFbjs+rTec2rqQva2KrvlWbbpgfS5ladVjB4UnOW
S28BdaQ6Wpj+QwzlLuWGL91NbkGAZaNCgA6QlSvFjZRB9w5l7NCscSk9lW08zpEoSkX/yhnyN0f3
5+TOYsXUy3KfsiSJiNmNPJiJ4r3QH1IsCHGfFkrUAep1oOTjStt02bVI9fuI8XPws/hHNMNYVnCO
WFhBQSEPA4TCRdqtvLIm/+aG+BznLEKo3DoW4pBxEuVH0m50XZxk8sbziQ1qbSIQ33nw7ZRwf3nl
fL+7/xr2PEzQQkXxFYfzWZaTuQD/39pGij9Vxel/N85ZAKC5RdQ6FQu0V+lt6EM5E84WHPpMvPYq
r3wx7ezAqs0/hzKowWYBWg/6Wqt+Xp7P36SUny/u7LiqQjkyQptFibC9pMNKQCUqPLjJWkdFwtwJ
Ub2AHBa3V97j96fk57BnJ0snx5maGAwr+nDXio8aNw5ortDfY/nK0rj2HodfPznEOiyWPdngkwnK
g6btoc1n3cflt3htiLNjy1crvVRMFr1YIBurw4kUbiu0Nv67Uc7OD9/3ZaEZLk3q4GCA7zmxpgK4
5/9ulLODopJ61csFvoyRPynyTSe++yAwLo9xbbeeHRKGFphVFfO+aHIUWLPIwIvs5qd2NW771cL9
7UKhPA26VqLmrJ/NRlFT2fdr3lmGRpAmRpNs2K8x3MJUntpihRYNnlolrRETjKrqz2RKsdG60CA0
C83s8rS/32yfT2OcrXo5yJDI/JWEJj26Zu3Sb9CggJijA3+yc/SG8g5Hv2wiw5wOkNy/PP6vKtTv
b4OOvGFYEmX7s/fu5rXrS0M+r3XVykJiMzcedGzMDCRE66mh4dCJy5hot9Pa2YK+6bVV5s7pho9U
01lE6ir35g06MGTFbfJamYtOPFYNZPYAE4521RnySJeCiY/6hi88XH74b08M5a9nV89SjzAxKXAZ
w8UiYBVnUkc/1CVqMA0aKcXj5bGG73DhPZ3XPeqkr/pM5T35LpodOgh8+9p9/G1odTKds9NdNdQ6
dWWm05l03TGvq+q9XFdgWViTKiTAoLhSFLv2As9Oek9OUt0ZDilZOjrIvzkvTfnDR0iryq+8vu+T
9pPJna3zVugy3x5i7Q4mVQguME9R/UOKq/LADCGyUmmoxh9k5Bv0ie0cFJEEJHmP80Ea8uPyt/z2
Ratsfry+NIOu9dfjX9fszpbsFMsTSE6N866bczFcCGiP5+IoT+4vj/Z9mfRkuLOpa1IWgBBBsq9P
jln60fTWuIPWLan3hrFv042O0IiPqI1vjioLlbi6Bmj/hm09gDdt7fp7VaBNHfXjtv7peIS3SJEK
xrGtX8zu5vKzfn8cnTzr2c2Y5Q2RqMvhqFsVCBJhnZuvprBs8hexNnGPFEYRRaiwu9GBcF4e+9sb
82To4YY4uZTDrGvNyOc1tfpNrUPVROAd57DLg5y7Ef1R9DsZZdgSJ6NwHgVGkXGX1fKNg1CHkiyD
5KMqQUQaa8/9yOND1QOCxQnBoPbW/rg8/nCc/naMnAx/dvlUqqA2vj7EVn65cIDH0QudtliPdCqg
Z/PZlRd94EwuD/r95jsZ9eyQF/3eTfMhLRSTfpumOo4flOTxJwenUAMNrUpEzEKUPDjXMoPiI0A9
9SNt/HFJF0ETrvVf1G8Pns8H+q0/m1dtbeg8kCDjS0N+097L0TrOUORHIRYfKwMYbHirNskyoxGk
+buCKjPK11GwpsrVd1utfVTio4oUSHkv1g+mw3XTPCABztHPhPJnGTGZ1kX/GVRBHRwUzOxM0M4a
qF47Ned+N+nlW6pI/NhEMjY+YtJN8y4gG05sMOLcHdXa4fJ3GFbwhY//q3N2svZKFH3bTmaFh/Km
am6yUJ5oSM20V1tPv26jSyOdnXCS4TmmqbHMOt0ZLC4NZHZzoOSD0d42USCq7gf9xKR7UJK5Ey97
9cWwp6U3KYCH6stCmtO0CuNsIYXzpHpyq51ozGSX/uGsbwBxYrgNWbVfdC6YLxtuziyUpZGOEQRt
XlgyLs0fqwNzm1w5JL7PmE9WztkBpRVaZ5UlM6vcp75Yt5Dj4w665GCQAkTcCLcl+WWhzQK0XqU/
xRT+WflD1YiTADlolnG2fx2LjpczJCkVrjSNoixciJFIX28aw90ksgXw2p9eXjXK98vmc8yz3Ru0
QtPqIZulmAY7Z2HNwlmxFUYvN68b8Mjgd5GKwc12tOkmFBYRtMHIawWaGfU9ADUrcQGeme1hgvNb
XH6074/sv57MPAvA/FgrUkvkbYg9rGrhvWjWimzMLg/y7fQHrwKsvFVLHYh1pyd2kad+ROgAlsN8
M4pne+BUu2OxfL88zPd75mSc85shLGyhLRjHDUDW28IkD+Da+rBTmnsDKKPXIRggU0+P7qJ+K6SI
8aFKEjaPio1zp7Evza2AcpzOFS5ltGW2YRphb9JNRRikOaRO23mtoGTiMVTFHG/pRkQrIYRso8ji
pMVOAKs7mwJXX+7zAJIDtkwuWGQYDlfug2tv9GxB5ZlVxI5I/JNYwM/EewscjA8j3KyLa9t1OGh+
O4g+X6p+tkJat9e6suWl9vVt464MNAYUxJoD4N4eZw9qoOm0q28V4OQBEmvt7vJHla9MVT8rzjS5
KgltyZEbWfVIdFfRoDa96NE16Ge2d2frM9Xb2TnqO1gOeiDmaWr+bGq0EtyFD4092AMzQRtajOZa
+Fprr6k1lhEbvPyY31fgT16T/HWNpzIe30HAY4r5a9ZuXAUiO+z7GO3DBmx7Gjm0WaEv+WOHRMrN
b2rvvlGXl59i+OyXvtXZpYGYYhX5Fd8qEXDXKGY2wmHu3KMVIdkqwgsI6FneFZX7Ifa9NOZZbFxb
dg0gm7MtYnf1qLIq95cn9W2kcfJmhyPs5M5t+ip0m4C8oxWTiWG4sDGeamER9ktT/P+kyr+9HK6N
dXZS6Z3QIYvPV1RFbyb5+0Z+kJ23xGnHoI//V4HsycTOjqseCpubd2ziFuFe9TkpB0X3ORFsAh28
hyYiWzmAG0TFQnsaUTx2RfPKM1zZXL8a7CfvtnacKpMTFkyGWHsIYb7ub1IQ21n1v4OafM7WONsg
ni55ipkzVJF9SLYxLuX3FuJXds+qnRYW/Jn20FApiSx0aZHdk2DVoXbmP6doxCCaTH8LMh7/o6Fg
iQQT2XWOpGIs4J/geFfKi9/ml5+4y3Pkj5EHaZPUQ5yXRWPVfVfxzxJRUCsLDCHLmd1e6519u/BO
Bjw75eweyXIhGnZucFvBcZZnAe5mbv7iEd9e3k/fHhInQ519iDJOEjs2Y29R2ndF9hBLPwTkuxFV
lbI7rXhIzY//bryz/ds7eVgJdsK7jPYOvMqOGxZdSKG49RMocOWNZD9cHvFXx/63M+lziuelHt2x
XJDRDFmlCPKjeekH2y7bpWU06ZHvERxEMFCQM6F2xdljhcBbkjeIqr7LCJAA2ACYsYSoMOqQs8eP
2scuCARb420yDX/AxMVm8tmzH7wclFvTTkrkf8R8X1tIxDlwGLtm4oJlUHcaRdZE92lXWassD8dl
eQiTJ7PwZq64ca17i0erAoQwauj6fX9nkqrDv7z8Nn4lJZfextkHz5A17orq16EGQNx9dFNpUmnA
PKwdNxbeGajShWjFUNWwUWFqQWimYDIGx3ACHi25cRHoKYQ7t/lIlLdCfW7N5Mol8v3y19BWQEFB
p67z9YyneRcWhT/Uc1oZj/SDjOQdLNGifyuUK3fk980slBr+HOtsq9Wt6SiewfpH+L0ETeGo4Frb
D5sufwvwSVUOFfZCUipc+w7DJH77DobMX4MHPRpmXyepqsCV/JSBbYRTUSOJtRs0UxzjKUmeI5QV
BiYMUJRRaT7W5ksifGjFAoj2KCqITouZw6ZJbWMqec6Vt//tiXDyYMOvn9wCkVqHKUh9D8HIeu1g
KowcIOKLlYHojx5Na6SneLTLq/L7NPBz0PPSb2yFDqkfe9QwwfbsXOm1oWzmV/j3oFyT3uEdMYqd
Jy1fuKJ4Jeu5OvjZGpDCttGcZjiTqqcwx+GveOxRlhbyxx4tLgGmBnVFHeOHLq82rn8lpv32djmZ
+lmYBpemMuI0JGRCQ1FIkHpCoFyJVkJCEpj80M3jlXc9TOfCylPPwhqMiMRG1CLuXnhUAUKNARDl
+wLBVmEeaG+m8myXz6Y8vTLst6HhyTzPFrxUKkbpNgyrojUKXt5s17mP3m6A8pt8mzq7tnuSkFmt
VDjjpFSbEi705WdQh8Pt0tTP1rZrhW0fxzxDXs61/qNF+r7ubnAZMJQdsPxO20bZzpUx1lD3lXdn
WIso7hCSo/mroHkOHT2g2IYhMRSWMTogY7OvZq2OAwyGZc+xshOwxRCzDBKgi+LYqqLbKeb3hXDw
vQ9NpCQVIa2kvMrizoLrrWA74l6LWq/s3/M+eaWCXxJ11pNTvvYxBrotNLutG7yoJPVSwkM1V+70
79Odz0973seWK6vQNY8h+x57CPdWTN4ipKYs56edHlNv1VB5FIJb03ywhnPVEqeNml/5tkPgcOHT
ameZB7FYqRoKz9A1xbRz3ysFHSdEFC6voGFvXBrlPHzxapABHodj3iDuimc5JnwxqY6jzS8P9P3F
9PlO9bP55KostVrFUk0RYvdpI+7SIBnF/lOOU5iGWAVeKlL8fGXUK2eDfjY/NRDFrBaZX42PjP9g
9v9D2HvtSG4tXbdPRIDe3CZdMn2Wr7ohukzTe8+n/0fqAGdL9TW6boQWoFbSLK4VMSNijkuyPIqY
e5hh7ORCDiQqmIZ7rXv94Ydvu9xfHqz+bVMqO4RUq8vYlNrPebo3CZeiY07HmrG8KcbXiv9Fh807
CNwBGZ9ezL///g+bk/5tc9Ji2comi6ddWc+SdJqN4ofl+X1g8f8rVPzrfd6OgX8dqwkd6/nE7C1G
xp+p9NGFEbOrwZwt3sh+kVhQRQoq5Xct84lWc1yBWeU8buFTK/Hmp7dmPYb0XeMIhiAbKONjyUzy
3x/CbT7sry/h2/a4VoJR6RMv4R/L/GtS/06i+z5xaVFUs3v8P+PuYoYgs4GfBEvshfRpSmVQKg9j
aJedn3U3oiS9hSLbJ+rmTCXCr1NnCR+z6evvF6v8sJd/b1St5T6PVJVTO8aivEqeKkaYw7sOqMU0
QgIppH2k7PoIT4fyLmv2ofw85ReDXpSle+1FdnzwavJ9DP6oYUBa9/rouZAPcntismozMKo4zo9a
MdsL0BLGe+yp/CHQ+nMrHBOxmCBRrad0+d8lMeuC1rURS0KC1YF931DtNROlhqH0syDfz2VtLzVD
n17BPMZ8Kdugw1hlDfRmW83XSvZl6Vmbvmhanylel5DqMLkck/1i8H9A2H+Mukcp5PzKHiojCOeH
EB/pkvn2m2WevSBK/fBK/hzT/u+Gvq3xSjHEZl1ZP+X43IeP+fypLDrwI8lN6j24tGh+kK1Aj3FM
ae4w/wS72kn0cbtLfjXgkk2/BFRteYGN3fI+fWvYico2YqwDd1UqA4y/8hH9cNV/3tL/d9HfFv1k
VsYQDlz0lBW+oRIIvRQyPf3qTw1Rf95j/v8f+q6dRp2o91rB606Bo5Ux5SzpJwXnDx+wTjEFJwaY
vxjRfTs0dHJrcTIRDnTzOWIE2cC+WqtxTx1OuJnkS+2r8evfX/pPP/ntxLAGXQ6tDsVvomVUbw6K
VxA7Ipd4YEo65uA0q//hjf0hYv7PXX47K6KqtJYlv+lU2M9MMf2GMXhIcHiLdJcUup3NP2XNt5v4
djr95xe/fan9kLWdtXKTCfGLxlDMVEa2WOo/3Nifqtn/+Z1vH5CS9m2Y3OT1sAXkrmAF2SW4te+6
dPWm4SBl6iEKd217ogd5Q2K6mYAr/v19/qllQCe4YBj4Nv5v/rPv/uug6vKSthWF7JtxWpe82ZVx
lpUFcCiZyHf5Wen3YO3LCcMvWj7+/uN/6q34z48r/90SzUIwYv2WiundXaNPm3U4Mi5jhbvZZOOu
PjXpbl5fkvU10t7W2K+pcEzWJ+bAg5qSNPnLJ/2uCbj6Iya2a9dv6H/9ITL74+r71/P5tuDNrO6r
6ZYfr7fBkPAYlrhY3Vt4+XQJx6H5w3jMH5fev37u22KPp75cqLuiXlXYYVjYJadYjP40/fDTr3xb
4Ek+R9Zk8SsFPoU5wLNK/WzF0Pnh9f7hzP7P6/22vuNw5v/f35SdGyADaGHSPoVp7Yx0S1RKvBlS
FA2lwjmNVr3Z2BbV3oBm2uCmjZGKjnFKjH1WIkHmU3e1XDFutlVg0/z9Mv/8Gf7vmf+TRv7rEyg6
pZGHW2jRChbji++1EkjtRR+vNTtLuGRuw8Bys+qAIscgwl6psH5I0v9wKP37Qf0ze/6vK6jVSmv7
2xWE65EEMk1bF4vMLC7dv9/qD4v5+7QXazlTq5zFPDB2Exr7ehUdrf8tWNekVRhsNH9YAdIPP/g9
Oy0K8pZ/PnDTfJZHXKwUvuDifRJO4mjYwqDZ69KRQn+JmGfFmIRV5XnFlV6AlwwqBKbIUmo/XNQ/
7Sn/Z3v/3/v+PvNldb0lVbesJ9ewMs0rZxQe8piOkRXq3XrKjRTe5Q3uiYeZvpXC96jLbatoNpDg
pOwzopmvTD5mNF1TSX64uD8l1/9eCt+T67UTej2LWQp6B5oeXnrxlYxnkd0AUJfYfUl67vbROzS5
TVgKV2to7RCjo7+vkz+lL/+5im8bcz4l66ROfLkWkw2t+aWw8xbrL6G5ylSbx6G8ZIz0T3LjynKH
cox79cy0d1iSqqS+sIbOxNgl7iRO1r5E2Z0Fo1K0aicbnv9+pX/qgL1Z8NLOYaqK/g8C4t+JlqZG
cSvehFW8iogM4EyZCa2Hv9KksMvisERfibYLZb/p6cuLGCUZa5zfHoqYeaG3GcE9t3pHGn+Z3WtR
HqMkyKWtgZutVX6pN2xOsw0hhxB1aMHfr/yflP7/LMN/Xfm3rb5uWnMoVpLQCJRvJIpehRUa9+o2
FZwY69HUr+Z0nlYMBNPTcvNBx9d6aU+SdhF7T9UvXXLXjNWmlna9HAwzrT4tdgemAxDUn8vRM6Aw
mmGCAahlW9g7tRMcY0pMCuW+GXoWHXJ5FW3n7NNo3hIgdXXzpjWndGDY22gxsedbreG+toq/0Dmh
YgjuZFUwmr/UsLZXnompexI++PVdAdpnkZQgHenJM07zJLk9Y7UF/Bg9fPn7g/vH7OdvD+7b6ZVb
2GeoEQ/OMEk0n0xzP7X3Wg6Dun2s12CiTlP076bcOQI299KjNDDZYd4X60EEBbGO127AS7Ch/Sz/
IaD54z7+v1f6fSQt0lOpCoXbzlKNtq4s6Ij3N94MUOi/PwNF/Sdd/D9PAY/aWyO8QRPPt+VjMFjU
dElKKU8E3AVrNFqckldrGoEyXxP1w5TPkngxGCOlOaSIH/o2kMStFcMfQALNRnY4AcRu+KUIZ1gI
483APrvL5RonZniyADIG6zS3bxON9i1ky7ozmAzHEl54qOJfk07TL02PLcSA/s4E1TD+LvID7RmA
CwYN8+ffRj26cvq4rC8jkpKOoZpCuE44K7NqF63Fcem5HTHbDIb8AXJuq+zCWoXYXvgdZA+ZCZnM
Og/IEZmo2L2FYFs6aomFmvZbaC1nEcfNWCePGA5F8lGU7trqwURNH9SPIvM17Fi65TJGtO/MOx0b
RRNKlQosuLr2GGeOMCxMlDzFzRXMGDGvKNOLvpzHFA41Ni4tcE66xLr+QYiexhhCZgi6/X4ZVhiS
YD6GfRvua4JyQS3wYgLhyzunB8MZGRcVFz/stP16YyhnbIIho8zxTs7vhn7bwd7VtwqjCkOxX8b3
Nn1LVWwzxCcg2GWOqYt6T41qI3PqpNI5xIpbhcI8k390t2pl8jDBBaR6JNE5N3YCUsDFtB5j86gX
dyueDcNBrmEO06ScrSlH1UG13rGysLuI3bE81elnSvZtXcZkl0iSp1aWnYXvY/LVqesm7SKaSGka
iU3sOulpnmGfDqFtzaA5QtMxE/GgI6s0ImdTyR4LNzDjv7Ei3dGy0jG1ewaaQaiD1p6NTVYfG1XY
QJpxwMeJpnmp+g8T7sBasj2sLne+0RfFbUcDjxs5qEBr1+1ntk7EpG+atNXUmyh4TRtpJ+CcK1Aw
0Q/SeqMWzDu1W6BFh8csHwLTdGtDIH4DQhI+mTms1uaxaLHc1++jHlw1TiFMY2AC3GQOmwPqFl+A
HB8l3FMlSd/UmrwZI82dYACLDJ/hkSwFU1Z9JtZVr54jKnELtiuRWJ1iHc9YUQepDemnaiq/ooQX
skDWLHzFdc9mjPOzzqTEr5hq1+DPhvGCVD3YC92pFJ+cfMn8RNJAAEzePJR2KZ8sy12taYvB+15f
rzhn0eC77CV5nwqq38JLRl3Zt9JT3l9jLdvWwGqw3ghX49UgJ0qEX51V7w0qak1rbZQo2cSm8lIu
/3AMBn9Aa8Lj7T6Kx3W75jAmEppI+bOplk+zAGN+lVrfHHeKhOWYHqm/F/goOBMOzdbApTnX1K0M
1mVsZbvvln3fH9Z44C/ojoWCVtI8GjVXzXxoqWkX012hv6tUR1rkNF2+aXUrAN7GTdKXhIFgkW75
ZrxGKd7V4QJULEyfxdJAQxS3mqX7hnVTxkRwcbIdcYQp2PpOlbEbMCO0OgZ/tBeJFvZJOqrAeQSv
L7xO3TOouJn7C+b4jgiyWGTv1zkFdOZclmYimqp9nBWXzBmZiZaxnZXox6+0FYgeLq0l+Avha9Zf
s5csucTFrg7dpXkABY7tK5YQU3iHsSKWGRKtKRCaIYLFr/HvOn7oJlvM9vRsYMgrcebOzCWk0Et2
+RKUENDWOwWTbQGOqHUt5BJX/oqGAmRVPcXDenbFpLVrONC4nV8MBohAq3gFOLYuhfyJH6xkykcL
4vMC4ttatkIOCMK6VwtgpwIuy3SHDtkuIWRV5CWwQs1dmd0B0B2pJ7nFuECSNkxK2xoRa1M1XgKr
TSwOVXwvrxZvbqEjANa03sfYI59KUuoRHU42AXUsUKIqR0B7jinJyikOFRqT3X4BYdzyIGreYJnP
/aqepQXmr12jc4soUU3Clbeomfl7ZuwjpG4ajk2/0U2y+6DHxTEyHHV+1aJbgzOQ7884PovrURLO
1nQ01Zd+0sASub22sA8y5eHOxq7tAtQBWjTS2Y5jp+ak6mIvNrbohRodHWvQJz5O/pK6RWfE7HgS
j0N2nkVIuk+rFLRlMIz7KTx2cGiTz7bCldgXtMsSPWrEDFPr83njDEpncMs2G0jTccnZW9jDjdOU
sOriX3G8n0YcU1K3nval9iyGF+HWQKpB9fWnxe2a106g8UM8ie3LXG477AVZ3uqzwNWp93V7SWTK
Yu8RpNppvOhwzssPSXMNhNGVwazjnFzC8dHS7bChJWQDpRiEKMFfMj7l2h2FTKvEX7e/LPRlzHjf
jq+iTB4XM6G4y1FFVsxMkksHBir0yuRuLCsnHAOJ5g/8XfQ3fMKWL3XxgBTVuHUurjpTpXQ5+/Ek
FPUbAK9461YbuX9Mf+cN05XYbqy2BUoJqUA5xKTs6b7ITwmPAWYJX9NUHqKR17HBJh1TYJXeWfPA
uLeV7frUt2Zc2U6J9IbRsVF7MQSGMQnqegsMudSvCieV/pxpoPOqx0LbpyBcy/cOr7EGH+o7iF9q
Qut7eFfCgY277UCE2SUYjxVPyXRtxYNgenxKkeWmNOcOQUGQbIzXceAc5gQAdZgmdJUcpt9yfaej
PWOfKvLsmsWekycROLRc3YVvVfiQaDDgqTmdyZA3qvQkYq0amQmZzGZAurVEXyDZivgsb58oDyTB
/JjFsXYHVbz5OkOr0M+y5Jt0kBCvLH7f7NkHTGWn1bas0k8BfZ2T9SqKdolBN5vVvaT6YntSBq+7
2TYbqG/nLrrraryWWNd8UStdo9X4aIzbSnrNhbt6uSjdUcSUUclOk+G2Ddbgi6Mvdqvsx2jbrzZP
RAyDAvNrY8fItEHW01gXhS53CYTHeE5QGDVP0V16eVtMaeEHMYsvH+IGodOtSqhMG31yYK6JwBRl
Zy6eRuEymp40OYaIbflJmrctKzvHrzL9YH0n3b6Poawpj0rryPjZzPK9rm6NcS+D7qX6oKQvnRjb
ofG0tp+GcqTNrc8eJu2hS4NeCOYoqKg7SU+xFcjNb/gI5vxCR3HTn5XVr/RDWTvxit+5nU9QcJkL
aOLbp3X7jn7VoyMLuzXajpUrSO6yejmr+dW0zmu146OahXNT/taBlAF1TJInowxU41MpmVSCKJQG
kvUFDz2tZ6cV2Z5v8/uYWAa6/Bg2u/jJEvaR4Raq3ejwhOybu1WLpT5evqKd6V6TsREzTvgwjUdp
dufqEpUHgaHP+pkppG7d8rUM5slKPd1wlumVc5p9GENwbNWdVHtgOIZuxkTH4fNarTd7e2tyRtoP
ZHMnN/dj6TXyUVc9tt5a8lb5aJpBbbhjctSlAxPWmvJWyB5I3tR46Hldwz87F3lXrN3pIMY0b8W5
rUE7/ZXh4/6xkMDp27k6hLS6NUACvyq+L8M85dlDTCUGGpoOmOWCmZGqPEbzTpDfVeiv4bYfGTGx
OeXGOOCgXRgEtDaErEQZmbQ38Duxxt0k77rsWlvHefHzLKhGltpRbg55h5UUm1Duiq3fha5MC5Tx
IjIIv6hBV32ENX5SO3FizlTcRdVmbnAx3QkF0M9LVbwU+S6a6N3bS+yB6rY0MRmxCeu5tyi/arNX
RFfJOI7FXtN3xexm8uMiuOu0K6tfYu/mHDbTpY53eB8vMIfBCYN4rSUfs6OwDRClhk/SFpGRASax
aXsyRjdqHnLFg5YYcfKU1APvm3pnzPe5ehKXIGc9gMeDqTA6s3pSw2tXbtXpSWHy7Ub0eBnGyz8x
795o7/O7tf9q5KdIOM/5fmVaU7r0WJgLGUXhff4hVV47YrbnNfll4ikvWBY6Mp8fSL3J51Fg3VxU
Ae7osKgk02/VC6PFxnxIxG2ZnSlkje1DkZ6k6U2WfjfjjnEAZLa7qL7dyywcsGxVsfxXDop2migz
54SXJCWMJXKuOBLyA/wIdStmR2zX+9RuYVNVu7T2stgTmgPjfDUm+v12BptjbVMZODzE4XEbWwDu
3XV283Qfm5caOkf3lsDRFXeNCBDXXWQEIogTt/lkIq63Dp61fEzegXZh+D+AmIPeUIanWTgt8a7M
g1LdyIVLuWUW3JI4vN7VwwGb3ZuN/gcIL5zl8uk8M1c6tkFrnJHvNp12pf8G3Skv7D6yp+WkmZcC
7yRRfeJBhJAatbsYpO/8ChmyzrfkgSVhUOHo2VEF7MHqyD66at8KBM2Y0n+xjSTmtho2txSMtmTZ
WdWXpv2VwTAhUwDY0liHgUikJfGJnWbdYu8F1ExHOhHLs2nclfmlAE8f+WsH7nDb6j4OpVV/ksGW
mS88uib22gdF2I/LbxKLTD8PSpDJDDNs2Y8l4VOPXUO5lzPS6XMD8Ohxkh+ZSmmmL0t1icCYwcAg
1CyCGd16xXGNA3xPqinQcROyLTPVFTCOWOuXPg8y8z0KsRuj9XWmooXH0rjT5ydpOeuodWS52DBt
boOt1bHCiykLsEZXO1ceSIGDlbq4azKsxQEVOsngduVjLTolWTqTNpEbph96FbTQ7CbyNjgfIUbq
e719M8GuDFsl9aYUk7i7tHGpRi+xi3Hg0vklcHHFZkvOqBFnHmpF3HHpLEU/092+ObTaJwe5ZJ3T
6SgZzFbY8xwozVv7Ec9PsukIihtF3tQ72fLWNfeVDNvN2lRdoFq7Kf7MOa+rbaqcW9mNVU8fNSBx
kHCCWdk0w15IA2F8StdDWto68uXXqt1BrhEHN2uvBNml7Ff53pKdKdpN0gH9g2nWkDAAfa267Rid
7CmQHmun0InS6Jr3LdDu3MIsbrTiZIrYYm6MRxzf1WjbEIxX+K1f1d7hM7bUe7SLMn3WkFBuTlFT
7yaJp/V2LG1r9axwKhUeDCyZAx6+Z+jk7Rb+DNGbrAa6GDDjVK1bnFiNwg8Ff7LO5hBAdKTXThf2
S+KMKEIgO8ThRcOlbqC8WG2X9WzVx07x2BQy2WtXKqp+qjwmxU6tbdAJI3D1ddPmtyHN+YKVnaV5
CTxKTB/nA6SUdPY1SjdydhEz2kC22LwmeOtLEDw90Xwv52sY0dd8zlKHoAoXhAHyHucycaC5r2sX
/4M6trvxJDRAZx6j/riSHlr5zkj93kAPWcaNht+G6mqEx3HoD8w94IaG8QxX0bj1+qgMTh99qjjh
rkeLWbr0MWfJaWgRlbeUQGyozh0HeUulLhlh/jlh4qdAtgH/qQ5m2HhTpeqXtHwk0wHLBqoeHUqA
soeO0ljQkpx82s0ZhCEb7pk2O3H0NbVeOBxaYaPplyTbjeaWzsBRdEg8sMHEsoNhm3n8ZIJwzM7x
7MXhXos48x/W5EA3TR/aBTKG5o+jD82itE7jWzjt19LBozifcOTCucdeNdcCBz9cCSP05BAh0AmH
tLI1MkgabAILyiZA7vna88/C6adbqKQneBLmmI+BADhluh1NTEJJO3Qopovkj15HLcq2hRGIPFXz
5kKR78yEbwTdRYL5A5PDURqfWWpYQazM5S28mZk7TXpokuMSbbtfTbWLUtarm2SXKdsq8dMwB5Z4
wY5YxwuyDiK4UtiKTWwWwHY40OZbEDaYSP3eovgTiuNNeIlOerQTrU2q+R2JQwUksfqigWfW/X49
Vma4yZVrobhG7OUmOiELax+pV/5qQimEqWLxiDW4nhzxYG0btxPPOjwQHBIVCZcRO7ce4Naq+UVT
/XBheueirqeZpzHiihY0t9YE5oaJ9jrbUp7F+AAvVUYca8dtkZ+19B0O3saIL9q8m8qTpV4seU/4
UnAYT54SMa8Mq4sM2XKz+FcWby0OHNR6QOuDysl5Vwj+Mrm5eGK50uK5qAdj8GSmryfuCg4krUmQ
J8IJN91dX+5F9TKoX1BpsuUQSS7EWyO6V4b3gk6RgblXj+xpFl4mAPKfJCqK7tfLfTY/VA2B5APR
TGMAVABntWezmaPjSNtM4c3vpH3InT2CIXl4VAxuK92prVsqvpgcJDHQFNJ13TfLIJFB//Fls2P4
dWubkquku2Z29eGcMFPMos7MDezO6YGbINFOP1LzvTU3ZkxndouliLDvxPesvgWv4gCh5jNSvKx0
8/ijzyCJsm+SFRPNi75cf6qVO+LaFb8nmbsUFyVl4uelMHaSspdSnxIT/7H2tJSIeDD0HGhEvUGs
ru+N2CHBNb1VYEackkX4bHQfDWecYgI53UjwoIsHM/LJvXRex0wmsZX095ItcSHfspX1UiK9NocB
oq1wyKlLtY95vWNF0eFYps50nyYPKRKFtrUsugg+F/3B6LmC30TebXLXgwl1RwFyc/4CS7Gt6Ah3
w+pkYKWA3pKcCMdNMin2mvmedSZXXtF44bSL8o+o4BEoqGEKPVlAMDZ5fkL6E2VbU58VHpf2e6Xq
ozxq6uvI0lB9lMmhuEtIT2v5tL7kzJ4ouyHZy/WVQo0oHknqzP4w03uHjB9Bg102swjl7D4WXviG
CyjTAwS59FIkqLHPyxAk1eFmjCNhB+FObOnYmJJyzLU3JK6aPhaJN862oL22/QeEIKX8WMIHPadX
a4vgC5FknrZG7I6mXzTuHH4CylIwhjbQ8xlfmR7oTu2F5zRmaOCMstPRgovIpY6wJP1U2DXZJ3YX
QMEIMxPpbHECCKOvIwxmIlECX9Q20+/mys2wr5kCKAsMoy+xM6A4roNPj5uUHYbkBO1OgRf5ZQD3
lslovKbbrkrQzSRxVw0aFIFJa+u5zylilofbds/6qYIy+bXMhwi1tN9iwbE8SwhQx65yK4mY7zCX
p1betetdyscdet1niIRP4Mn6ftWNLZtyW+3EJ2myuydqIkVzQBwjnaY1l7efv0QSTpVbpmsMRk67
+yrCFRL0K/7HZ6N4gfoVUslraaNx4jKgjSHLNqnslP2ZJCTX38iult5PFn/SWa9Emjv6EFvFs7p3
7V0lc8NwtCWYOJrap6wdxEtD+zEddgT3M0yGDRFVN3tQlTv988bZ7LbS6Fjpl6RfpdxBwJ/VY9Mc
advkfG9Nt6hfxnZr3vp6iHuZhPWt4lNsnxcQllCkVh8ZNEyxb8B43reI4YbbGVUVXrO2BBAOZAAM
RPysOkv9SZdP/fDGlG15rRBJmF6QqTxudeFgDnfGcK7obC2GPU73Wk9kfUKbSjNimj1/mGbCKtcU
dioAbcDbXBFRCoAwmWOyviiUmNmsi/uye0mkIHpfTUSnQOs+Uko2OAOwMcXGLjJ9FpLSehwq+VOZ
HGumvdVNb2ylbZg8jtIRqEam2ExSqib+hqjIznqlpSvPQeJAt9vLwLsoWcve+Iu89hbmlrt4sGsy
rsqPea4zJsJ7XaSY6QPRaPW7sqRNwjNVj50JKYAqg7HtsB5BhoUoFj6Y4a3S5c7TgaJ8V7uywgF/
NomRqJEsj0rEd0j95tB2VOCuS+ataCbyV5edOY3W3DNan8nHfrYl6M7on7HLJoBkxiRgLx3r1KeO
o9MszKZFbcC8DsNOsbw0XAijDuFtG2FjsFJGERz4ZjLHFpxAASUJ1cy43ip96WMCWch0W+1lUU5L
i9s4pb19Tn9mHlKbOFaACieyO6R0p4TZZmzTCag8iNhNxW30OwN0nolRqvIQmx4SlUjVndG2tHkP
yzPOlSkBtORCn9d/ZSt1QcZ5fOIXfXyISMKgoAyeLl3S0DUrkuHTpL3RGSB9UqXN1OesddLRjnSA
Z/CKeqednfU2Qm0nM0BWOxWBW+5EcOIVX1NwC4LHB4PoZtwaxqkmfF0YKKmhNG9x12u1E2n5ROvG
2NiUu6PBmVEY1KM+fxF5t4UTSt5wN2i2srhIHy3rhRjVDObJ60h3mlMvV9w7avVZeKIrZ6W2NuBI
7Hevg25rwmmCTDYGhXxPjiYUflx7RGeElJzBhgSRsnBoVuziA6DHRQrA61GZXM2Ppn+EPaf+uol+
491N/w9fO4LGaR/Jd+Pian0Q164k+aFqCzeNssW6yzb7fb948eoOL3UVhIpDhz7nMXxbSpAQbExK
uyiNj5wKqg4C50oLicowk6Tt24yGYqfPXKk9sb3QK7FOD/2doDvzMfldf8mH7gUP/4FGb8oY8B87
hFVGJ12NyTB20NCTP0SVsgqOyF7Y2NapYgyCXLHikmzN2GignZCrQWrNe02+tNWmZ4cf/O6qlodw
zp2WwmZzLYrTAhWw2Hac+9llrcCLb2Q0RLtW9rwPqKFK6LIZhN0Fw2eyzfxFWwNEX3AalerArl8Y
msoS39BO1sGIOAk9JnMwYqkSRFSaHRydfyURRsfvHQinpeyur9LipW/6Y1HTy3HE/NAAMB+5Snhh
sjhdbaUmNthQcJaOIhGD0yNLiPPpRuyLttqIz9NTw2tuvJGscvlgkN7SfCsnqdioGtmdrbxXHBMu
SLopWBFn2fWFYnZKqXc4vLXYk9r7mDJIejHQu8S9Fe712cvHQ567CCakLqXqTrIL8Y+4JrwzrI1R
vA+YWqle/zDFeB3aJt59joqgCjwn2zFWE8nkeNdF3UoRVsm0UleuQWo1osH2KAkHKbk07Jfxpxg9
hmwadUCcFVqv6RjUBTOq3JY/yWhnHlUCOSLz3M4UfoazFtrxE9OI4md9z4Y2/aqRwcRb8RWtUYuf
rfrGdDR4o09kvA0dNQnJ9UuDY3ooHyheRJ+xbIvS02QcwurYE0nPXnWTlUkNsIdUOdztmIocq5e8
rC62c4rdj1uea+u+6pw4fwa6VBc8hic4mEnJfYJk2g1vye8o8cj8hWEbJ5Rcg5qcBy1eIwyHDtXz
4SFdBfn0gF0EiWuP9YHgUA4aqdz2bvkGpo1SmA7+TbXjCoCineSs01tFhzlYhnlTkII4704bWdtI
n0JIkibbtIJVHDuVZzY7wpMZbb0JtANnhaiz8Hzc9crIk6QHiLRmBQOOKPBM5dWCgDvvRWvfNL44
7KOUD4DtIZheOJq69P32MyuQa1vWXSsNRLBow4s8erR11OtNLkn5c/egJ/ft+IhYGel3WMCDia8r
r++o+ewjgo88c1agm4wN9Aci+WTwTMNGz5reCiDV+MnPO1FzO6+evPrd0p11PSvLFhSpicIkeMqX
3p+4PSvz+oRa8G+8l9LwPNBwOeZIpTFu97v1tSTHK/aUV5LoND7OcjDi/abgseL0+jWsHy3xwao/
5zrdjAqfx3OT70KdatBvtX+vKhdUw/BFys1AtUyke4Z4aauZl1bOROUIy8GJl7VhLGPNttrXGrEg
j/QhTIlH8m9FPv0onbwrbhuBY1bbGuWt3gi9XRD39xepfVYkarV2dbiV+JFnTLfPtnjHI20zS1B/
Soa/Nm6u7Ws6A0aaPmhsYg2dFnRI7IUpmR0IbOVndi4yULXbgfVR8BkuqQIbhJkMMQY4+7MNIlkp
HjkQ2y2V2Hw9k3vJ685U+ItMobiCcMKxIlRpXylfFMWlmltqPGPUWBrXOxdnjl7yBNWJkfHQNWnw
Ek8qwhTpK5hRMASkZZguElWxBU97GRMa4UXp6TKwO0qTbG4pKtzEWAg71FYj3szPlXBGzDKTi2HZ
DDbDIzByXzH2YGo25nDfUmMzeXyU68M14SU4E+uD+St9M1EW6DzzCzPjDY3Om3k4KnwymYvDBvYL
aLEdEyhWIEq/KaIaN4v8DS6K2sqj8so5mDCOzAMt8puRM84vuc7ZSRpq8puGnt7INhb6GxD6ZSdK
fIWGfUgDAIxFUnuH8jRxqkqjrZ4dOP257PrVaIOQyp/T9adc8WGTVvI2nu+7zqNjQkejv/SlN9H+
rTebmVJL58mi1xAcgHnV3JnQXqZTgLjMicRbMCeCOG28HOjbPb2laBxotqnq6l9hejGR8KPnXt6p
uKOqlMf20rzJNDoS7sTMHaenNn3VJ2oZ97PkGoR5FNqGnf6Y0xbMrA3nRIoa+VgvqOS7ld1BvsqJ
va7vMi5nwzkT0Vs/2/QAxztvjiTJhWkLwk5a73Ns2F0K4hJ65HJg+7Z+xRrvdJf/XhSCHnZc5/9x
d17bbWNbun6Xvm64kcMYp/uCBJhJkWJQuMFQRM4ZT38+uLaPbe19anfd1ii7bEuCxIC11pz//ING
nyAhkqO+fo5NxyCCN1oW5jp47El7Ik5bleFKcPKu4PHPmmATJZvos5JxfF+JCQwnbugKNgjwHTYF
AMvaoi92hvugh0yHZk26DTJ8ScHK2LOWTImxiknKtdgumRHz8NoJ9LhLy9nIW53fN/k7O1oSHai4
eCU1mUhedhfkTPv3qgVlm3e3/img3tbuWu8UwmYBsuxBJ1nfucODM6MTVNbeWojhga1TCq4Z7HP3
mJv72lx46Sq3ViLbYbAw5A3zER3L75x7YvF9LgyOXPLmvljxHD8YrPd9aZv6DuiToN5CYV/6q8Zc
l8INRmWj2sQXe9VatDb6R6qcSgIoO6geTm2comAHhSaUC5iCEwaNKN/VTuZoU/FjG04CRVmfK3kJ
4mGViJSnfF3MvMuQiZFtCG8+hpN0RpydoZ25ewPdPEaq1YqGG157lTgNtXtGrf8MqB1rOwOyCKid
ZRNVqFbbJHzhdOHlob5J4NX0TqOsRGEOHJX7VxGklB4gv+uGTYAHQDvuMp3MYgY1dPuUrEDu616/
4+yqjgypmUtZVQcVbGYqd5hPGNoylwGbl0hx9PHeS1+gDIxnsVorGuHmpvCKupAzA6/1djziV9iE
1L+HsYftBT0A7EfiAF35zPRJGsTiorsUZNHn27pZM9h2fUfjzPJgS9zYr1z/zh2ZKX80rCvxVcNQ
DSQ3fyhA24PE0Xu7j5m1rJtuX4mbfiBAHRS72PfSSy3eBIBvyh/YYl24ScuXLIGR0iozkZMJkIad
B6O7CnYPg/RKFmb6NbdvVK+xd83hgGQmTab15qrHQtlxcmPJznlF8KLQwU52XDgHVQABB2pwtWWy
YDWfifEWF9VMdpVZ7q+zzprJ9TbSG7ZMwEaODCp+HTwyI1FShXUkLlTVXxoFgvC6Yv9dKBS8Vlsz
wr95xkm3UIJoFtXuuvUVZwqSpeJOq+OALZVVMhQX6AlGtkzPKc3q1S8OQtcuzFAGE942zbmjBw7S
Q8VsnjUnh6cCReV/SpL7j4QM3mC8i/XGmeZV3YxZBWVqcVTdefcwCOda3GjJ8j/VoLO8LKZu8C2G
lljGlfIMadEfAoL/+s0kqfoe1fmW5UMZeH795Z//c8kSfv2f6Zr/9zX/8/s/ueQf39J+qV9++4eD
C3Q9nJqPcrj/qJq4/pELOn3l//aT/0g1vQz5x3//R55V9QvSgfeP3/IPSRQ2JdMkulIkfY80QTjs
f5afiDfdv73+R36i+G1KRJVF4glNTfqehPgjLVX8phuWQdinJEHKVRUUET9zkDXNNCRRJNlRxycf
uczPuNQpPFGfHq2kSdg5/5X8RGMiQP9CDf6nZ67+LqtK/DSAIR2KQO2vzRQyBDO7Akq3+nJn5CoB
o8OnkoyfhpdrnNSGCCOGMnrMZPlVM+SjEqXmq5GE+qFoZfDKfF2ObkQQarMue7QbckPsZ4DpwCyK
rXDluQaMPsGYjyZJ6j2xGGalwnOMmbWAt5Wit2+SGLRR+lBHDtGyXIx9eFKVzJEL6DJpDhHTqOYR
o6520BlMGXaa+0Qv7xpJf87Frjrlpn5O2XMaLB0cfa5TkZpR44Rxv2wztlXdfa4STreyM4++D8aD
d1Z5CSspJOQdvptWq7SIRDMRUpaH1WzU8jqd51Fc3xGfXCzTdsC62E/EeYZNf+pERo6RMkZcqBul
ViqWihlMS25Qmj8UX3/HJTWp2mVF1hAwm4SEmsq/WVKqwp338X3Br9//+z+0f3X9jyUlf1NUSwMT
kU1RnuLLfwsgNlk4ooLXs/x7tLj1TVQNFhy2KZKs8PefS4q0UlWcVhve6N9TTv/KkpJFNoNf19SX
h2591Z93UmgGboyJahmNx6SmDGo6+T6R6zf86QCuilXTv0bwPuqrFqJ6CPcdh2lgQI5qR8VpfbiF
uUkYiJKpG2TcaQG7AY7vaElzAcQC08BloKbLWDpDYV6VJRDkfQnVdajdRYzStiswRw3cRavAaBKO
hXQtITA3/Vuh31rcenI628LoTypmcZFUblKNiUHsS3YtMKCszbqg2CxO9fg05M0R+znba5Nl4srF
UupfZMIcsa2U72XTfcuMHCR/WGpBdLbGayrCpsx1dIg1zT8ccn2cqyHew0K8SGvTycoKoibWpZCn
B6t1KpXE8LGC2uedxCSlKGJ03256D0esnGEw8Q13KhCnLJhOF7aQj7plqOdbqYY3PkjQlJHdFeU2
HW66x7hT32cyswDKHUW69mMFxITDYf08gD9ZBInpOr71WG4aCWT8RoBIM+114iQU9sC/Epq5bskN
NrOaj75xF1bMBkJqQFliDubvEqM4SvBOAiFBkXirAGrNKIIb3C8DrVoYZsRoVlupWAVV3mvv4/XV
rhXyaAdVnhXS2QdgaIHvsQStYa5VCmYx8aRuo0oSJZ+RtkST5vvLBLVo7bp2lFM3Sh+1DgaIOsfv
aQCbdjcMoeMX4ikQ+p0r+Zu8+PAA1Kv0pkvVMhYem67clGEAOGd6a2scF2MyBd9SM+TPpgq8KcRY
MIwf8lg6ndJDP81aZ1QHp9BUJ4bb0kHckeW5NRLrpfYLK6jsZPzo/OeQyUUp97coam+CJ7x0k29a
lESM3uTN0Lxo0U12X1wl2RbJx0gfkaefHtRdVMV0xMZ7waT5++n7d90VDVXFUkzTdEMUJTahPys0
VAWpzpdd8ev1P3dFuN0S/xk62mt1yl7/UWjI35D+ixbvgKhIk7L6R5lhfsNkQjZMtluJOmT6aT/K
DPObrlOtEP5kKJI1fepH9XX8o374o9b7/yTXmZMK8Jc6Y9oTf3vgk/rzF9lqEGrYgAtMJg1Z8zZq
FvYXk/wSVqGgEuFH9oaYOTXaGUql8wh0pnkD7XAgPBgQ2UKGc3kuLrV22FVStcql0dHUnVaHjihS
iiswwMVmYQ2M142RXrbdxBqzrzhMj23CYFdwHxSmdQW5FmHXMzop7FRT0EqyU5h6fMklGaDYt6Pk
Q4+ts2so6yGqUTHQzmmIeVgduszIdvCXXam+idaA8Vwvv3gxzhBNcPMZ+Wdts3Vdf6GO3SnszRWE
bdIY5Xzu1gZ6KTyPhOKo+bCUIQ3LQA9NF95TMa5KSXvXUMFMyo9X6o6jovjL3gdrTppq2Yr5SwUn
ATqWHWlPXaS+hcJrKJAyHzd2V4fMaZlDQd3o23qnFfea8FhOTTpsbMqlo5hc3TBYh8APNdPwnOzV
Lqxobv1j4sYLQptnclecc6tdmviTi523zq0bXKpadZ0pm0DDmtjsYcu45zqi8kHeX/arvAGbB+ET
JCL4eoOQg3qBxHCe+tZcA7Ycgzs45aObTEbZtsEwTpL3Rdjgcgy5oJfgcCtbMyH0IhRfu4BIySRA
4yIxc5YQdQNOxdLOykwnKIePHKVaaMIECYZUYk4F3FgEAq5VvFo9Gp50J9P0uQMk1qLbuQK0tTrK
9bkwaEtR39c+vJUsoDf3wQhLESRZiR9lUfZJApeSh1yXiNu0NiH85LERNlagPaokpHSZeEdSxMWI
gBXrKFljkmX3OXmnTf6YdYisQADVxjuH0r1kDo5vSqT6/a13N1lVNEuSVZkEkMm58E93N5W25svu
9vX6n7sb+xqJ8bIlW39Id3/Z3Di1NSpzkcXy++6Gf87UeZmEzYuGiaXVz93N1NkKTV2XJRG7DO2v
7G70av+8u/36wL8auOidJveJCKQUxwoY414ByiOA9S3vhtYJ5Pxaj4AMIzhOhIFu4ZpwWn1oF0QR
xH5InquuwXxt6PFHJ6jjU2G0OwMqQdRn2yKHWExK0b0pQK6pFZQ8Y/fYUwvKyp7dk0A8r921Ilak
grqrrOYmjVKBUkOh/gteDMHY92m512G/dEGBaKKCn79VWvc61P5By+Odnoc7S0ouZS4ha4CwEAJt
iUl19I2AehWlk+SCvJj1tD4ZI1TxZWTH1oro4Hv+Qa56x+uhqZGpZ4TM0sw0xdg63mRubKeNZo+M
7EoFFgzv06wUKBYhJGilNk80HhPTliliRGmGXSBLQD4MTURICCawec8+VpmUhE10rnMTHEewJbaI
onpvRrhfICQuXoBlExxjX8E5u4A7Y57ivtgoOpnTlbiQBtiV4JcaFWPTMfPOQ8iYqBerHmhFjNem
ki1G7znCHNiDLpY2oT0lM2Ey4bTMeAhywGc43gw6AphW3hk9w0ULK6kc/5UBl0CcyCQmE67Q7F1T
sUOKTsWQ4X+a84iIc7KoHcHwnJCn0QFaRmhGuyw8aH1zq9p+mVNAKxTStW80l9x7bXQY+D7l9jh4
ILsNISVPg1Wdmqkqb6b6nNYGMmcDuSKpNyEIlu8nhxphZEdpP6QPbf+W6hmh9vDahaMBNZJWQB3C
fURr0NMiJBMRq//EVmwVtGefTsKjo/AMxoEcQiOdRgjur3Yf6tR/yJSlscKA2E2BcDlqRMNlCBky
teSgE0fZVmvvlgUQj5XSXBmKRjEcWMnalKytkYiPdcO7qHvyS6jJAuNngK5GpSXwm4tetiSPqPV9
azyGlvcYhWeFQBDBCJ122A9wiE2zmveGt68Sa5GOlM1NtXbV5MFvymWrLjoA1grKfaKIcwmihO7H
iDKh2kDMNDwmWnCURf6e+hESLwxcfXNW5fm76LcPRsao+G++WQPRUN4ZmqxOBh9/vln/jnl973LV
36//uVlTb2oqMJU6OXl/adBlXZMlRZRk3dIU9uSfxagFxU2x0HiKhiZZ/Lyf2zUfZR83DHxsuP4v
FaPmvzCmkn955CBov9WimlFkxhhJ/iq/Ex7qM4OvvXqle8wquAgn6dKJjkYY1Yt6ZUazH/bGtts3
QPjPxividFic1bX4GFeeU1yzOczoj8jfSOq6iQ5QilLxPrYWnfc5PvBXvuYj6kjigYn36UGC8d+C
hRjYvfxcerOmmcVbcR3PYNCdirf+JJ+hLD4yKJy9Gc9wcO/kO+PZv/m37g1XX4BnURudFly7HYW5
5i62Pc2n2TvSXZ8tmAWoxh9uM3/b3krmpLREVTYMbYJl/vyG/he91Zfrf7mhqTopGOhhJFXU6W5+
lh/4qekW0JFifkGczG+mqGqUJdIUl41j1q83tA6IbFkguDpws2z+lfrj+w37tbn65ZFL0w3/S3NV
tb7QInWGa2zmamUXIvzqgvNuKNt1GmPRPHq+Y/llu2iFdGBnD+fo+3TyxfrXtCk6RA9mZcdVslIs
ddkm8N8qpF1ZO9wJEGME/ugZHwQIwV7LLIiYrosv2tDP3REeXd0yOCskanNIVpK0TSaNev7YIQZp
YP9A50JLv5K0NTL0jtJF4CQEG32NTR0JrfXeIKTg3QQBAQ5W9O7iZi9pSAWQtf5S1r/L+EBZyllC
tU2y9kJ1u2VnxvJLbBnnyJeqWzR6eAGVC9PVpRl+bHu1SMOXvh6TbaW69t96k2euQRGM94ekMU74
8zWhi9yjXyryr9f/XBPaBKSCK5gSkMa0k/+yJkzDlPHZYfOfiutf9nhNUTQmIpJJn/D9Uz/3eAAI
wFvGHtPKIMDlrwAOksJP+Yo4/PrQ9S+mJ4U8pmbeh95Kd3daYCuU3DiF9fET7BCREf8jfj05A01o
bYsKTcs2Ke/dYKUWi1R5s6iQnieFzNXz5x2iVHm+zQYYzsvM6Y/eaw1Df7wQHdYfo4cWmO1JuBgX
rhIE20eoj7vcDE/AFbaaC/cTSQX+MQRm8Qs/zugQX2BDMfomtwNW3wwpY7zWT4zJrfOwYVZinLW7
yiEa9KQuK0c4JzfrLruVuwod9V3Gb3PZORT6i85JL+mlu2WH4RZChqpX+UWMdagja6Ty8XhWFiCE
OE6k6g6KcutCT8anR/VqiMdrw3odHHygF+Jt3OVHaRdsg62yE9qNAcxMKlHU7UR3l6wiy0awiaeP
8jauNeS3O52DT9RO7i2KbW2lLKBIzKPtdJTW5+FaCnazLO+mWOtTNef5vBbP0LGfGaIrK5IOb8NH
HS5AmPHYiQBg+JKQ4fomXSALufCbyoz/x8fY5vMDnFdQCKc8oyPKbeEVAy5wc4K6jdWrEM0RZDiF
fGcJtlXZik2lqww+0uZZdw+ZALtpYwuMtB2uqR0Em85DOTVDtsD+VS3vjFe+uT98wkqFqgNpkeJR
nUGu2KjXbunTW8x8bU5JQD0wXoeDe9N26F6AR8e1P5cu5ZNRX3h9vr9I3T0eqzDULbt8Gg5cZ3qL
/h322FzalUfRyY/ZvfAYvmNbD59h1tvuMr00zT18NiXDiGOZg5vAeJl3TnKAQ/WJTJEbprrJhp0V
c7qyOTrO6c7Rt8GhQgjrIm3iAWcTzYaPJy/pmgQ4fnOrELUUy1hyQdWFMuLWniMOjnkyy4V3iJsl
fHE1cQT5s2AGFsgn6BejMs9LvFwcE34qea7D3HuRyhVtD/8iYB1ddk4RXS8bx92zGyfTz1De+sV0
G99A8+SNMUvXre2egkP20vJ4Q251pvg8C/lTewzwbuSG1z9ZCW2zaSGivMTH9Jgfq0P8VPHyQUhC
01C/4ygVbPNjce8/ibd+Fx/bXb3ODkLw4sc7ePaIYFO7jXep8R6/p3yL4dYzHwAY2iAdShZJswvu
/XcXWQLQXn9NDjDdFwUqWBPDxM8u+zR543V500OF923/yPuhf+JdVcWrEijM2KIruCuEQ0qDzMzF
XYKis5C1BR/Lgn16jN8z/9Ev7rRmw8fTd7SUo37J2wEa/Ey9wuRYeCv4WPPG6RfRrOb3AE2v4cMG
cn71qqI9n7zjZzFkrXlqZxvUxCuuOWi7QreTwQ6whdpgapErM9kx7l8vCWo12Nlz86XulrU4r+Hu
IiPeypfuSEFpXEtjYVzxPhL956xfCPLzxPEScRhC7elSZ8LbqdMNFMJ0WJnVUsQ8QT70yn4oeXOf
+/tCoeH/bLJTaB2RfynDvi7vjSuzjXkG6HAkLGo16jYksHbrtltUYcQB9vFn89ZIN3M4Is/MJlEt
spE3HTYrLg03Ob0LzXkvnXQc1M7KMoMHj1VPpGLBg7asvYawqfwXyZ8rgjdvJ2p5dpcZr8pwp5ar
rtLg8UG43UB2bsxroIczIgz77DCxGEsCvReGkc+iYi+xIot5MjHyIDXNo/O5/mjUFcrCvrFDDHiw
cFor3Up+qK9n+SE7668uCbhs9QQk1vPxKl0tHKA2RCrhGMumgGp47rP8sM7ZYj/jb/EyeqdPeJfb
Gd4sPkQ/plfzMpi7iKPnXbMJ3vNDf8PkZrDVRXWZQ1tyRFuEw89VmMNevDnEV1Zje+oP0t7c8rMS
+Mj5o1fY3mMdO34+13oSfZB7k/cCtE1JNBsmKISwTrypT9F7dRl20MIcYaPcwuzcrcv9JuZbHl5i
MIZ1DwCrz0Aqbr20wvbH0BegNKF3Bx0OKddTptge5NtgJu5wIHiyNjCaRNbIsYWfH8ySi8wSXyJz
SV96JPo7HUgLsqh2b0JBV9F6ZcpO07conTMMLtDoIuYYF4I2r16lzyQQl+YMcbznznIEZ04OLewR
Uo228Y7WUlwEl6f0pbzhVvHpJcTi2K0THjq7cu9CyOtWyhIErFgAAV80XqfKW7aIjjVs1zsfI4XJ
04XzDRlzcgHP5VfGD2KyhOi2XRrjHIcCD5bcsT2gT/e66ZWEUKwadwh+c2PRI/aBKuo9cj6/SVco
C7Y762yA9EXpAOtw/7f6xTXv3a0UQwGdgasUHI/PV+8RMebr+FFNFjrzQFvDl44WMLCzc0aM38x9
la7mtrkTL9lT8iS9CJ/ZEf6gtu7x1Vg3K8x41mlG8W3BWCodRUK+svEcHDjyghv/yEQUteMhW3vH
AmcUjoN45uDE8I5xw1zYJE/GjcSdRlyQg6JAuucdriq7ulif8b376OE1OUfOyMvT3mDJZhd4Quv8
kBzT++bihKtwhYX5Dr31S4mSM5phfo7+fFae+j3sLfe18Wd4KC2VYhZv4k16ElfhST4xHpFPpm7j
7XNv7kcY0DftzqI68fAbkOD4b7C4Kgf21X2Dooa3eZYxqH7UT4ijMeq2h3KhvoLhIJLM6+d8mgNy
kMxMMswmCxF+YrZozsoVkP0WbpEWOv4qepoW0M7a9E41SaF4OsjpMZR7D6s3rGCkxA7vp7edZxc8
yXZ93xxl7h385lb9oVuLO+nmPrqP02v4WawH3mFgLYcFuVbmhDPYMEMXitMENtJo4dVcsEZ3yTE6
Bsf6lr50GQIgtiFk4rP+U32MLuhZd3iesqQ9rkfG5HBTr+ol/MAliqdz+pzcRQvGsHsYy3C5xG1I
GGfolEue3pkNZvwYP/QHqL+rclkukTbtxRVfvhTWwZ2wjj/CD/+jePWv2lP4gVMMLk3Dg78Rt/hp
PPBjNuMV8tfd+CyYRyZXRb4c6mtt4DG8lvetfBCwtoGRVhjnLNma0QeVreruJryrw99CvFTlbmhZ
9Ge5+vjOjf4jBu1vixLQyZuaDjFDUiZC1J+iBNo/zyiML9f/7IhgZjF91cGTNcYNv6EE8GAmshfj
V74EAOuXloimB9iLoS2kFga0v6EExsShATOVYKaR2PUXWqJ/PYL95Zl/GcF2edRUbofvD1ZumCOT
kNgy21JjmVM2QPyuPaZYVkXMwFRmYRkzsb4L0gcyqnzUQNljyvYfi1g0dJx1uavL95K+90Zt2Xwf
tU1Dt9Zj2TKFS4BcBzHHRYjxXPl9UhdNQzvCbaV5GlX4RKnRqoitnaJDJS+N8doVwlIJkqe8JtZL
loNlr5LEOUIVDkz4IuInMwF2PRlxoSAv+xhrxbhPHgUvUpHNmdNJWRrPqdyZttj6NHvBpC0W6n4H
JaJ0ZGzJbTzcMOGRdyNynCTtF0qqzpUAjgKUTXRzWZogwmvu6zjF9k4SbDPSn4Qg1pZp5F41ud4n
NfYkIOqDa+Z2manj2ZAY2YYhzophF5DS4SP084t0K2SIpBFH/G2hBw1yg6zjAw0qBtYLEvznCw2a
wW/Qw7+6/sdCE7+ZOiABEAOjjj+WzA/oQfrGdE6WWG3yhLhN0PNPfFlRp2Vv6pZlgV2w8n9gD8Y3
S5b4OLghmLUE3fIvLDRFnADkX/C4rw/9q5W1GQe9mJd44Y56TIKUkJzkVsJWyXd0lJFq00MS7jRE
U1pcih9ppTTzMaskKk7EmTFDqZWuVE9G4jafvRA25lzXQ2Nphrr0YQyVQc0qlxyfxCNq+EdmVbZq
jBrqU9Q9gLoMtpK2QHrxRYI/D2WTyJj2xQ3KjYVdSxB2oA6DNfNxjDdVsBDFXGZFvNVx7hNCw279
4d7sir1lYAzohWs3ZMbmrVJjWFcV7kxZ8qRgjBDivJSn0ZOga4vWC3dt2zAVdDFta+ZqDXYdPY1g
eCPjMxOvgQrylkqfgsWPICaxrSTR2o9eKqJtepzXyoAqrDwK8PUh7Bs4d/myuTBN4dxrNFcjir+8
qw8RA6RWHzF/yyCMG8Fj28nDaVSD6qEpjKUrp9ssaz3bL7E41UylhhJWeyeCP22pLOmsaRaKICbe
kVIlsRB0MHF+8mL3mhC+GwLkeJp6CnCjG0XZLjIcQWvsK7oB8pVFhVQMeU07UL66Spo7GoaZT9Ko
B3YtgWyYUuAfq4bO1I3qj05tcEVoHBH3nhoImBQZEyippDfsw6xwBAyoTIPtrES7ikq2MvoD6O1G
M5+H5N7NJITfWMhmBs44aPpKz4JUYqy02FwwMYZQp+ER4duGNV7ge6m1gMIT7qvebIu0x/pB9l5L
cXw0GnzaiE9CCVOr+T5VjoMO10UUETDF4nApDACd0edNat13LVDOKHvnoSLeuX3geC3WUW4FiFJK
lYmO3ToUdbmAzmLNhE7GpLdPLRsK+c4saTl55r5ZOVDJCgx6jUUkJNgMSbvCzGk2Uh9trG8+wuc5
GTzpysdwrIcB7piSsK5SfHTdzgJcGmLPemaxPliKnM6VHmRIKeXcVvzx3IjYvsZMCEu34o5J3VOt
dd6xHku8asUT8QfhyUr9ZKdZY+skelcj5SulWTrWB7+xUBrVCkxjdzgUnmA5teR/Bmn4FCrK0cLR
n0HssqWP7+l1hfDRd9P7sMWDZ3hNHlNpeHDzQ4Pskif0HCLY0BMR+lAAwha3dpR2RIZibx4gZ/YS
Fleok98+EEKth5+GKVhIeDH40HAMDwfG530Tw9InoEKzXkPcLBVz+JQaNG45zQ0mWmFknIwRSnY+
1HBcjmYC/TOlkXebbTCmGxbFUhb0uypqlw1uCXraI8fbWcjdxgSDSi1bdwRfhOR2ks/lJMJJkaW7
3Iva+RiPW6kKqnmBD03eje+9Cf1qQPuDImIBw9EuuxQhEYKCbAy3hecvKk86NEK3bCUTmBHX0vLB
q5OVVMe2NL1yfbz2M3eRGaG+SATUKAMOJ62GdkNbm75OV5Bn2bPQp9fGLIq/99wVjhucOouxK9PO
fwPJqzoF4RdI/uv1P87FiednkaKNy/f3YdRvBSioO3RC07R0jsVftQawn2UuEEWigahDxd9JgBb0
bZOZmsi3tf4SJi9PnO9fz8XvJMBfnro50Wh+mVNpfij6cozHVdabqIv7nq31e+2kq7BMJ7MNKqpx
qq10iqzE71dCFPpzEk2hcYnmkzgVZbkorSMLNDXEg2o0g9hWpxKuhD2WUtOJ1HaBoewwyaW+o+gz
pvJPm+7tYioJoyiR50aGKZg14Elqhe5TARXHoLKfsyV9ejn2zjWeOE3XYukDiadEhKgFe4EZgCag
9Ml6jBCG5N2vSOEBBM3gFkQ0+R4KbxPOQcbfVeZhBlyEHJ/9xBrnNRyFHq5Cif+wXE0V84Nm1usw
L3c1zIYBhkOEdZ2OPqFT9p7Jd4AHESn3EayIMn/Kjfa+aEcE6Fl3aWFPaBONonRrYBELV+jEKbAb
KU22eUkkkfXsSvIxNoO1iWZLrieSM/Ft2BMgdAj6zzq4q9I3iGwnhaddjwYexcW7LnfbiWZsjsKi
H6RNo0ZgWykxalizdkgAtdqaG6K7T5TxvsUkmuHgMptco+NGelS9yXfKwlTeXNXYSyeY/5vWu4Xp
dEjpn2UnC8IJEEzTnzs/wm0BJbXEFiZjMdFtB2gn2ngysbQesLbOo0Xn73zkiW6FYQ43SIQNtodk
vzLf497YNvg5Nx9xB5SPRkOSaJJj61XAi8+zNlWS7PoIhFLKQaCLA00vdRRGRVCV5Xbd+8dOLl9g
c94s5piXMijtoW7Xrig7Xndzc8UuRWzrb2VwMl18+kRkZoKIxtDPHrLYJTEtX5rJSnbVrWylmzAd
Eb/qOMDgIJX3IhStvMfpSEOZaZEvIVIaMduUfATc9TTtbL2P3GeEwhTUnehNTEV5ffBLzhVcMDCE
qKGNqgkeBI8J3kspU1VdiNcSd1XFtNX6PnathrkZDthuMZBN/Fcf54bKOhvWncvMlrflrmaG20zD
3FBUljk6xLhXKvTAmHv6Y/PaDeBIAVZizTQUNqfx8MCcOJkGxn6d/5Fp93fFCFSEK4zoTZ1dbNqB
/xQj+NK6TPvc1+t/btGSZMFzsxRG2uyrbIE/Whf528SIkSZWwHdSIv35j9YF7Qox5SLtzHf2y0Ry
/NG6sHsDEBgibFVd0eHH/JXWZTp8vu7Qvz1ywI9fd+jY0FEG1pK3EspHLYR2y2Cowf8mV+V5MMoi
RGAcSyy12US+f+8XNcnmogCqPCJXF5tj2QtkIta06Xh3BeC3EdtRjFF/MurtaQq3bdx1ZgRPHa1C
2yEh9lylXwpl+WlVIfun+crjW1h+d8jR7A/RsBQ9a+Hl92aYr3y93aSFfI2L+k3KggOvSANY0bGg
MuzZhTi+Gqa6aUQMWhrQ30xk2ldW3PsYv0sLahXci3Lk6p1eDY4Uv3RMa+MC5THZPSnGzJHp4qlZ
ga0mUrTRKc8lTO+ssF7VWYwoZEjhHDfwyxTr42/b2X9nfim6qIBnSZBxxX+3PKas2C8VjPzl+p/L
A34N31KFVvAPMOzn8viDxPuF4Yt4YZIuUEexNH4rXShXLJmygE9I+l8i2BjGdN//0tF/ecpwkH9f
F6kS+ZrV6WjGo0+sw8Te6YhCMJYhttbucy/NQmlnXon9bTPjnBrmXjDAteqxdur5C3rG2DEYMC7d
1PawHSA0t5+9ds+cWzNiNOzoVCwv08A57A8NnSkG1AqiMf8BsYB7q+7zdp4dgvt0XUMheGUwZs78
x+GgvljjosdbpEe83ePJwbAK9u2L/qFiCSHPC2bvqhPlSx+2QgxpljJmZn4iV5qGz4yWFWUOah/d
1HDFnwMpctzdN8WuXoIR2xsIOXPvmkqOufYyJFgr6G05tpR3eMz3cOgXw4iQa/q++DGFRwyoCHMq
9tkzI828mQ39TBHmrEHmmhvtofFXCkQ6bAXHtSDPmkP0nSwgCXP/UX8pV9mzzDwNVxk7xMCKL7Ep
JAKO0n4OQCBF8/rO/NC0XQS+kSwEAD9tFoEOGvN+nd1TSx29e//oHdSldqedYXLQtEDEcJWFb6Hh
bO2S2kDP83vNu7njrH+S+DmjSYCtoS6NjzJ9q4I7okZWYWE5eroJXimJ93RN5uql21VKNDdgTYhZ
OMf+21+1BR2jgztcu8xcBhJz+5St+v/L3Xk0R25tW/qvdPS48QLeDHqSMOkzmfTkBEEL7z1+fX8o
tW6xKD0pFG+mKJV0b7FIIpPAOfvsvda3zuipyb3gyN3bYfU4iDuqRvGkbOf+VluiTlaaA0DLju8m
/OYZNwIHUCgLsA2g4poE29QAwg/Cfb4MOWFyGo+5cBR6GNa77kFltAzub5W8YPCumFDSNzLW4jOM
BKEjWqG75CNvOkBI8aOor5MJsEeeMIpz9buIEE4rFZ+oS8r5Ppp6UpwTu78hs9pefsONmbR07d/z
VO1nOgtBnEVIIuOnGg5pLWivcnUnCRAiJnmPB9g7VmJ4GrL20Bjzy8DQFudad8LwsoJ/WdvMneXw
1EnvYXkDJ+khujMYBaFIAJzyNsCHs1EFt9NqXmfgK2Sy0+CKEOWWWXv/XmQyxI2AhKO+MnfmGtwO
WUlOJq6B/PO0ZX0LWmQX6htdpYo01lFMZMVuvNLvYNJNgGiQI4vlaGux5uR6uvEguHEW1QFv+u6a
IbmUCrZhD3cSgkreSRKtis/2sX3s32TGXpXbvyE5YWavPyef/p10E31KN9YGrsxO2MP5IRzKSl5E
Agi8CE1ncb/UbEJ3yIttMzD0058LODUtxwap9+C1FN1aaF7TFw1dygR80DYu4QssKTuHe7SZuw6v
5/uwdNF0JxePnNVs4tpwFfuy1zEfHPu34Wq40lHPrSiJ15JD/oLb2GyT3rn06Kc9gFaKHabA/ErI
ZEIbwKwK7XrEQDC7Cvfi7fhMasZdlN/VJiLxV1HfZsaLQjvjSVg31nq+B3cNSt0JL3abnAKGy8ID
196YQMtWI+TrN4LSGMiSIyAi72ngk2zi0VlQ9CmeR+aIy1SOBsZhWAgzK2s3aB8TwDxTv67TzUL3
Fm4GU7ClZIt9saXnNKDRXz6ggipDWXvPHBrjwJzuKvARt9iTFIQDLDNbKMA2yHmnWGdrKT3SHXFe
QTSvJG8q9n646wJYc/uKntusGhwJWhbfa6XZG8rGFzZBch8u8SHKp8hRUTY25o1xLF3IYKf2YX5o
4ENl/J6CTwnZVbriVHaot+CSNtom9aqjAooWsAq81TWs1m29r18DN7gM1d0ocubbGKVrPsURcD0n
bVcqZXXhwakxWGYohwbG1x3pfJu+f5PWqChFAZxXdDbHK+2YHQIeaBgpXlzDCEKUyQPOM2MN525Y
MCvLwwNlLj02YOj3Id5VnoTAus6wk8Y3Q6zu+vA2Hq8VQH3S6QNwPiGw9VkhICq84gtp5LH64qEf
RGb/qid71nryWhdA3UVC6zYcmI2P1d4KzlV4ZaKb4NYRI2a2OM92qvQAsgqJlR24PN8bHcjQKgZp
I96XwoVCK7SRaK0+orWqBvsIx1a6ZpZFt+9WoR3YoGWrjRdz/pQoswYYHvasQ8n1H+VcswM8cAJ1
YDXWq+BAV4oo96B/MAF3xI8jByA0CjrLfdtMm6y/BAPU+4r28U5beIWrmutEmeHVdX6jRP5WDffL
AS5Ft1MGhA5s0xMQFBD+18K6iFDe/PiXtVG1CxxIxFJWtluai9ZniNW/7jbCINnldLTkettnI6Ks
jwTTiYNTNqJnHu91b75jcEwHwIlu3vprNLPMnPsjwLFdGO+QbczPudtJK/EWUwvLlPjMgQ8dzN1E
/kNs030ocxvrCX+KBmF+/1eXkOpiyWJSaiKEXuqpvz5h/bEJ9v3zf5aQImpr5k0S3AwcYb80wSRT
tQwV6y1DHj729YQlgQ2gzkOqLf9wGPznhGX9F7OipXuGbeG31tk/GA5RH/+xlPx66T+aZF+aYPhA
JylAcreR0Klt57fiU0FG+ibccHC/8MReTa618nfRBiC6O0H0fDY2loe8cNO+Jxyk4BZelegtxSNi
1J226daJ262VvbKsVOtgN++ztbklgNjt9+FN6AGt4lfqJGwXOdtGaAO5twGhe72/qk6iS/t6l9+W
t8Kb8EbAeody4erIjNOFkm2bbmxbh9qDzbwWd4QubMstXOqt5i2Xl+3aaleZEHnutM0Cdi89nPXQ
1nDsI8QRyGIRJ0zm7/IGYNwxdImHXgdOcMbqtqleJ7Li3oE72pqDD9Rpvd5rXHZdZ7DDbe4VO+q6
Odt0vus/w2+O7pVzs6ud6uw/9Mf6uT+Od+ZrfmmPhNx18u0E2bw9+MEyTuL5t05mcQUDdZzIVHfk
5lV5Wz4WpvvOgltK0I50iwlWCu6lcF8YHpExqDrRc6Lkutb8bS2fQkwWW/Dvc41q5V21gKUjPWUe
PQf3KeU8GScoz1ApXVMDo7cF9CtG4F9v5SX96VWd7sbGCfYsSsJrkT/wN+fGYcD8jhlXJ9bC81qU
lMWNyJo/aBelgjRMXat4fuAfytAdLYhyJtV/tpd02po4zRz/DWUYLK1FeAZ2NjxCbevZ/TD3Y7Eq
XhCQMk+UEYTBuqoTm9Qch9+eAMBtUUHDV+qxGw6XLH60NnkikypFIWXODI/uCipFfCXoo4uagRjU
KDLb2tueEwaoLpY0DTqU/DzQEm3JaUWGEhNJICG6nZ+yff44TMf5zGuQbog04lv2XuTwM7f5mTum
vfygG+MmwtmXSI500O+V4L4GtMU6He7nCOk06GKkctnKa1YWxHIPPBHF2grfcYOmcrg2Nupd+obo
+JWP+NeVRE929c7hfmPiUs7YLwjnW+Taaqw9ZnO5NftDxV+ZkBiyha0Amds00WyKru1ED3K3iDTL
LW2ENfC39bSWttXecKxt4AkOG7rLzbib1rnG4WirOXzE+aRgdhIHAOZROoLVu16YxlvNBnh3kN6N
2+fJ7Z3OfRzsfWcbDuM05xZAnQ3ae5fsh+vhWXgVF0kzHdySk9IiGt93H2A631ppNd1ZD7QCrzkh
wgIZLq2ddhc/XaeBe4/VT/LqrfUY0+c9i5/VS3YKUJknm+GEcjZNwRPCWe13VX/Iea469OGt0zqk
K9jCRtiP5/aJypVuKP+wA/FtDbuvHOmsXtRLdm9einvmtFRKcbiKz9S2bmWnnrcsHIpDiBtgTINK
XHTkBW8K3mG6qFhdVcdwLfuDytFZarSUHxijTmWtsNwoToeYtzQc4j59VfEQ96p3RtJCHqch+kA1
miWe0HrijZzfZv4zitaBZ8Jr4dO+Qr6CydsjAX+X8ZLkk7PMwoDvcq4LqIRgWFXcsI3mCi8tKhF7
KZi6Eqjjk3Xkquze1lzqPP5bOcwfcVb57ooszOzxkFir8XI1VI54IwQex5WnfPV09ZbZhc2ZVr8T
FOZYa9S1DBYUZX3q3Yf1G8uHc4s0VsuuVEeDu3JxCQFavWGTta+D1fUt42GP7rzLRUzSqt2Rc+EB
NFgTdHMQ7gpjG3Kc913GCaQcc01Lfq5dP6H1xXLGAX2Dzyv/VPmMNzpqdrszDwFGVn87oDGZT/Kt
ArqNUal8S3WYx4/z9XzSGl7S8h2VbBM2pzG8hcRChag0HzLrjzk8pvFjS1er6mgBXydU+08sKtO7
fiitvVw8t/KZbyIqy18dxeUr/RAKN0/CC0rhjNHFNe8r2Ovx0pd2vskeebv4DJ1hLdRdy5FvuQao
vQwCEWtS8JKocA3a8IQSeQbdtFW1w0AyQI7AsttIBUAcSrI1TMLVGwlg9lvV7xNO0uWmqg9cAULM
+VRWr7O460aq2UOzNEYcmpDcLLL00D1R7L3VOJnDWw4wyBlrE341zDkMrJTI/DPWsOShruFjCDyu
iPdNio+ATBXWWbTlwkrSLkW35WVQPHdUp+Nwz5FIr3pn8S2h/qy8EN/wnXInHYfabVjcybmlY/Os
5hxPe2c4F4GDA1ghVOEYD8AeHFN0sFfI4Z6/XeWe8QJOph3dHPjyIhzsL/5ejQgf9fiSZ+tjOPP/
SSlDn1Tv/Ix6u73lC14brce+V+tPIOXSTfA0nvTe9stH8sGklWlBDk6fKvnE16l3vHiDxwD5sMXp
NHkUUS17Qn3q6Gcq7bvPxAqFAk8Yx3Hhnp8/r/6tLtdy9Ao1b16XrnLMfEwFu2ht4hW59UVHP2B5
OVbBNSIBfvFgDI7EW8JJ5dEKt71xSqxdd5Y4tyjMthdbt/LYh8zHt1xgPr4ObbQNxTUTfEI06IAU
z6D8OBDJNKqEvYxAO601h7cvI6hVStfDIs8lg4g3gxdDh0Y+xssoBGYX+w7OnDTxCNyWn5tdQUVC
nOeKp9mmX3Kpzvoeg0uEDJ0oqMDWGCryVQa3YM7HPsfwrlr9H1MesqbMWzp46CVrrn+/dBqCsxKe
8mwvr9ADV9t/d0G+1OGypIDC+jG6/euCnMHFt54uJrBfPv9nQU77laKbaQpcCDh7v4w8tKXatrAD
/5BM/lqQU6dTdSOJZJxNGf/7yGMpyMF/4e6SNOg10Bj+QUFOif8nBfnXS/82lW4jKTHEaA5p/G2n
IrUnyXDTliTHoeOICDGVYMIxO6iL436j2qINu9ZundJp5RNNqEEh6pCtd761NjWNVt0Ab+xouC0E
Hi75vLRhAlty42N8NLbNxnervekq23Ctu4Jn2hjKzuOZUOpnA9UTE19OkuprR7TdQ7HJ9o5xKB1t
BfEYn1pHZTEQHGoP1VOeQD5ptu2zeiATbsdCQASfZ1D8wkhOPfDJunCVdNc5rdOOamPI14LyKSwt
E/KT7d9+lQ6i4dLaRRzPqfuo3PLW2OsL24AD89i5TI2JhubqS0gJ0aamrYMPjtdZjNf+x3BR4yMq
R1m7tN2Gz2522R7bE4CCSKjIliU9+bmccBXxW1ZgDMTbOHgrmaYCGA8fGuVxYUKo8afMUtKfU1pG
xskPt/XTqNNz4sUWK9bgH7+i5no+l458xLJHTWocwvXEkQQ/ynkpNan8pOgVbTRWmw7Hz3X6qGcn
Hw5Z5Ew01VvpvWVJTMcTL5RjxJO4xUuDY0zMNhScyZ6CXg/OffOUcOlcIi6H4bGij3Y1vNBiNjA5
PdMe7kVvvsUcq99qtCLCYYfIi1pGO/RXpJ/3V9OJLzTA9DgM1xLHDnI8nY7gXmXdv+vUOQyXqj31
P28Ou76ikY184h8qJaK4rvij4Yf5nAug3udv8+Vp9d/RmOVq6Xa5y2zYYJcyaHkY033Jpo6sQVjP
Jwon9vXIruVz2b+xNbPk0s1hD0+GHYQy+sKuCkh5iduxkcpx1WR4Uq389lfZrKf3K+sFPg8dJiSt
m4Eqp3ua3pvc41P5o+hOvuXrUCFQDfDv7onNk9qgQMGmm4VD3RAf9cNwxSaTbyoCuw/8L5RP3Vbj
DWDUfc01cQFszwb+LcMrYc1TuAkvkkzCpJtm22DN5pzz2t+7J/7Qop/zwfecT71op/eEI3RuueF1
toYnK6QA4Ip8qcwPmp5mvZuKS5eBmKWT1K6J3vaX2chBNNZptOWtoILgqnmfwpCiw9rxSQko4rYe
dhQzfAOKINxQXMDyKoe1Dgz5pJPczsvlD8Fo2aBjVTyEKJLTAVfMIbKTBm0j4cc5g3ZoR6CJ1lx+
yxmpsN6Hq4C4FfPDYARveJA32Kn7+am1h/qcReTO3RRAhwkHCw+sE9bKopvU8fUVnkFKm4QXI6wz
kj0oMNLiQbPsufI64TITMBqlNptsfz03H+1iS4le/Sp00Ig8pOPrFIr037pVNZu2FF3KHRaJkaJT
IMoQudaqnLatvBW5h+OlS0cDW6ewWPZjrDTDmoUkn03PwECLYcSn6ifGbzVHl77aU+KU9A1OFjnB
rnXfX1vmXku3mLDVAyrGTX/dQgeJbOmYThsVLyZd3Q7vSvPEMZEjh4B/9O7fvddCKsLpDNgVKTJb
21/vtfSpvu+13z7/y16LvVonXceQdOOHuOzn/BQRNt4Eje7owjz6RV4AjMNUzAUq+4MR93WvhaaA
j5vumC7LKJ3/wVZr/In+S/164d+mqIi1pqD2y3DTQshk8JaOrq9ZaGSZ5Y9C/xbP6l1bIzvGwCIU
1xKT/xEFgNTTrTLHU0GGrlm/mYtQYE479jKkA12AFS6qalKUgoxQwdIe04qvVo12kHN/Mu+alHYb
DHu9UVd+QeJsF91KdKpUopTL/EMxpnWIAiwudSeSJEcLwgNa2YwIB/mQSDkBKSE3fEumhBmE8XWW
Y5RFwMGAwV8X86mbhRt4PkbabKy+fK1GjWdH2MdyfND8KVjFQYxVMINVK/k0yrCfDomyL3pI6lNJ
PFbEOtX15xkIUy6gP+o5+wTVQywS09hE8eT8qx8UBUsNbFgohcsg/+8eFO7pbw/K98//+qD8Rye5
SAp+PiYSkAtTRPL441HgHv6pwqF9zAckVRF1HQzI18cE+CIMMpGP/4ak/QfPiURz+7va4Mt1W8q3
5+TnWYUTbUMrRa04JZ6E4Dyqe3PeU8JQev6rbwuV5ZMfBu+1Dnjlb24LU/zDbfH983/eFvz8lOXr
Ank1f2hhv94YC4CI6QLguB8f+npjcD+YUCu0P66fLLZ8gEOwrqnKP1o/uS2/3xdfLxw57i/qrCEf
GxNjAjGp2dAgsUdnEIUV8Mg8v1ZK6yCGwd3Y5za4QwIW9XOSx6WL1taOdQJ0OmgLUiVynE8+8o7g
hreQgIkwLKtLPxB8WpvRGowi6vcgocutS/S1kWJinBzUqwiTsFLhg2/phC7SzkDfRAzHZsKGMgQW
E61AM1b3vURGqv44ZvkukMIP1XztMmXThiZn7bsEA6sSCQtNliKJgDjCQ6IRuLaZjzSzMe+PQ7hW
h9o8xtDWdPr6sS3QFhjJGgklwuCKYxZYmhNP7WXCl2AXaNTJcFnW/5aNYMa+AV0NVBgSMxOpWQaB
PO77y2KP/Fc/MBpUOAV1IXLyv/c8LsLsb+vo98//8sCILM+qrC/iRUXiWfzywGis3v9ZLb+spIgW
mc1xqP//XHzkVr8f7oEmWcgcEcdLGiYP6R8d7v9Mz/j1ypcd5Kuesay1eFSEiFTl/D5s0EMUyWtu
ZYteqyJqRgaSpNTpIfafDa3YgBo9opXeQO0QOjKs0lOxCE36DJLShEmQZDl94ZOmi6ZaocjPXfiu
njmS7KKJXlmCXCS5vsT/MmUEQmZEzWTpuiz6cyvqDLVSokM7gB20Hjlb+uEhyvYZxKbcxCZmjCUI
PVTsSUFKICTIMDhlKdoRSd+ojQjuIjTlChxerIdAFsJtO5KW68fQIQU13U5jBraMXA4ts0NBv9I6
hVjSnOShsM12kW7uwnJy01TkQJ4egmyoDv7w7zYCM9Q1GBCjG6Qu/ttd5I/FxffP//2hkP7LwH/I
AJr7WKWlxv7986GgpSXS7voR3fCjGfZzF4F+Rw3B1q+qv8KY6Xgpi3NRYc/7QVv6J9uIrFKofN9H
frn0ZZ/5MoJOgr4uipgwcHFUr8YKq6+Drhd/bTzOXlDfTSTDhBl5D50xEGidwqubWHQF/6og8kUR
RtRimJgAqwhmqa+j8H3MagKYaiZaY0fHKBxo6kjmute0q5Z8bp2NiHxs8RjS8tvoeMKKUnvS5Oha
btHyJRTpGpk8akYKtJVOOz3sdl2Ycai2cESqA9+YzZXMmzR6krouOpeNTIyVmiKh16/FDNIEhFJh
VQnVrhS61A60SHwv/KIl+07PH0uC6swyPAfj2UzzW12vvNlsdjikpiZ1JyZPNZ9k+gronoC4QFAR
QqvboyUyJG5QN/qJykTLbB6zLqTRPINAYqbDib+XgEBZxOsi1YyYC03dep5uhFI+aHPNeeIghHRC
zCUooz13aiOQGj65hdoewuxFsuareLTcmfDEsptQTMKCma2DXqOCnlczas62TujXkLZrKi9x9Tz2
yAtNDeRmDROWee7wFIDmERTYQgbb3hJxxZKwGlDSdSb5SHlrSwRhZoN/gIPJMbw4d+ZDDM5emdZK
WIBRUiFAtXgYcSjEXbxN6ABoXU2/Jr3qLOmlygrSNsvk3Rq1T93Az9Llh0wUkY6N7OOSGYfHwTB3
uA5nsje72DiIDB8DiVa8mHplpF7rHRlc1UPXoTiTNU9SwCl3CZpGC7hcxNQ8Nl4ksdz2VuHOYk58
mE+3nxMTCWBtjkabFolWqp5eImWsIzIFgkR88A2SNkMUpiFKA4IEBWYktfQhh60bJyOC7nTdNuIJ
4KotjronYPbIz7PxLgZAvDukjvWd6qenmVtzgB7dYuxrGAcK5HIrWuGlhUHf5Nkq1orohb3KfV+D
oBlvJ6Ycej3YvaQQgwiHkWdh8Rj2PaHcn5gZ3c5gerjD9bbrUP/IYFXwZvhvnYGKaL5vDFrIHema
1ZXAKD+AI7JI6FtdJ06+8ZJmgOlINwdzSSZdd2Hg0UGMzJPB8REoLCxTCBEdUdOjwbvaZleTJb4r
SwSJyRuDYnZWHv7dtY5kSBIRINjPaYb8zeFgKaK/1zrfPv/nsg6xbrG0/8zr+bmsS3w/nBsKq/dv
qOmfy7qosZyL/LHFyYIK5Gepg3WDDULlz38cNv/Jqi5py5zim0Zd+3nlLK+/rurSMNQCVaBAEhn5
e4GWfgq9UjHND7exAke6VbbdHPv23PieIAABw8rbJIw0BnQARYNtrBehrLcPQt3YdQKXbPDG6EWu
kZ0APTUsBBc8sAtBp/EFphA6PlnRnQV9NefGpZKKtZ8Eu0LksWP+2l7aiMxk7bbQmEEzmBsieavp
teOz5FpJiCDyttV2ZqXYc3wc03NQGm47fYB72KVTtraCVxEDU5veDWgBk/ozSGW3mCc3EoV7RZpW
SjHfSd3s8J4Q10h/NhFhwHRXkaCx7nX7NGzvW+xkUnFTh6onqr7mSs2jLmq2LCLgJj7cFCACVaNT
w1megnGLKcjJyHjuZtLDR7HnFcdNS/ZoLeBtAwfonzJA26WcbUsez24cUR0yueh4TzKcdKHs44bN
362E0PDRKHI3xF/VsEiIdRHeM9gYsmyT60Hu6WIhXVOc4gwoqsaNaShFyueYXaWLe6ZqH3oxemJ9
uEqx1vQxHIFgcdskgn/Rcra1xYcTLo6cdqGJ6wEp1Yk53VdTnB3SUETWqHXZ29zEmzE0ZkzaH313
DM2rzq/3sWR9Um0MN0ZGBzl7YIKT9ROQjQMl7MasrYdQ3gdhBYNj2rHV7sws3A86MGz8lHlrwQKH
n+v9qxcZA7AFoAieW0P/O3YyZ50/LDLfP//3RQYXGHYVBglQKhiWLvDMn4sMnjRdt5Sf68/viwxp
HSwjGt5eEWKBxaL3c5FRyR/DaKZJ/Dn/+WeLzJ+Ujl+vXPvWmoIK0EiaPAvrwQxsMYhQwKlxBZIV
rFkzKCc9b05toFdXeqC6Y2DupBEunBxuVbErvSioh/ukIQuytjaBITJWWQRQxrCPibOPxMCeUvOB
+zW3fXqouaBeN4Mpr1Rf+TTieLvsiUOhbfye2GHIDh+MJQ+Uf9cD0/0tRYqbaWpypVXCRWD80ZNZ
39ft6xCR866RPFhb8LfEzyEj8rJaoIcPscJR7SazcoQrL3WReoPMfMpibKIhTqA3m6pYT8vEsUR/
VQe5WwbjTUUnGRyAYxHgnUW1Z4lcLypOvYU3j5dCkOJ9TPJgXB5lADh5cRy1o6JDBTU72yLRvgtU
B/HU2pAIEKyLqzDFeUvNoYq+jXGumoGSRuor54V1OMGYHFQmV61H6+MikrBJtQP9clz15KYKkByj
wHiSIuNxnqQjTHpkF0yvx86jcnVG4VxCNKh1jKndKSVWOKwjbx6IeUtVdP2qKg+35E8Hu+hHeoVM
jkUkXatTdNMweStqRFTl46wT0iY3RnXIFrpNE1oCA6SuWesJsaOTfqtClRvVlLqvCMX7KGSSNo2B
q4bNYGfy8BH55ApElY41V2jeSis5DcXEXDcIr42hTXeBVV2NzZLGEkV3Yp0Je0tgXRNqbXrQsrJ7
7vw2PJsFGvDG795amWQCP1HKzb96ETJpOUr6UpTIishK8VdjJF38Y1fn++f/XIQUA8cp6warzbJ4
/LIIMbjSQGxzrvx1jGT+l0Yhs7CwAWXjkful1OFAq/2eZrgor/9Bf1xZujbfKp2vV65+64P2ACRy
ksaEdYd5152MCk9JZiVKtFJl3KnouClywhtSBz2/rHdsWPpKY6BeGHqzYS9vVi33kLXcTPKohue2
VzpAmfX0IM2a9WqBwcErRcxqbyHDmMGL4KHOh0fSAIG1tNpBMa3HEYs1jZzipcs6rFxLkGDcFsku
F3VHT2VvtvR7BNHx7b/7DpVl7lCZW4mN8m9qcZ3x4vdanBTBXz7/5x1KG555Jv1MeoTfiOy0c2gh
0nhccrAWvdHPbRJrAK5revvEEwC7+GWf5A4Fn6FzDyvKPyJAybyw7zcojmy6oXx/ziI/BjxfGixq
lzYpOIJgYxUgD0SQxOIqYMWSkbWBHJ2gRg7SXYgKREw/FeMymtFqUkW3wAsnoyaYQK1V2iaJsbVB
DDZbqIrIH7XfPPm/JLT+r7zLrnC2tM3//d8Lg+uvrlP+Zvcuu6oXC53rbBPNtogploen0HqtyDAI
MR+CTpbm62kEGanYKUJfMSncQMrt2g/cEZ9bgegmRY0aBUhmOyL7iNBKUWHjIN+N4zEvB/KkJPAQ
d238VBjBiu6LDUgBgdCDoV6bM0jW7DALn9TbHC5cMb00VMQTPf2gq5a0XRXFxBT8lqP5377upUj5
tn5ADVtOZLiNcYR/639FnTwCojICpMXoiQII1BGV71ZN76Y0A9J93eJp/bLaXv32xb++1X/6Tn/5
lsuS9uWOqPxcEyoVq5iENYk50SoE9kmW9//su3yrzixrUoym5oXRPVmVQ0AiPQOU/rdN8r99++Q/
OWny/iHq42mRFw7bry9m0IWxzTJejLo21+NhvFU28wag9pW6jdaaa96MrmaXIDBDdfUOB+PQrfi3
89ev9UeqwR9+ijyrksYqD2x+ucovbymPd+YXGdGVSmZufQSfbUOAfGg5Y0Dgt/825S8SMPIcn6HJ
0c207icxdNVgWokwNv1BdTMDN+XUngyrsv/m4pa34K8u7tstJrVoBooWbpravJIP38xu7e866zJz
jcsSUI8v7D6x/jl3gN6OQQ5xtKltrUMkW70HwNX++oL+9P778mYtdf2XN8tMw7lNIt6swCCJykDk
I8EMvvmffZNvN7mmd1OijD9e9EFO3kX24d68/+vv8af33pcX8u3eG40qNoyaFyIMhtMUuExxrP71
t/izOC+8YP+5s/Rvb5amtfj9G75H3QjbWFpALSRiJA+Z9jCqvauxiOlyj8R8gQE1q7hnKMRtpVAd
ZDl9DIGGbLxj3VlFw4I48plHnkN48xnucbg3QLQOZnLQGryN+Zu2RHGiUO+ZLUn6zVjcdtPbX7+i
P13w2BEByoFzgnP460+/mUW/IGGHLATTXBnlswAAfgRpJ9+3NTDL5JBz+X/zLZeT6vdH4OvuvezD
X2+53LfSoBsHNkEjmT2DA8lKCHT5sxvjbRb1oSebKdZYJQiuZ0bTKkbW/qGvisPMSSk1Bruq6pWB
31RPtnoHzqDQdmqf2h2VllFCOteDtZkc0zID8m+RpWPpPln1xrWFFryt+SulPqkwRDSZgxZ+Ehwv
sdxeZqtcaHd8HQzWTQfFuRU5zvWbZrgpTAIcchXgwDgm5AOUBtS7wpv6DsY1gvXkpIDRb5oMleCj
rocHv4qduiptIJFODLs+th4rGYvK9C7Oz4Z0pxTnSdhYysdcXMfiPRlmmgrezXq02GkCTr9hUnu6
BisieJeE3u1mpOxFf7F8gtzB8sjNZ8jJMsZsXW5DeZ2KbqRuBljGGMu0zxHcKcUvlCktfYxmuOfV
DF78I2cSGSAnznZGs1dlzOnJVeLDwrO1CU8e9qjUC8jzSndWeYE5l0znkf6eaF2pBHLpe6v5AGXF
SuXq2jqSbhmrB9Jn65OFsYHsmKabsHVUtkyxAib3MPZIq4wbMzXdXD3hcADdnke3FjY/zVXMmz5Z
IwDOOLLlAOVW+SskaTzTuuYuPC3ydN+mt46mo7SWOy800eMCk7ONxBnjNdFk8sQZcz+WXg0wOTwp
/XGasaV7zeAogTda0Kl2ZvzcK2ctWQ8RwXZOmq8raA26U1VuIK+pVcbMpsJKILs/EnPpZyRfgrwA
NQN6/VKF+zJjiXY47Wu028XG0YRDiBlFuBJAYrSHfqJp8WyZ7qg+BOwjSexNXe+k1Hcq+aA1itW7
TEfu2sF09HEYjU7JtjRt5wIvjldXtyWJnzAoTVAJk3bbgrutPxZ5mRhxitf2QXKnB28GYzTDqXAt
hO3zxLF/2mrZi/Uh15tYctNkHXVXceSK5I9aWJjNHnY7vVCxeuuAckxOgEO0fi3Htf5QM2kRzwIP
h7BXF/WmIy5Lv7Z4qt0uPWvB0Rp3TKSGdwZpkMTIbdcspygJl4Zqgl4zPDYQrHxs2mIW2zJt2Awa
mXweE+LS9XXfvkzY1JL8LFbHDkPT4HtTZq0G6ynGJ5Z0dwk9U6W6CKyiwNtlN2mcSdwn/loDHF7y
7D9ZiTOP67Z/APrW+y5+6mFWYfi/Mb5eqSaHu70qHvWPkmSOQQA8EO6a9k5p92Z4KiTw+/l9ZPZu
JRy1wtGJta7hAMGHz7lrXQZCee1NGnMsGkN2xowoOSfiuSUPsCDC2VrunvkpXpBjTN+slyZwfPWU
I9EPTrmAGJZY2lMZbRgWrtukswOJBqzTdB+dfNf2l0baheZhIqWCaK/skjTPcuYVpIzODrd+a64X
GtwyHqQ3ZjzpdNitrWoRdG1r1imdFBYAG/iIIF37MWcENzdvSonMENeybsFw5gQEpMRHmKknjrTo
yTeJqKfjlTWuY3zAWfM6agdLxpSGzEYSVl22LoMbZRmc3fT9gWRDO5PeFDSRhC3iGkj7bfMySi5Q
9qnzBHJJIp5IN5c8S3LC/imlJMdC3IPtcGA0pPGGK4fSGRClQoeLHILqFrrIRKJs8N7yDbRnM94M
8Bm6I05V4A99u1XeGxN/F6wHZ8L2NO3QTGvTTQ/m+TJf6tHOg+ss8yi9gnsxXk3hhdY3q45xL6fu
DD8/tNsbREYFGmu+siDYuewk4xaIU5pxkyJNZx43uZTtUgq2jbaUW+gIG+Dh0o46kBYuMGOeTkKy
lrh20dNSu+hOAzh8Mms6h0dmeJLUFeoJy1yVja199sTiQNyYV5wHUmlN2WoCq1YcYl90aY8Je5w3
/4+789hy3Nq27L9UnxrwplEdeHoySEYwosPBDAMSILzH17+J1FNlKqW6d6iroVRmODJocICz915r
rkyGnYulOSilY/JYR4ZfUrB0H7XgDrQXKIriObxSI94M59pYKYDh1e2lOUOU0PHHhmuViEISC7R9
2VAkcTIm5BCGXu4zfi/IBS89/fEiVeuKgIsEC2TqzEZEVI4+212UgFG2BqVVWqUiGcr7yR5mHtqO
YqJ663Bkp14Bq/dBL59XMdwgsU8L1xjdBFJMZgvgSBN/yBwgv+A7xNaphXOjtlRsrlQE6fjBgDNq
HEmcV6wSuKWo3Fu/B16ncrBeo9m8U9dwAXVjlfcLwi6dYfjG0yG3V2rmenREWT+k/nA7kMKYfXGa
1WcobJcFGR7xujNOZn8KZdu8L1LzKStejBq07lww5kjzcyUoLuuwPBbGVQWrGwUwForCn5GOws4c
BEmXegYdU+PtEr3fb2u581qdS+3B5AVso5tvaGCMcLYKykfFWVGucY5cFkO8ydPBCxXJahlXPEgX
Ex8Nc/NVNPhcDVPNi9KHxjHkVGHnKsb7gyZRXLhq5xdjUAqz7S32HzdpW+hBg905RxA/Np1tYM8D
OoZnQFmQPTwFYBSe+T4MT2axbUFU6ntA4Q8hMAu8O5JXpaU7a9wi+WonOKqjjbGDzDcpXttx30v7
TvBM5RAXEga5o/yYC9qbmDz3na0b27LcRKOvyhwJI+yIj4T9BoVdzLBLzT9v6j7Sj636dlN89Ab0
lFfVfkD3Q8IGbJNupY1LnTDQztiO2Y5JN4sFoGBdrsYxEAH71kRCh8p1gB9LrMdQbI2ZR0h9OmDs
ngNud7LOzorjeA8GqBiPXSZ+xSEJDH5Zk1gx+n2KQZA2cjJl3eNLL0cHzTR0YFdOJjoUvhvjZWyW
SbZVy0MhvXTRO8P5sHLzbC5jXAbTOajEgvKVbtx1kIxg+Ayvpc4+iL51lgDWnWfx9sEuaoZSANRS
+VKrrxX2ohQVRbm5DfsbgCDx8mXEx0JdIHXo+qtgvOSzRawrXO4WDWeHrMB8nLJbWsVtkDzmZbYy
+jfBhOwCtesAqgvlZKbNJSJ44iWvRFkcxpzdPeP9QTikj28RQ0/Ti+rtpVwpbCglgR7J/TOcuT3h
Vvegem/7ZRgGERoQcanPME15ejF/AMaMCBrJF2ONR4WHoOMQvs0l4YVzq9ivVNVps2sRv8gp17d1
1DJY8Lp6zpkaNgtuYS3xwn4VYY4cHps+QXiBpXJ2MqK9zKU6lZ8MMphoQs6auZnsZoaTKzfQypzl
lVNL6Fk2c0dxLctBNXvLNcirDy9Fep6rL+gHSMYFN9A4OuEU6TLPfCw4nMFzIGOG8M0sPptwHZnP
d9JZDMGtR8rsU5l8CUSJCeZ6HLcdMav1mRO9xkMAFVqVC2K9wdg4BcZ+ifSORF1xRZE5v86mLfy2
Q1raMHKZTLtJOikZWoxYhVtniS9ne2V8ksY2SJXXOzGCpvRfyru/qSB/rktM1ME/1yU0L27Q/Pow
UMFpdglevfB3Gdz/t0HyXyqfX3W6F33GVLgaUR12CWdYFUzMB5aC/1Jh/V337k9P5JduzxDP8LWF
AzjdBPrH5LzHAP8CtctawUtK/Cc/tfz5PNnDILInLlT41lufmjOzfb7zcrfdha3uJCZpTr7O7UPk
fi8B/63IT8OgKTyxYQwFffdP1a5zra//25feXJPP//t/5Gny8ddW9S+3/9GqVjDd0IoG+fyXiS5M
Q41QUegyUyoIfeSfWtXEIQpTdIL43Xjz80SXhheWHHEKItGYfvyDWYo5ieH/Uqb/eOQyEvU/LYdm
kKW+HYyZz8gNW/tsf/nEECpnbxivuz0TRL3flaBkMIT1pXvJvxGaqCBTuLzdkw9CZ9xhn5pWWHo3
1GrseSxoGWfNldaT97vyv5tCNdMFyEeOIr8hdwZCy7hSAICGVGxLeDMHZcldUksojXOElBHMNbuy
+rkMdqJBHJJFLl7NYROdiwVRax64rHUOlYoboFFwgXma3QEBHXelkNfFVpD8LNJKjh1W2ecpexHe
IV01S7jWHynu04uluKYXL4GIRBggpfdUYBTKmAcgA2bOughQBlMHyugeBBdP6KP3SP27M3T9hnFz
TFYlko84e7k8149XLlqknA4UL6B/px+OvQfaF1oJdAYe59oDxGfN2FxSK/XOBBo1Em2LlVM8ArpC
vfHZbmNC3WKseU4IfyCHcu0IqvOY5IKedlvU4epBbvlSVQIh9mV48OJER/UHzVanRBU7pQkgnMcl
ccOo/L4lb/m2OSV7GhnqS5la8jJ2EWfyqqGFsfSXZEIyBuVBOGGcWtZbtIlvdPs553dv9VY4Safb
e7HoD2Fp1dv+Zm1v70Am1s2eEZsbnRXez2fjWeN/5dofZ9KEvhGu0atJ8YtU/zX9HnQ4uzla5YmS
g4gzP2qLi18CD4p29yf9HN/pLkyxgEPi8DcSlJRuACksvItX8x1hAZ9M8oLWSsizbMiDh2wyfbvG
TciOpkAOaiFBxdCgn7tnEiH4wy9q+aEv3vLvf0GaYSqocWk8Pz74B7r1FFCPgOVB98tyBqLbiPzD
pKtZ1TihfIx0OSQBMQRYeHVP9npHxHatTPgjnymgOR0eJc2McQ6ZLL37vOMhplZpY2h3ryltDLyF
7rFDnHWgGMPnDBvocDnfsfqSNwWjhqxMkwIvIGXT43c02is/T9GdC8+X58njc6fKRYjagSG30dJy
YFADTVu1mjDAnPR2R/tEIJljbHYz4gY4tC4WLcn+AxEiJmGUqIAT2x0plNIDRgiuYbgyeeFcnjmW
RfbpHzqP4IrhFecumJMRhVFfn7p6XWMQeVgCwaA2TBAmN8K8apfjEzyOQv7uB4ZZhy2WV83DGMtj
NGuv32PpJdojPc6eu9n+dp/j7AUlmUNI7V1uxx/gd+FqpDPkmFdIFTMARocidECHAPLQVuEd4ATE
Eu4NY67q9k++8MCgrbdTTDaBhQ2r8e5gwiWnpPLHN1QJIfwW/3DSniQH5gR4jXxxGwAlOvj4CG9b
IxcNHm66SJzSnro+qYUiFd+rfKLNR8qb7o1Y3N9z9712G8f4ntgnu5elfIKoQfSxhapBRNp2JWAN
ztVso4wvTMI2nbLShI3oml+z6dj2B2p4LPPCZqHy0g3LFI6nCV3Dun+oXw+iEAGzBvdmYehEECqf
kvJZCsFQBb2rbZtVFZ9oPTTIP6/3nRSv5JmLt3pBAYThpjiWG2B+V738iIxlzAtQWdVR1Jej8Nat
boG+yDfAzo/ic7GrN8O8oKVy7T7ALpPVslOfhVXN7fPN5RxVlv5YiA8e1OsgWVPQ2eVdyiwiwuIj
iFOL2uKMIWA72jp7g2Q+EtZxpL+NlvZKy+iFbX6yahw1gcBJm9CqB7R6ll6tbuzhz0Vj8xmlA5wf
0lVAXFYkuBX7u4z/Mf2CKt7AFE/9DK+2Z2yFyr0QWBKCI6AZ1nM/gDU5gXo6aELdl84DCYTY3piC
krFIgA3pgAWberJVoc0GhiXadE4IIIynrMIbRyNE0WbVOTVIzS8TAbdH4qCpOwjMoyfJowHxBb3l
qb2OzxmvlOC0mxvMD2ij7wKXKgmncnzG5gz0ZZi3ez7qff6CYhifh4NErpwYWxIhWUsVGEyYnsa3
tp9uVzS4pVtfPqULJZAVi1g70LuyR1xWOHyRCqh9W5R+T0vCYHBqtSEtF47I/qQtLy8a8e1Meyyo
MAZzqJstXlZU6AU1igP+8UGs7SW2T2iVUuveMBElY1CihAuKg0IaLv2+zyG2Yyff8DEpc/x94H86
m4t7bXOa12y+jzE831eR13/WZ3D1gVhY+Rs3etO+kSBgM3G9WcW29mlB9KfqMK61JZIJMu4wfkEj
ctSTPu6HoLYvSzzgED+vYFvydPH9RRovq7JcsRQFkDklJPzlMB/mt2W9mXFcMvRiWc2abxJU/qyy
K/UreiCcHunzrC44U8wFLpf0QLNFjudxR1AJ4VsBqqri2K2yY8S71zm9mxw7R/CizWu04TChFD7e
NpeDvq9IbST/xIHDuJb3+dd9ru4NZFhblSaW9crhS5Yfx0x8vD1VKw4VFgB/FHqnX8mH6NIh9DRv
IqV9cAUzHUp84xiehNduZj1ehl0EI3I8RqCRNvXr5SpD8Jqm4s54mJgSfr+FRgv7rLHZEmmny6fw
VnNtJwGTDVTKCbl0QdPSlriFbifNR9xAOdYcy0QOazV0pHelB56YL+qVnyZbQF+6unqcJ2+DC4IN
mBrfToaJh6NwPnXI8YNv0WakDd9S8pwJcgL0O/1oKTzHZe1DthAPsRTQKzMv83/1bt4UJJw9GOE1
RtQIhP6jNEr8q0P019v/2M0TUo4hHuX2JH/6sz5TE9A+acrfgcoxMQsScQJoVkhE4wH9EGgSuwP1
nxn2JJrCwvYPtvNTnfLrbv7nR/7rULy9oEmUHwwXZtj1PCG8aGs9NRqa72HnSCmbEVmcNoIzolKb
i2m1pUr8HSf0hi5WWMlr4ZIslKbY3prGN7JwrmR10M042A3gvzOBtKhCcNVqthu6UQMtEn3TatjT
6mXX3pvlIOiLS6E+CUpzQBOKrrhj11Uos8guMzY2fS7vLrPOmabQoVKEn1VZNB8zKcXu9oglfKd5
yjXj8thTlOx79nJx0u60Cx1cBUSi1rOuoBCWHU3vpk8XZtVtZJ1UWCUikPsGqlyL3WxgTJQVTFCU
dXMp/FuRnO6GCmWD1KXwmQVJPVKw4IqYDoY5xcwiJYD3EzmqkgxuHz9oiLEdvPeapd0YMk18ixij
zzjLP4XBIFK5wwMo52VtN+ZQuJIa47kZQXrT8ng11e5/p6n/1lKaWhaDmaiYLL7/qvqaPKO/ODB+
vf2PxafAbyUf4Lv9/s+2fXT7ClIQ9Krfs4/+VEmbqMgMeLNoE6f69sfSU6fUP1TTv6/mf+Q11f9O
Gv3jeWPx+3MhjdwICw/pc4Es5j5rMEZKJSFCNrCH3m56BhX5Vq9kMQrytKOCM7WTcZPzhTlypE9i
2ELP5lqvCS/GCBKmj+emjDeoAwEhGcVG7UTKPa6ZCbntnbSuSmF/T0uOULEl3hK8cDaM1yh+1NsI
L2uhLqVwO6tyt242Crk8A5sbvSWKb5aVUIXYTodp7FVl3NnDrHUyTXgOcYckxMBID5VZPSLoNhvX
FxINiiaeXyR0/73QzHtZe54xvBJqturT/FkIgx7SfsScOqlVyxiGeR7LfkFxVoXfurL7DGVzeS96
ABnSMuqh6feSl4HgkNpLfKxbHjtj+4fa/a4V+beumkl7KNAqmmho06L4j5cs+a9ayV9v/9OqmRwF
LEWNSxcgtp/VvFMMjUEiDfQKg17Tz8tGlkDFAFmDI/Pdh/Bj2XBFZS2Bu+BukdD9kyuWrkzik1+k
Uj8/8l8bUHophM1YmBc/ZyOVwUTu8CZd9QYSvJ2uWo+zanitki+DWjdc957aEVLoyHVhmQfx/X6N
r8OXfDbf9bM0FfjXAppUSbUNsGnTXG8kHhWvZhVwLSGjYtU85/OZaenv940u28VzCbMUDYMnOtFO
WxRXOggAaVxjAW7TER2i/MAF2/kHw/uQHwqXdDpkBp3HCfubOia77Rx1xVNLXBcbyad2W+2Lvf7S
fUr5Kout4k0G0awvcY0euiftamT+rPXVmvEQdze0+EDx6yzbB9EEgtd038SV7iFy3xSbbBPt8jnQ
qkU6h+/pSotwc7/iyErccBOxuKCxewojMAYdM8Ud6lWH5+CYXRMhmBEFfn0ca3nVirkrjdus8sgn
xN/UUod22TJmgjZeZl7bAOKJg0t3So+SqyDIsI0r/Da1QjThhuaOxgENC9phpicRSS8GjwbyAwkE
Jg3lZbXBzjCtf2g7QIBduVkMrtGfVCpaSrvEFqb22+PjsWMfkE/QU7dq0YHgp5fsB80do/Jur8K1
2ohO/dHRPrttwmrXkSwoIByVd6X4kr/2x/bIGdDrV+kHLR3GBQSY8NLxfpI3QUOopJgj876DzNdm
TBne9duTQLgEFe4XF3RHP+vn8sh/O8CZ4Va4Ss/dtbkqX8lGEuZ1TANEQsHicG/0DfX37qv7mh04
8rqbbRgH2D8m7ONtDTI4YXLFATmeG3f05HP1fH/qnpOndAemlYNFAgKntr4ivunVUWMHVNAM8eg7
Xb4eu/x45y0yzxfD5lEpz2K51mfrci5cyAYhuj27o16ncKNkeYqfSGoOOFMTRhB/SUe6KCVJGasZ
+d5s42iwFPJt3gODq0HlO4+bDeBWgW3sNO+jiiQAP00UmESwTl5sq6cx25AwS4PLauBnpp68iUmk
TzD8Wm2Ho3eJiXgAuW9WwKxfc2rTun9SZCbFNt7SYS3M9rH83phASu3Q2MYt06PvHDbgZyBdmTpK
8wsuV64M2Ns630RtEzkaaZFWGTS1M4BIjteMfsxkzgfSrgaZncXAie+7Qd6E69t9mzHdvNh1RC67
JZI2BZbp5sXCUnyjy+LCVhsHR9wXDUuY+A6CLjd4Cn16OQacWpRiqxr+XwMTlnBrXLaJAsVbXZSz
yC+a/Y2nlFO9pYtB3tUTpm1qKCH17y0qPV4aiVcPiOp0rXR6AjcPOvltD0dXvPwrHQM6H0pNvIhX
kZgrrWpx35UB7j8jp/qMMtpvr+TniliwSdXFWGfYzbktWWW7nDpTdR9023zDCCiLi89y43ZFs1ZH
Yg8sAHPlaF3oZ9LgoYlzIkTjkHA5RTaLOup746DG0R3bykuyJTaRmIborfwURLsc/Dvt3wKhRHC/
vw7YCGk4ItraxhiPS0PySg7jPPxCxJEb7ixc8E1BsIZvJXfTEJ7oYSuUs6fcj3yUiOKwyOAtWyeQ
c2L8rhanG61mESJAfFBGB9S1tpZe2tjtUXkkaz7QWi8+DO2uH/xRfYm3zLwfvvTtAUsytBGG4ZIf
G2yjHpIpgQAlm3+lpRh95JwNTI8v4EbXvvWKVZ9u/Zwsho4ZAcEZsRd7ery8DB80KKkISl9I9pVh
RTj2XZ2OlDn4HYHAn7m+4w86TT5TXmIvbbeheg3TNeK+DnU3QajFgsiaC35//NqzZwGx0Ym+TP4U
9XMeQAhYWCNlZjuG8wtmSdXpNe53BNdduEq9ZCzdoV7SkNfYQ+nLMZGoKwNa46GZ2fVnjuzOYqtW
d9jD7GhRoGupeGCIB/Z3TtHfSuRR9uXi8EcmpQOb2pbvJ3TYwzlVFDcSkDlZ0dsQ2JB5ays58CbE
KfMCKweQbafdHDnfsDRfH43D83qJ8ewKSKw2cuQT18bffAUPr0rC36z3x3DRvJhtMDS7me5SbCGn
E8s3kbPWS+h037pAFZd4Z7vKppJ7GZYcDnQuHIaUX7xrPBe0Xtv2xFvUnhJPWRbbqcNV++g0A/Ap
8ifu+mpbv0U62hhfCfiU5CO1QLNltfd/b3Yg7ksBha2I+lxg5gds5z/u4yhX/jxI/Lvb/7GPE37j
vpkWTkM/3Fns1f5whvIddnCmyb4RI9j3Hd4fc0TtNw0DF99hqImpYdIy/7GP035T8XfRlKBJMnll
/pE1FGvLn/dxvz7yX0XGUUNOaCWUra+N7dcl3bFjux8MEBHd0+U5CYTLSgMCyR7CXDLxKF/ZUkyz
lNRrt8huTA/YWWx2FN1PU+4wYw3UNeJR5EoPUZaxCj9U6r6g7stXbdxjN7y9MZ5jqoJEeIQsEUzD
tzuWxWqnuKl2ErM3QT6rOEvaHfMWj+0MfFeF9sDDbj8YlDBZLGG3ygyD5kQ56J7ZLiBTTIj6TvbF
I5she6Z/EhxzO6JkYITBtYKcK/rAz+O8Rb4GEwt9DVfcJy07qCTYHBXA6PQ50vR7nAQ7t+oV/j1G
H7YF7c4Q6eWiY0JK0T3xM7RS0PEVcMllZxbuKku7trucWQePape/iisEcNx9vUsC7TGvd0we54pd
Xc7cW73TkAY1gTxB5LXuqXlSyg2xaFMWgyWBCZ3HAXoqM+jnIxFxvD7ffwcpRB/cIAOs6sWBjieH
Vz6yeADpY9V84yUQ7zHhCJM69iN1o6WKNmY88e+p34CrWCgraIip2/vqegZvm4s/ZypbO0aLao5P
NbVwnrhpN/jmnV6zB+RITzY39sYDfUsV9nHlw4hXeQ7GF6ylWU3iWICIjkOhtEsoydL2kud283ht
pjTZilT3JzrQONp1oh3vvv3AF0WYNINhmGCukpIzPucNttGtiNPWpQlipMzsYCZJWufzucBWe5M0
e3YIQ702lQX4c2iuUOSdSGeKpF/7t3vWuVEBEzU6y3TE67pga7klDNMrzhDVKIXdkVlUnNoiPJQO
3bKMZEpDS2dITstjyZxFMwn9tGcQUBgs+qqdJ0bqztDehTNkfJczkPyI2Ny0+mKGJszHjbYLNUZp
hvgSX4IbO5W8W5VSYgnz+Ci+peBQ0qAirFbr/TDkavlRtMiF2Qe6gGKe2bXGXHeGQ7gTvxh4dI/1
LbsqdzyQDzgJWVxe0byzl2T0RU6VmcVebqAde+QrhZ2VUkynfL3HqpucR2KXyWwhEOq2yG8QGCjO
x8uWxnQGgCR7OORqysAHeAIqF2yvZFd2umk4HwgP3/27O81gRjTBMDjpE7z9H0/3ijZZDn9pdtFH
/tPt/zjdS7/JUNOhBwoEDf7KIlQm0iB0KXGKT5JpNf1xvjd+k2mACQY6Fnpdk9///53vjd/EyftI
09r83oP+RzBC4+/K9p8e+fSLfpZR1QowwuzRXvzLTA40M9s/NBmDo/iWxQ/wN5UZmBe1d6JqNP1O
xSRYT6Mf8bW4oD8UVmHBaUQTN+SOPfrdOBOt4raJUeGFw1oUTlqrEBt2Rxkcl8suUS62HHKWTh9P
pZ6C3DaRecBCoFUlgOS4dCiCRWtW3UBbp5fncDTPkZBuBIX9t/AguGvWGe69jU8GJBKUGgiHM8UW
u2KuStGxqCTWU5kj7TWeb4x/hypiQq1Ip8HQSdi+cD4xJfnl3glLstXRKwwrs2/s1EBsVbRNgoa9
vQKPBcpU9rKTR/hO8lnmmcPtKAwNOybsXkaJgqZI7t6sGt4NeOKGmg0WI4VmLardU93qDUoW5aWd
gg/0XD3/q1cVMGK6x5jbOfj/yyaKtcBe5JdV9evtf6wqVVfIB2P8gbqKntePXZT0G2lk4AIBzv4u
x/rTqpJN1huSK8Jpv3uK/9hFGb/RJpPJSWdnptKE/ke7qF83UVPQ7M+P/Ht62E8+vTbs+4v2UGf+
kDaIweNFTuR9Rz5kKBBgpLFShtFT9MfsebxTcFWJEPp1RubrLDSexYf5mc1wytxarD4jUU8ELud5
5JnppIKRNQ39entUNSYeRZd+uyehc4+ik9Q1Zx3uwyhM+T93UmP7qqBok9FThDrqeGmrJPz+7M4G
X2oip8+Wfab4DQj6Ie9dMRqCqh3fBjV81+70ZeJShNt5MUjsrN0qC135ouCyB8luCOgaIml4mial
/9oDXEXWZwocZQwEMSDL//UAn+IvfjrA/+72Pw5w0jI0HYImycjQtn8qE6TfdK5SCAoBCTItmRrB
Py4bU+VAT1eDMfg78eHHAU4cs0a+uCQDssXW/k/avVN583O3d3rkQCt47pImKqJo/nLZmNH0Scwe
dgMGiih8oql7a7/36Z7ZePtQ6mTnvh4D7Q9hm04xHChXdVUeMvsODO9buRx2oR48zMMsCowYK4vd
OdVq0z4LjuQAl6lw1b2pO/lQn4mF2FD0KpdlCMbp/aeL9+6vnm5JUv5S8/zpfVTE6SL503Ids2RW
61U+YziPBiAt5top7rfa7aXfirM98WrvZKjp5eJx7jQHHds0Q9w2QyCh8aZkQWHpd08K3E4rOpfM
W7Y6EgvAeSlFkmYbn/AAmj0vBYp6gwZyT8qHw5aW6oe8iPwsxezeRRK9ghHR9YMwZIot8uvQmf2e
F0fhhcvFM67ER3idiUDumdoLsRjaRuqpGCkfsbrUVq9UUyTQ8TXFZUt6J112UkC6/QdlU/na7oZN
KPiAUXvZJc1iQJ1QeHLl6wEN41q07oPNl3k8KrUbXxJ7QgqHDXxTyQRN6I9ziIREXVFMaVjMbMBe
NNusKd+NQKtP8t0Q2BBUOh77Q7wk3w0MDu1yrEHqiteIKLFCWPDouNU4F5INKsRke3mGSYUysywC
lG7j3LiaS4/Lc2jHQ0APm3QIl0+EB4Uc0RlvuUfw02BHZ3VFX3XLk+CFQQQUELjN8xKwHOArm4tH
CjF6gr035YKQbfRK8Fm8zJAG7bhjBe0jX+APKj/yqkLiE4bNOOdZKTTQyTn7nmBHVUqVpvFMJxEl
LbQj9SlvUPnK0xg2fI/n8B4v+RYvMe9B/4E2jy9XAigGZ9iUr7w3PCw23QNJhDwWHnDaLqdfYlzb
bYp6Zs7D44ly66I+8SyQ+D0pn7cpMYIiNW+XpFOsSe8g6pj4YGLMdJtQM/PaPw2CV6NIQuk3fYQY
bkOD2SBqcMoDIfz0SYXw5rAarW531wJ+yLyij5nuhja0DJb8NuWMUFUJxnrc4CghF4wkt5K4DG/S
FZbkdSz4gAqOCLC7/U7H1QlXlae60hFHdPBYjj5BXWSbKU5voyUk3o3PI5hNcKJj8yMtn8isMse9
pLm1JcvnmCQ8b/eOKfcR2XI5RXkQLNIhPaW0fQ5BD8hr4xDOzRP9XOiY1WtCP1tU9+myIafMxlWx
14/ahqiaqQFqvk7QxM5+rIdldjDqZf8p9hYG4cpKPlDMIcer5s1cdjUySiaBD945KyF/uPe6O2YY
21jT6LVpn3MoLdFzNih6rd56VzSXhjiPQbdpPrgt8bmZzUFFY9keCPyZsRvWV5l7sff4lkgSvCUf
eBX1K35ZC72ki33P6x/2Y44Lazok0In2HyxcFvc0G+KXJpayVtaIqBuSfDp0Z6crgn4a+/R6rSvW
C0jEZM/j2nxL3/eCVVqr+7x47/cgtKM11iyOdcUjj+v3DwTOR5c5cqY89giD1C+0LwLcxitzO7iy
J64kN/9Q+bt3eucxr1xljfvJL557Ytq9mYUe11W9jH4I2mz88scYCMgH5yzMZDzts3FKVAxp8/Rh
y/MP2XoGX+7MCJ200Ew1VuaW3kfsZV7iXK+wI+gF+MirrUU3l6x08dgrAc10nivCyzk5jTx9aTO+
UhWkds5PQ/fEfk+8pN9z9BqrR4VPEqCCfedkNjpQHtw0PD28i2M48F0Lj6R526Q7nbnM3tc367T6
fHp4tXbVn+QnaVe0h+ysE+z3KmHWIjo7fg1fdcaEk9vZks6KbCPdnCc7+PxzxVO8+055pyE9mFYh
Olm1wE6zEBzRrZ+MYDhEg919aMuZsyfqCbnNqt8JT7f1eEiWhs1h6TB6sAqv8EIUeuU69Z9JPDbs
BW+a+jYKNFcYEfAjmodu3WEKoogIdT3W591n8EZCAANNpJLB4ywf+vd0xaQwEJ0k0JdMIGeb8CQi
fYfZtoM1G9xdLqULcymy8Nzbe+rdHKb5LCfsjDSC1EU4z4XjvTiTfZiduzPKOiZpC+U92YWEiice
Le3HGiVcfLO/CGly9cQ1/WFF9suJmcLjjQ5+1NtMFQSysEcnbRzWmf6abLUg2akkaCPsfepf7vsq
X4mMECS3Uh3Aj1JuGYZbxAR1ZjZTTVSCdLIOwjwN8oBzhcgLglLcZmiR7x+kmftlurnbj6XKEmv5
svZ+/zCCcjHS19g+Tqm++qCh2JUWQ+GXCzHPlvohbw0GNITNrjr7I+W1zg7FttsOc0yjs6/OYViB
3qJwdAZ/32jNzDWnXnQewwOnK6w+KIazuIle0JrarB9Ur5ELbeR0cRXScV5v8/i5fo92eA/mRH9u
+mgSJzcFSx615r0ErQbijtQn0AJzTNkNF+x9FkB9C4SltKzf4DOwowmawCA9yxLQo4/TDLJasPzO
EI6jHTM/Rz5My14hhifaGawdBdWF32hWetTfY4RdvCiv6kr55Fhkmt3lMGqdZgH/nBWEGciCfGPn
RLKSBeXf32OP7OvjFAbF+McWVnSYUpchRA3j2aV5dHPrPYyfV06EZ7YwV1WzamSnqQ9GpbReHsva
VYV5V7uQ/paHDl/+MrddN3vXPtBP29eSkxBWOfHjkK3khcI1hJMUJy2ldUhcnYKyMY9gdpxjf+M3
y/ZF2FHf6yf1KfY5IS8KXrAlHbc0uK+q1x3FC8NjWk+z99H5xnWRJpTFnRzZKAVIX6hUkrfoDCZ3
0nAtH++Yo8hKI/c1nNdWG7zjLXi+fcWrDMmw+Jy95hsE2OmGRHIaozvwAwdlOb5BRPJZ2yuBt7pE
VhvbOV764LYAMqAs43fpW+p3dud2XFcubuuxBr2z7hh7E69HtomDNyKy7GyJa8LYHfU7E3zGsv7g
I+X1Btb5jB3Ct+QbV6SneCu8FAf83l76BBaV41l3lV2yNl2s+G7hFIS2PWnz24u6TpdEbfFt4XD3
Q5fu60mbt5z2wx0Z8wvczl8JLfFl62Mx7l4SL327JNNb+EYIZPCwg9g50c/0L64QMHLjEHz5gpRw
fy+82kbvptLrdFJ0dyB78PZakjM+Sw4nYxDb9Gil2q6cRbesbc5j6MYHR10g547nXOnTZbiug2Kd
+bvKibmLeeUpc1Ggidl5o42O9+6+9tisT4ycy6DyhVPSM01fYxgVPlMMAewC3Ox0+RD95sbB1j7T
73dO8K3R8GceFAGfApMhohScVsz1HAR7nM6ibf3tkzdTQMyLUnr1yYba1Y7SLg9ifixixwyWjTDr
6MiJ2E7fk8G6cQ0LvypX+KrzLdM/9y55dFjTcUX21u39ZrNvxnxBqctFvLdJaiXB9q1YKe/xsbze
NqKPn+EpXN9P0bZiViC57WqKEU6eddYmiRvrAia4bxJoas0YY24NX7BltrLxIjrMEihyjqC7MW/j
a77EiYqwgBpfscOPOzHIXN1vVszxSjHDqLOlZ+0gcMwO+qcEQuHYmnbzgSS9/mQCyNubHHrEBTSI
a8tko2097OLbTFg17BYAbrgPRPIInFtSBAX7HvQOIbFH1ZJKG9/3mZA2t36deVyQl5zxg/ArY/3S
uccGIPuY/p32LX1L99XWCGLEL6ecEy97VP1Fdv+Hu/NqTlzNwvUv4pQCSrfKiQzGcKOyja0ASEgC
CfHrz6OeOqd775maqbmd6t69ux2wUPi+tdabbuucnEOvEKyd/zYQStzZbCXcKTw0b/n2EUOu7mtP
KUw9ve4l0cE7/ukZ3+PNdgtrF3cKAS6HD4++VG0wByzNSZMrLQ0md7JgH53a0imJpzYe36qJK/dK
9/mJ7ATz0kwJOT9DTvgiVc1WTUBmS7ZSC1sM/0pzg07NB+w0C6/sUZ7bI4/eCK57fEg4VcdMWb5O
j1BaKZvXJkEgcUIqe9kVVs4iwYX5tcDq63GVrN3dXr2ZyNCmp/uvEis/taPOgpBZv7R8fY3+/geL
AzxuEMSusFsYPBgAzv1p/qgOcREslE+Hx2vK6N3s5sAIuEFEuT1WZiL9K9EPbvFJDES/TFr7+t67
g626WRGmX4DfaAt2OrtDAZVjSp3IU2uWgPRkylIiXb/Gl7+15o5lO9ox8XRlJ6PTAA8DsB3Is658
abaJYc+aLZXJJIQl4KZuhn6GhZbQRTPfn/e9X3qYUDjhTrbOSIqQ3rs6VUm7eGx8UikPP7XLG7Pl
xpTcPmgsdof3J/Qfy+9t7oMna/s9msxx31nQHV75zp1Bm7NsaEPE26gJEccjvi4ldA7PmUp5QMrG
oRjdwubgLY4YAoGw0/QbAwuGu3mbKcGwLjzAaJtaclPMkROEl3AHl3kxUHU9nbnspO+GJ+DjbKH1
B/8iRm8rbHWJyzWunfFkhkBkmYa4m8xBgHIPnZcvxwKlOPuOx74tH6K6gtCP1N3UqaJLu7SxrrAx
itQEnh5SrWlQLXj99nV/o3YvgfrJpKxNdFtjV6ceSrvZrFv3buo2hvF387lHyBNJlNwtGc3kMXKF
KjfdPDun8KZ7I3yirZEP6vutdS8fVUzNeGnc8q2On29ZxWTELaFQJcwzUA4R534Ps8d6QssF4DSd
mm2hv4v9TsFgmzLU8AkNlHSCfUxYHhRbVA5rfXc3zOoNn4Ql/09dVbfvW8aABaYyQD1QiyZ7Mbh2
brlDrkivcDEsAx2M4d8wrTrbSoBUgUmF+aIIo+GhfLeaj36Baa81RMl51WFtMprlujxBJsY2gnUL
blswyxnv/zqT8Ek4I7yb42NhHmeqB2hUubK8fz5DAil5HpYyv6poEuUfj9WW00hH/KKOm4uwTNbT
2kTBGF6+6lU/k/f1d5fYL+7alXB2+tnzpAxR/2EQfuIkTv85lT0qJZ3ogk33dFufmExiz8fC/2Ur
i0eYftC7EvLL0xbmweDKYR302/G9NFZMd78zLNoOh7WUJtFMeDp3kr3PvWxBCWLY+d0G0iNhM/Gl
k3hEZoRS36wWQlRwPSFPcIvyvaUHhDk7U1GKlDl+iYzEm8QUyRI9mds5HKSp+sUVGwOf1oZ15cKD
JZg/unWHb5h8jw0pNLCoIvQUjpctyrYwH6gZ0Av6wwomj0IYjBTkYJtPFm5jpFzcVrq6wMei+9LU
wPDFa9zz6ddDDXGjWUhJUDo6l2bcQp/kVL+sc43mm1vm7L5mJDLB7lvrPNnY68CIfJhCTC3ktAfK
vMz1hInZTxj1sJ2Xwuhfxw5QJXjX1Kvivr4wVUGQCM8GI+UNBilogTTIIXa30uTCQghDki0qFnod
Qmw1ml/haPjTWfMleEV8iZUNuic2pyyzG3hw4fVNXU1JXQfgNTG1WqRvyS7/IUmaUVr6qWx1+sfC
Uh3dybzaHzJXl3wt93gc28Kqx78mhGsvmwKLJFtcGr2HTld1IPQstVg8JTNMKqllWeSxCUHn9OD+
fTBuqBzEnarPvzuIfpk5YdzDVnZhftCk/1D40CnXpAtWs8ntnb+n8vG5eMkOyhwUPy1WYirCoLvm
ocZ/Lnh2Kud/dr4NjAGHeQpZhRgnAevx/8RmVoFh/phv/6vv/z3flhTS1BhwE9WmQaD5E8CRRt8+
CC3Cr4xLPvV7vq1OocgIgsIfU4zb/4RFcVBGd2NogibIIwf6vxDgqP9KBTC+mgBqNZozj/PvPybC
WN7BQRHliZejRoOAUDVw4PRRol6Umas+ncp/xYnKghqqt3XXOAbeDEE77B6lM2DgcZHsggTVzhsU
wznDJNCxbYDXePWUi9MuusfdfGBGRoTMV/taNs91qjtFCn2UVR8pNCYvUdrAon4wlFwOjyBLEOkg
v6MKPjwWfYFwkMU9dXWs0L6rfRZ23s27hBqkhq4jYUr2i7v9v3zjjiItgHODhFQ4Uf/xxsXV8K83
7j99/+8bF/N+otClf8QH/g2YIbUVhBEl2C874z9vXHmKkg3rCLLUFG7QP2/cMTodU0cIYb9oAP/N
jSuN5px/o+HrODDjNQEMRGbGCHX8ceM+y7quXlmFmwgFFHMH/NYUG3kKv0vj8DyviEtVjlRZ+QE6
J9Xx5HTF/OGG6JbtDI6WnWC9CqcJD5fDQCNy+Pdoy79y5QS90njowY84jZyJPw9QEpP8DJ0Ffx2G
Ttty+6TCIwHwgomELYuMmaxeGdWZBU15+LJbK02Dgiqm3QR4w8lrcS7jzynZ0mjeR6fHfCNQHnGz
vtLUpIwf/v3xTke9zz+d0D+O928n9DxtsZ6Ur6l//SG+8PZlnFDsumUwvCw9vP2yNcDATmV4txjn
yqqJDyBODpfEFnoze5N/8m27xP24MhGnGTNlVKmZdM4HGMYK0purPWzY0zfdjcGr9e8PHmTrX94P
v5+Ev9vkKC/9ers9iH9GVFqhlr1br41wrBzpiBMArRXeh+8YmEKI07/BQnDFIMocww5tcX84ZBXk
QRtxl/QkQbf262TYRkB1QydY5F2YUDBdcGFyGaCRnIu2HKeAwGC0RaaueZn5FFN9hEWpeLcZHD/n
bNtPF4iN+Kko/2HAGrbhWBdhnrm7HxiXsm2nmRshacKvJPOaR4ndHUJkOh71YeaS30qByNxdTxf9
GqUt2Teh4VOT1nbPonxh7yZXVZoZ/oPejemmFk/nxrYf73MOWr05egELMX5EzFWMpZxuUt1SKboK
ZlseFUz9814Ev6QBdF4Imt8xqSDf7Oc8aggtbZHMuvdk9i5502PD7ccljs9YNwijmcr04lBlUOy9
Tue9NJ/EjVvtC09b1omtHdqojqro1Cthjfscg8TSSj+nx4mfBS/sGM3hDZ1F/fFkCI8CYCVvqG1w
VOnh1FTYIxab5BvBMW/UIBweSqNg87uog8rHfoXCub3vhmIGjFTYGc5hNgPT9qfBIEVbNDljRaaU
1tl8k5uFvJ0wUd+puwa7v7wI5c5SYRYqZvI9QhEw8suxOdIvXgeQwQCaD0ngFOOVGjz8XoQjomhM
YLK4w+ZANvGsuIFJjrAVfRR00Cuah5Fm2YVcr6sDAgpPJofMiNkFSuvGEvAhmSdvfDUgJwAZH38K
Y0IWMBlSlV/YGt54h7QI+WpgR/T1J25LEu0sAAzAxjewCTQ7/MblG5MyCu5me9s2gR5eluW2/ejf
MCTh6gk/2RLyXemJD6+/LTs5rl6WgrWVDEwSo6ZJesQNTn3B+QG23IJHmI9o9/Cy1cyb4TFlRm+D
dYmA9aYltr6uY+cORNLFw5v6Q1gPvTNdOJ6J7j0oMy/1E8FHNqMoTp7ynhyFJW6NdiRTHQnIAtdE
l5Ai97HmLUDjLC1w4NzXbu+ZBW0WEixnI3mDUksHBRP1qi1bupcVfnim8XFVRvFPEvQwN8RnhEiF
NwyElkaAmoBM3ADgjiIYJIWstgBNHMovox0/8gt11fwXE0KMBRg/Ctj1ATuAXYK6grDKNvO/KbCe
4ky3GNyzAkCzWkrb15pbzGYcF8O6D3JgSDWGcwnQCJkSPNIsBK9UTJghy3xY3i92iVEI0KK05fMJ
obQaUpJ3AMSSSfnytc72y7YPr3f73s6vk+C79L0W9N2w+QEfzI/SmE7Fm45AIoxeg9eZpC62Iny0
bw8ifHWTqQM/BQYm8wEhQPbfcZ/Mn4hfTrkyfg/2JCkenB81MyTggxqkkq8G8Y05W/0S2IUXBBDN
LRBLXgQVScI/AFHV3MYIhYtic/Q61opB6iWuynmZboHU7cRFTGNOPgZQ1AlDyvZQfWmvXU2yaKvN
L/JXAl06Q5SFPsUWbl71AEMnK06JxW2/5kK8Ajnm5gfvl20uzdUHLJ464Pnn6BVAkwalRgCDEMCC
F926wqbYC0thmXvT0xk/5XcRdKCUqDgba3i9XEVwJBx2sT14V5kZ4q1MHiCEARpUoLTPci8f5fW0
t5T7vOhSBNVMT5gAxyk+HLJVsE6A7glMJxjTaah/Co/wvBZ7S14G5YJbsgJZExCH98dXQftOk+Rd
w2ZTQvIwz+GdS8FIN8xXhrPHIrExr9vRL4VueM4o/pp4L7QyL6fj5I7tew882vXmKRHA/eTCRmmC
dIKp/MQVg/TnFl8C8V0KX7Sgm0k8YW6P1ccNMKQhICvqMLG5hek0GKbBJNBOr5O4EQ+juGL0yMjQ
R/mAI2c8lHWnX+SqY7x1Hy1mQ9gsrJEODQCJzAgYTH0qu/qkfzHMQhLlrhrW8h37wuysWzcEZAsy
BAgXunPEoU9tMeB1bGHOVDp15rRfbKfedXX3FeccD/buPrXZUUZ9CNOlL9lq5i9ed5b9qKD4Hr6v
39y6R+MV3U+4WGXWkzwEu7evrR3H1PteO5tCqAxe8fX4YmDP3H6WAXfax4ENuw1FBE2Ki/iuG+2D
oIG830f5mvb1jG/Eu7mGYEqHxrDvP3rcRWzImymJRUCSIHnEnzHB6FxMHUst7BCOrYif5a0xeQad
Y4yKRohsirOtfSoYbM/FNW6FS9ErfwTMTFEaOY/4LviX1i2eNsF0HjapZze3O69cawSOYd0zCVPJ
xjlW7czyo+vtPvUez+h1/8w7r068x9Vq3ijacCgmJU3XfP3h3biHeUxKu5/shC08/picyeePcUXq
jBXiG9YxdwZPaPY0i6AK7ajbT/88u/mDi65xlCQVyKO55MgVmepnsyafMS8eqiARTIZaQjsjHtuV
vSQzDwVejRfzIz9UuBbvJMEe9BlaIPxbIvkNZ82idKocKEQ+YgMdgCyfmR8CPz4+J4dJgEhVH92d
0bNZr29lB1f8yf0Ign8f37fwjlUOZgMZpkXuE133hhmqi721cdArG3gtw9WgHqvT6f5iJbvkeH7T
d6rT/iDfi5qNGBfLblGFXN6U43xHEBnkDlZ/UX7MnTx6xfla9aarsahJ5ukide/MiG9r+PBMwXDg
sg+7wexPGNxi9nJ1nwBeG3I7VmCkRhE/gUk1vxocgQKgsnEKlIMSSsDkgYkXWqd46mXeeXOZPRfa
pgIwnUVCO3+NsNYFiI52cmvgDPROobHPcNVhWI7Dw3nReBLD+kuE5A7yRrJ9EVD6NPE2xiDLxKZF
W12iW6R4eElgWMPzzZgY42AAj2F7YT5rD4DSOEFtBSZ2vseJG2HFlF8X0RyO1/VkIS8aVwGC1QIq
xy376DMW7QVxpHsJnSZ+wibEslp35Hnr4ncZcw1fwKwB/x9nuM/o7JGSjjqK5oajNLDhYmx0d4yZ
Zt1+uCuThXKxjd21t+7mvlgrkFEwxxvx3cb6MDpca84HrKF0n6Fs+zmJRaR8oqkb8B7yHy3mOUA4
b1Z7+ETU+BjcICE0Q9zfpy4kfzlUnPXEUfuA54sUxIHAilN/4Gg4fPjWhuw/95gBKNzdfSzEU1+5
ufjPAS4IWxmDeXFeknXGFKHziIrHfamogTNrF4AV5Pg0aRyRWYPGwDMQYZyMCrD9xJ34HPj7I8qY
HMKHAmTdqajMMpRpxdm+LnqmjrMmBIibabE+H1rr7r1m6QaT+890kc2un+fP9jPCx8fwFczfWDlj
nNrnaGrlL0xtl+paKTyGplxYJJEguCGnslo+d6gQPe0N8HtL+ulaOGWf1dO7fAqBRMOwkdfo5NYj
1QETvMbjuukHnQ3iaOylh90PobzXROu6u+/VWFrcP85bAElg4l2GzfDN7WcQ6MrFdGKqp9e8cRiQ
Piyo29nncFCXk7kGi0D8wRaob7YXyas7q8f/HU+n2zf2751z7paCurp8o7IkD2otul1QzxK79mS0
2r2XhLcYF1tHROh9cTsfkR/wAQ3eDDUrCG3jG5Y8K32M++zrHBdWnA3vdmZuMAb1LzF3tU9LYfMv
4Hg2ZtD/IeKcg8XixIuPifOD0XJAxLf1dEd47QnozzZpF7jSJaEKgUAJJtsE7O7hGwFunpAaGNTb
PdyUwdU82Cp2FcO+ApAtIxUSTL2rPLByP/eVSN63Hn4osTfu7qLXcUOfsW56Obu7V66uIG8jKWBg
fC1CD1B+eI6l/cPXtn10XbyOZFwCJsGPosqfCla6QH963iD61KOW10INhLPZ5RKyJKPW8csjKNzr
o1qy/l/WU3qWLVjnC5jf40lhd03wpAJ4ELfpDxF8uGfjAyhhiUcR1L5Bi1pg9MeC+4XHtVs71dvg
nfzyO4XalVjK4QXdCrcb15J8VJAOtmDvU1Dyr2KN7Rc3w0Hz0q2x87CKf2Jul+P0Zsq8V2hGlrYc
EANlpq9C6eAgYQkUPhpaPgVg4ab2hmcCesYI5Wk/N8jUK8RleQ+XKF0moPpIbcZxeX5zVaue34JZ
h0R+nc8xFBgs0pLmZ3MlmZsIt505UewBdabZRJWl4DB47BZ5SFEto1SlUIHB8v1dcacZtuYY6iFj
O6icfimu0P1sBfujm+ULxL50tEnnUrwwd2f7ifHk4NZ3IAoezzxN8u46sYzOmQIrlrNkQuMyjvl6
mLJnazzy3PLxKzGj1c17RI37WkxX2BZotjoE8gn2igjMH2DVq+OYjwtiJ4OapfvkNTLZHJEqToDZ
NnxPwOr4SuiD62qerpnDMKEvZmxf452Z7ZI1ByqtX/jrfxtBvmiBG4cVDaq4qCNs/22Dc69/3jwj
hvf2WkBE81KLle09XzZQvFroEixH4ZlR/AXsJQTIB1B7q9ely1o9qz2m/q5mmMkqpdlaCetJbATn
BbHOFtSwC3ZvWThE7ScSlXD40N5xuXbFmcSl7gr7vIHgGHBRvWcIBnleViR9WBz8c8IYYFixem4V
tGiOtqw2foVey1IL6xFeArKqKbUIJMHiwaXjeo5u9RZE0jRK10jePQNr3cvuQeAEoNmLmuppTgJW
MJesVxBiZTmdc3aokO0EogHu3145x7Ued2Z4WNYu3aifoLUDbTlEQqhE1+XdYeV7fFcrpHtJ5UJy
kwA/emu6XT73/a5eE7BBCsSwE/fY/38ncZ062ac2l0DQ32QoG8DnZ/ssE1VjFjv4UYA4c8UTjzW1
3sMVj5MdFUluPrbn00iH6iGPyvN7hF84Cwb3prrUty3uAZlbuNxtPhRcLFepkhzhK5v38fnUwWcB
S58gHovKnfRZbe7f0stO1kjb+qj7LiJoTneMCYf3a+u0wdOT9qTqYjz6ed3cqICWtX2NS5ZxZaYH
T7/ZqzyddHQMEGhuvq+7xxSbAqtWkGp75yML6yd+gDve6xfP4fDevCnh4N7MNn7EHNAWL4BhecPR
LY+TTU7GPUDgyBLjFLB0QBE5Xo48THAkTGk5tTkDn2qQuCOnjBYUL7wi5N3ZiEId6IaW4VeAcemn
vjvv2/2o2lZgJXYs27gLiC4W3qT+mKViN7MipD5ccmfd6ZdZCClcBVt/p7QP6LjOhnf7mQbqMtvU
s+tKkRxFtOiKHgcmAJayYn0CeJ2E+AO+jiqV7kKCZ+o3hQd3iDiF3WVtzIq3bD79ktcvbNnN6/e9
sjNIH0ciMug7q/gyl8Nz0IU3/+7nMzpTUOnGhzvjnuGwMP+0Uluf62s2jmX5XY5a7nmzhuLtVtBG
3ji/S8alhqc0bn+xvruQ6WTnF9w8C0K/RMuIuqA/yp8oDOk72m9hJsdHkS3wRY9NE04lT4zcJ4KS
TjDvPqyXe5TWZrHP8CcXbYl7psYxMImq2imPk4MOaTqx6s0QNGsBp8YVPoS2HoOJ20sxDLMX/bat
PzDAIB2GWVFwMzZJtq7jSnEG2+pJz2NU+Q0xb9VH+hyk7p7aykZQzCuwdzpr9IDaf0hBTOwqym/O
pPckAX9+fwqYT4UxoyW81mzFdAIeofQvl4AJR1kyBUSDj7XTDvoNXkj48aOxeb3lbMnwSaIUIxlS
SE4qzhJ44tsQ4R/s4drZ4UnZ6PZX7z4CqplV7uJTwCTyvVwbXrXs8Ch2pdTO9toccNEBwnQlkSpI
cXrMDGNKH4gYcNipCBqibsYZ6lghlLMzovzO6zzUxYsefQP0tEiAp4VRW22xPym0WLhJfJOhR3gR
aSCySmNv4oaKFWrP4GyW0M9BbbuZdCXa2/ODmBdIS/bjU6TMjBoiM33a3ovHKBQ6cBZUEUSCNQhq
1tg32mya/PfO1T1ma3sDI5enW1PcvvLIGKsUwSN9grHkBDepiKaa4iTfDIkdPr+fXjcPVbgzs9ph
SY9TukI14kDnlXubGXa6V5b6GsdFdKdjYKcuwicr/jHl/l/1h0IQh8LM0DD/FlR0M//WH2oEHv8O
TP3t+38DUwCqoKPgXqh7EL/9iaiCWWGLrivkhiFt5FO/EVXwKnSv6vT/W0f9VgzhvDgdEzAFkFZF
/q8sDfm2fwGk/HHoxgi0/IFMJVonXftiypjvC3y+gEW/IhfgYtMrQfV8UXhRy4sd+T9vhG6u++aH
NItLSwA7jyLzjeoluwqL2fBDQIFGd9Uq21sXyu328QOLlOYEoIFstJ8rc6KfVDUvTPNN+NNsy3BX
89NEbHZyUvh3iREFY67+XbrGBUHMBWwIRA+pGDM+VJUY0YJUHfl7ArD7YlFJXZyPa6r2kp0GByd8
h0TIDncnu1pk5NSYTYWsULBfJcHKnt613hATaaLmswVcPqNhhcs0475U2E4+VTYs3jXJIjx/kFVZ
CpC2FCyYVzC4lGO5wAcHI4L0zUBYo+GE8KdQ72Ni/KFqdnrb3ATW4fTtdlkjQVEwbzGsGXPPimEL
OzZCCwaXavqGtkQDgjGggvh5QZdM9NdksLXRrGApaQ5IlKBYl8/rxLx2G75NuMbTBqkALPYvZSZe
v6cGMxXYxvZz1TFee6Lh3zFKfa5uzuWHzfCVOGA/4uBI74x86jbQGiS37N3SlwpfDsjGEo+Y1EmZ
YMoTeXMGUdd/ypL+qCTq8Z4zHjwuRXpepfxinFyjvCqFMGeRF/nnVTxhkJUwO8xujHUo2Vm01LPi
GXC6DKy2vIIZ+RmgEAvuLuIiMs3E9xIvvDq8d08LZ1sDT4fXqt9q/AySuuweS4ITwTuoJo1mTn5b
fhipqHd6tmkMo9FL3/sMbwsPRgw7Qlv7RkaGikdM3IC6qlkkAnkluFfZxvcEmiLKSZ2T3GoQIvnj
Nvi/hDLNeJLNV2PJUtAyTDFY+hRGpE+zuHyrEkUiEwn5Al/GNRhFvexRdUA7U/jiE37+DcPjZJEH
vFyFL3/QYp0ro33eKNhplOGLdjGPyR6qXVSb8sV71HxdqFPdXJfijOkWQ0jea7NAH8Fv/Anr0aSY
3wPzwD07B+EuWWdjcEVRJQV0KDfsOvTvkerJnn1vTWwiTpmTGU53vK9KLBrM5zyJpiQmzqtlusyl
NfmwwhSxG4MCM5laMrzrzfAIoT7Kuv2QlgXoAU4bz7H8QogDB/sMLxBVEHQlimucKOgsyKSBjSzC
IG3QagijO/PTTNGezfKne35/yIxxz1+wkfDAuniw9EPEeK/sKG4u70OHoEcD5dhJM6DDyzukJBII
dhB6iKFiX6NGAEYDdMwME4BQqF1uIINxMqxyLtAoQbInsV1VxFEhmrCgH+HzKAfwKvbPg7J94Qon
w6FmD02+fw2E4YYCrU/waX4nKkFmURBNVUOdBgseIB0DMfblOpBreyI70OUXRSypI84qHdGftyFT
ejyG5ZFFBctI4di5eE0sHCEeASCOB3zb4FKxAd17IU3KbT4E6oeHw5X6lQEqg2jgGzBnsgY0i+76
+aVtwM0RsJ3fuveRe1XGKloCMSzg/U2dG4GKtHbqSisPN5y7kTvR9bXOc3CBrifS25nJNt4WeK5d
hGW2JeZm+Bnw4L+4xkJ8115Lsrfyj3Rek47YYJfPSwGBg4Yz5Nuw+ikQq4mN+Erf1ONrwVI+vZ7y
H6Vx0JaU71lMP3rUd1iIYD+961ciA+10P6WGnsNoXb+W0nyKDkgJlIDKrdobp4vV+jW1AxYvLdmP
FQpk1jNz/MS9sKV1Halz2G8EDFcRUAJQKsOT7e1uA8iSvSrMIUXfJsE1asB1KHSxrgcnNWJlq/FL
OWmnnBEAqkQIvDQCpQXNu/1kCe79izf6M/X7lFNKAg9TgwmdJc8no7PpeZuTxhMw0k03/MEwEcYY
dS4daec/e2uEHSbjC7djq1gWdquhJrK5i8oyxhjgtaz8gnGSMtL+KF4NdG9TrxIxpQINg8GqMdeb
wfjXEXO0EUh7X9kcpCLDa1YCWuwt8dEalDh697qweGFisyD1ATenTC4RpUF/f8AgKh6zVA5SeXGn
zCxWfI28fS7ST7aXfvWrKPlfrL9+Ka4hc0C3mWIiKxqwT/5t/aXBp/ij/vpX3/+7/oKbJmkaBk3Q
bvS/Mto0UdD+8qnf9ddIdKM4g7RjYIb4h7GT9n+gL4lYEuiKRv1GQfVfMNoMbSSq/EFk+duhS+Lf
ApPOipoX5UNOPMzPIdRefWaug2Lr9BNs7IDvom983pk29c723pJMhfjTupEhisTQ1ioHBWd6t6Fe
XyQ/987oCR9OFpTvRg4Z9Cl8J0xn8QZBhvkp7e9nB37nTKK4moSKsSNDZHjiy2iTAgheLrAbqGyh
Vte/D7I3oTmbbPDjVKiqIOg3VoLJNA4JfE0AYDV8wxsmZPy7Z86BQGuVLBA705zXjhL00SXUfbw3
nTyGLqJmJtNPR/mpgjwQ19tvhidnT2HG+NpmmofRLbohS3/a97v/uuJdSwsoxxJNpeLWpZPqrLRB
tuTI79BMscSnPdYCplWXi5t3EEoQL503yqIIYGETTLBMdleQKjpZ+1rZ7VJH/Vg4bdRHg4kvSASh
GwurSj2MRIphlkf9HE5El4+KpwR+OPVaSxl0K5i6dV8AhBlMVwoOCYWycPFGzJ5tI1/lBs34MwbX
Nwe0ehbbLUJOwwXyBz82wZCIGmEuhvWgAMBsRPAH0DLDp+BPCBgoiVNEdtADmO9R/fg3LLuWzQHO
yC9SxqiViXgN/SNjEZbI+QEdb3Dq91/inlGYEiPVxk5UtDFUde8x5ApMQC34WQ5zTbewrw48Esyg
HvvHWtKjpPmZ3FcPKUAs41+dF1lAVx9qiBgrPqp3bjltAUZpuOL2rgbIyZk4ZKb73EiE3fRz4Ym5
1qKWglK9j3k8L9gXgOItw8YUVsqtoEZW7osW83CKr7vwrT/yxZVRZ0Wb+XhNb+a+H1PE8zNZhQoB
eUCcWIumswe1W2vkhonZZ0XCwiNC5CvnJHouHs0jmog3tyDemcZ+JMGw5FM/IyG6w4W7D8FwOqsk
Mybvv4ycGhI0cPJXYUb00pycXxUtJ5KLdat8MxOndxfREGWzPrPTEyKZ7vx9Fr4nzTWk5Omp4R8F
WsDMVWaPEjnlF4VTv7xEpQ8Fh1plUfgZ5s84ZbUTR6oXwtTKsW3qO4v84ETDYM1h0uwUvuqi7QoU
SwJrAIa1ZSbfKsCAVSNYmEaTPGxRmiC/+JLievnYjokkZ1Q3fVwHdcCU8GVNVp3iKpwa6m3JfJ73
iWxV7G9TSPYgZ/RXZ18Jc8k8ozZbX3mqLrew28MKuDMSZOpKjM44ARWiCw7Z+yljk0p29H1jaeov
C8TUPsPrgTqum/Xhyt6HVWMBkpWAJ4Tng4IdKlt3fDk+RIubg9FbaU6xZUSllKNayLgnSZ6sFkV4
2w37y/kWDoB0JDk/Fk23aMjuu0luBgCBPlTov8veb/RYGGJB8crZhZFPM2WYxzp0vb43Z2f4zJ6M
0edT4/B4ZOaF+6O19GP1Iw5uz1wUEcr6Fcvx5zjjlyHNuIOFIswpPfXzQe1wtuwJ4Bmy0veHDyY/
RApDPR7Bb6ZfqKPwwDSZH8I2E6Jb6F9Pzw/0iVyjikmkYJ4Ka4X1rPgrmGh0Bp56ZCnaqsMnKKOV
3vKnaypPFAQtiSR2hhkDvaINkmTlLH2jFoHQJJtJpSMZ3uHjYyeZYWauGM074KV2tZ/O64jW09Ni
LYYI9zpRLq+EeXfoDhWTT8qBZRZTKm8g3pVzxGUy07BJf3MEY9/DhMuROelA9CuioF5BAa0sn32n
PdT5sGROKxxw/T0NFF8s9Eh+T9pcDbj2fES3f2mQtTlNn9rTWpsV9gkU9WZC4RQWbuq4uVNb0tso
H8ydFryNwFoA3atHCqHV+AjFnC5Ce7PPZ2QjPvdJcK3NdsfkfYNIlBk2xhbIVB5W9AaizikZzB8U
tyZ2oJJfLc6un62QVvkpeI8RAHPZp96KCCN3xv8eZoRjAb8uv04puDXqJ4iYJhqBUTLJcLj2r5+D
V+9bP5tdPCMgidi9jTIsc7oXIrA8HgoEoD+M9hxxeZuAwUD0Y+JlX/DonNoy0gpelz5R3AjrR4RI
c8w2Sg3M25w2Mwk6Y5YwAymro3RvbJ5U6qwcpxpXunlbOe0caIYZ3tTvjnRJ3breThv7vCx8KUoX
EsgAIVTOZXY/20MS9fKiUsz8ByMR6B1E+yAH+2rXlMbVpg0uH1Mgw8JvF/Kb5E8YdGZfGkP7fJFO
F5J+gPxrS1YBQ+14NU+8rc2AaNTawdy5V96r+JqWgT71Sh3TxTifgNl4quQwiDQqfB7mBrSMRzDN
PKXFdstrlG32+rhNUAROD7LgF08YXVF/GR1FQeFoBOU30srx4vvW1/UGOy3g0hluqrjKN2DfpHcz
/MxHNKyllc2cxiuZzRNda9KjeqBBK2CdegrnK75/M9OR4Mkcb4qdIp2a4aWLXWxxsyxcd6spb4Qf
aYyTVGH6hqvFxMpbL+Xqjv7Mrj85sDBYL2fCw5nREDkiYdAgFgK470gutGqsUhXvosxv3UGGp0Ad
xE3C19VbAuoS9kUYs7aRRc9J8Cj9jo78vGKES0Jv4b09HGzKN+TRzQBGai4GAOf/ul8STorqVFUh
5v/HeEb9r3qSXyWs8Nfv/119U16jG8HgiHJaE5mb/j9b1dEvafxhmiYoo1UYNf/v6nu0eGUmqhvK
r+/7k5bP1/Jy0PV1SRkdjv6L6lsZ6/h/qr5/HzoygL9OP4uyOpPD8px4ENQcDbbvyzkDMLxgWn5g
IioyNQOtNPOw3rEEAmvQOB7UuBksPZgems8K7xE5Kt7x8yi9y1L6lXgnvN3oB80Lqitb3o68jGQO
hxq20QxIKre4hdP/y915LTlupV32VSbmHh3wZiLmBp7eJtPcINKSAAES3j39LJRGXUb6pdCtotUd
UpeyiskkzvnM3mtTBfqJ90WfikIE6261uHAlsAk/ySvNpdQrQnGfAOjvfREo+rtOQh5gEdbypGmf
ardzmlN7LLdvAgyR66IJeBV+H+rbW0GwNHnn+MrYJJ2vrhICWu6ZWY5u54G7cIxweFF860nzq0B5
LA8ZUXyj+4QoonzgUYZqMHjZvndztn6nOyITM6hdRfWUp9alSQHxs7whqo2+ylk7i6kY2P+tjQXT
3GvIDc69YBuGza3ziE6UQRlFG904OgcEQC7DpVOyHx0pUBjs0TfYnrip0HVkEDJg6agHjKyezFnP
4uq8XfcBzztDVXsqDZ0iUB9Uh+nS7radOCUDQ4unelicqrnSkNcbYPScxSGy58rZk2k9J8mOi02g
GpZshevK8gyPXOVvAIAoRplxD/DlufJJ8Q0boeXLuAQxyDCZgDTnW1HvlG7Ljgrno8s4lf4MntDg
vZR+G4O4tj8ezHyrA8G5OfJIs3E1uFXdEvMmgFaCO6mki7kOIOlbQ3AeHIVwO9zayIt6rNvz+3Z0
sALan3QYjuKbJ+u8HkyQDCHNWNF76GhcHZ769kF8RCTU+8YYsF5uWQU/RiEfEwct6N0+MYxgrH4D
47Keqnk824FgF2tfvvLT7TzELe6bhF40Y2nY+eaGufucLDZm8qLLzFQ7afkiwRw+63yyDN3zHBs9
O6fqqCxh7I9HVBevtyJUQuXRPGm+OTcDlvYEPaMZYN5DhteTHmTrGu3WKXWzF+pMp1/EMBbyMAqt
lbSr51IwER0RpQBuaO2I+ekWEIgcBbd4V6BAL084c5ujab4nxVdWz0z54loKI9LtFSFP7MaNF6NT
JeIbacZ2mJDezaHc3z/OisvWsNqoIReJuYiZxvlwNgi0thl3MZgpAxy4tnxEPSwemPW+w7vQN7fR
iRrnUvs1Ancey48S/0A1i2AotYFkOUZPxc1i08YWlnAfEhfpm9B4ASbsso381miBPpE3rFBfdbvs
MbmeiEEv+/nkIfgS5ziynzJxps4Ffogd2+5uhbjbIZaOQJiVxRjNdE5wj0oPbqy6pnQQ+EJxn91n
Aj+8R4mx1L97JoS7kZAU9l2S/rc7OfNns9hvt9LPX//9ViJahQEO1kRIlcp09fxwKylcORomSREU
pcEm8IdbyZiygfk9SWdRJwT3952cRB6TbP03hPgfXEpga//sUvrvK8d0+fOlVEeqeNPTUoCZv+Aw
0eO5QGjASlT8DtxIeDczb5HKk78ctQVZdQPqp1Bc5wk7rN69y8F1X1b3ee/yYF5HrMgZo2hy2YXw
OpJ9WbWaNxZknwuMYRviO0HW0L5hXojuCvP3bCPJObni7GkiJOv35uyS595hvwBrF3cw6xoPRngl
j0vVk+OdUCfhLUxwResXXm/1ibRfHMbtYFqLyvyU1hC5o+ax1o+qq7rnKFShjmM9uKvnxbQMytSL
lxg08r3ZBr3+jC3gPR37B/wAKtkNmXRAUN9tg54hA3iTjKmyZMEbmokzfgF/gKLtoGB3W37lTEaF
k7O+Ycj0AjYHAawVnmPOKWENWUm5epEeoGLQfe215ixvsawjAI6uqDGIWEEEWc+KunLhZYzM0iLZ
hwKiTUQOfYamw5FRMTHuR0UXXtoHy0SP+zb2a8t4rSFUkTcxqAhtVfAeg2uW7n305fhVchRUCEsV
gTQ8CZdvyUfs2k/UhQeE0qxYhiZATmCCzWLsjYFDfr+3UDNI6igaVzl1mEkv0BS0D4oF64iuicYR
bazCIMcFJqF8NUjsqI+bGH4WSmTX9HSMTgrjEzdvd4OyEdlcSrNW2Ajoeh0DtNbrwL3KMbzLz8GA
tr5FytvsGfaAGfBl4F4kMofmXHsiU3c+KTBHPwrO+8bDbQTqpqdmyIK7U85uTUDMvLkTIy9dSodh
3j/BZ3M4yufRqvHO4eiqOyAGTwJSRMvOyaLx8eqgYmspa+Q5UTCv4pw1ibUUlsaRBYa546jlOq7m
7Fko0ekYE2QLtFcNtHaoQxIGxBmj9h11DTYHSpvqYQxleEH1+8fUiMNzYQwJAOz2KUbOx31DDybv
CGiAGZBxFjs0I+gjTsn8uuE7ZigymXu9AYBPZCfkX+oHLgQnORRT8afeHCtySL79iOetveZ+9W6P
FgaU5TSkYapDe5Egq6sZ7SzEMDJskDLDGwIowWVsUKFAnX5nch88OE7MGZqFzD6Zp1V7VI05d/c2
phpk8Tzal4WY72SDuUTZfPTUTmlUbiuLa/wBfPMRpV8FNkGYZkga0UnnWdvvdIYyxpFNMhdWs2vP
+4jndwBImVm8C8lT/Zw+kQm7vKDigVnAsu7uMABFq0+EaUbGz+0rST5VPlx5D80cTgecI1ree1ss
b/O+tztzXpJK/YbG0eidMg6z0gPRgGwLPKZLqmm3pi8cSlyD8vpffWWZGIZhr4IZhmVMn/SXawzr
j1fWr1///coCPKtMndS3Pmq67L5fWQRxGphMZV3+dp39eGWJJhco3GPtG66cm+b3K2taYxiY03XQ
ylM62T8Cz8p/ssWA0Y7QRYYAgICGl/ejiuSim4VkdrIQqAQN2TzCOIdvx2zfrLWQKFrUlJPtltnD
aLOq4KgkiNiXvMQ7k4ds+VYHwua3Dvy9/z/nz/v2txXK/7o12fYe3+rq//5vEjr+eI/++HZKv6xW
lIowPksZQXJ2hwm9WHkQEtk7R6KHMg011siMcLoicLCxpW5t9WtTbi8NI248anMZIR7CQ3RgzDWY
qlTrqGWiBrmMI4cjDF8/p9mFJ/yRm6lgytj6yW3TlYtqflmeal/dXWYJ2sXcNR9Y8LXPE20E/MhC
er5ALhH8DDwLZlRPwE0RURcWWHtrHwee/WLRnA2r4eyY6VZlMU85PsozIAuEgp/SEhfsbZGjvR3D
7r1jE2vhOSldSlukDUXr1fr8mgqBYh7bcX9f1YfyGTTqRsUb+4YDYIaL6NSULGzGQNoh5yw20Ubc
pgctbFqiC1Gdoj7HvLUBONbNehSGDE8lhBNXKHAgbAOZrTVOJ/myIsIt6Gl/0SsMHUPoIqgPrDv0
E2sPji6B6073JStgK7KwmEszSCLz93lcSCEeqYOu7oBap+Mhp5dAflRxzyBB7/bKgp4ybI+GGRJy
Fu0k1WtLQuOqoGJREVqP9Dkg6FjQcJHVFxcv1tXACtov+4OyuCv+dRGv1XlrPVzXxb7Ya0vjrV1I
BqA79dBGB8c8v6K5nJrAyZ95cZtXIfGLPfsjfUCxGOBevdY+mlwztwdW1XRHQMWcnJymu0/2RY8B
qnDlJxxRVU3mmKunL1z4GI5p2gw7GlD3S2BXrBf+CRl+fdmd1eVzKXjYpotdfg0v2m6uvSqkQSu7
O4trEQsxxEqCk7Qz09sQdePYecgIkznAR7VyrmVQ3cO+JLso4WOZYzr2vtiPN4uzsEiSu4ckKlkT
VSEh982Z2J9nMfIrTfhMO6bj5UGtfzue/+en7Bf92FRm85BNMxxTlRXJ+OXJV6sJJpA0ZG9xYz9N
+q4tzW5ALh4ZTYYtvVySWQmbR9g9rLGPb6k+wEGxYPnh7PyTp/1PD6AfXsZ0FvwgY2su8Tnpk1YI
pGsbyLn4cK668K//COjTf3qg/Pd7Naf34oc/pL3EY6nknRCMpafps27O4hWtPlowGwqULdhv8IJ8
4ZGi4Nt/zoxC9p+fJPL5vThXXWy70ydI3LbX1fX6JtVbQdnED3Li3giKv9y8KMHb3MMya78E/BwJ
T5C0GB/Hx+Rw9rIAnOfCnF0DE8Rn18+ttf6M3JcB/uz4dpwdZ/v9J6XtzCQ0RrXfecZD3Z4/pPP2
ZV6yvaHOBF5XJgt8HLdkK2DHMD2hXU2BwFpgdic+TbishITZNStgEhyYFbtV6+vWs9Sa3O89SOB1
TlRbgscj4Eep3JyafxE9KtRr0Sk5A5/Pb9HrsB/2f/3uyxO7/JdF+bdxoDrlLHFzTUiFH978c1Ib
RanwE1YOeiD5GL2PUnie9Po8kyyZzQ3hhjPLeRyWU7ZZGlweskX29v9BQf/zB/5PurOfXscvH/hO
J/lYNHgdCQiCV3OH/nZg34cRfbQBq6NFZLZjsBsABu3XaOXvLV4xu/ioP03DJgRo+ddvjPZnT6A1
CRVMJKYaYVM/vzGmctekOOIJzEwW4B2wCNt4M0ZUMo6SvsjSqlkXu0nxxoEqksto2RdYiaeqsl/0
s7/RTBuLM+75cVjEBIywGgz7g4QtyJYwfnkqgIPZ0kAGZXw05y2IxHR8AE4I6qF8vhK7DpkinelR
UP7dW63q0w39x5/592/tl054aPLoVlkEbqPRsiQeMY7aoH48xx8YZzPdwa3g1dt4H2NLEdESvMpe
Mc8PI9a5R2MPFDSQlnHuSAvpMUNjAM+aO30DzfS5WePQ7pklzs6LGzZ2V2ZT6QLEwI+nE/Hz0mD2
TfpQKSh+bURGnLLpihVIdSiQDmAvUXmegOGz1ujPztcHPK3p/l+276X+xg7ihX38EgYngrq5hqUF
fCr3aemx6aexAsSZ+k26ZQu/EFc4Id+MMF7cfPJQqD28bFcexlDwIPuuzgHq/M11J+ExOIwA0cOI
ZmppwD9cRsBKnq49XP6Aat8EkQCocTUuqiA/RP3M1Fz+UBACaDhMc1HsWQ/56bGj5zIDVBWCskwj
3ltX8culuUpnrrUpLPx5dglqm0tmnmyY766iPhCUmX6H5+GJqj2BIVh48s2Xqwmo3DwKS3lfv3fg
0s+AWLsI4rpdvJZYF4oHjM5kDECvVN7PULqjhxzcGM/MQ7az9uc+uDV+tLSlvTlD+pq+1W9m691l
X4SDc71DZ5ZQCsPzE3BNsoTSgtEB7oTDdVouqhYQ0XFxYwV/f6nWRXoYgivCBC3IHoXQWCIK7lxU
yNyBwhMpMKYdj6krjO+svSQaoO1ty9zygcKGLZXaf5l1Dc2XRu6+H2ip8eQCE92hCFb7sMrW4qeB
jeDGtANfWziGRXBzjcV1Li3ahbWuXGJivQQVPhmCSFfLlTVLP9GNecZMJ1GQAceWksMjF347TG48
LszsqDLVhZNHiXGKdvCNn8yASAE+pzmUVf2DKCnULfuczxq1Y2+30THCsYHclmLsLX/uLM+CWVFQ
nhG5aKITAVdyP0UvOozFLdqZubYoPvvWj56v0LoftTd0hddwY9VhiXgVM5hsG41d+9Tf1pGFdPFl
ISphvZxskss0UNZ4HwDkn0ZEBgvMWKAEVZsyavjIWA5k7nOSHSTjKUjSg1B9jNqxEN4K6/0uHkwT
lnU9QOfj03/RJj1Hj/ZV9PL2LVUo/DM4fmcGJZjI7ogQa2AS+SJvUPMSAeoZ2jduH9/qt15ZSU6d
MYdKQM9KJFHO2Ep67SuYxqZ/dyfGIvDKsFLQ3pZrtLasM9YYi9oVebkkW7AVcVLNZfnPnPXSejCZ
Vx3TgMv8ttMe8MuS44WtunI6VH07bHnHvz6m5ele+ONZZmmSKgORZL/18zEdVZVQaxFTvfikIR8q
i13xmm+HVZ+7SuVYRVACUFeYIU2XR5JSyDONl1l4yttzPA2BNgBCkTFEa3ld/ZYB+T9eatqfH7Tf
X9wvB23RjMlVuwP7wC25z+pT9E0MdgPDjQ9d9hWRIuN8+UDLHRAZCyUBP35wUd40ds53oprs9q23
FfIFCuKomJRgt1n1XorWZeT/5/Niskf2h/TYkDNaL8THMsDnb4CMZkcDP/CGFak3ljGMj7952yf/
wi9vO7Eq6sS0kwyFveHPb/v1dpb6SON2RIy8O6+jORnSnKfqbEKp1PPrMlmrdKKYpFEksIP/ux/7
9M79xZ//axM63hNJSBv+fDGQg36ZjERMTKdFHIidk0iOqjnm8ro8R3YJpIqTZtIksJROH5TnXHPY
bP/1G2L+SR314xsiTW/YD3WUWsXKeDanF1SwEgkE9huVl0jLsV6xJ/KoAvplOdskt0nMJtjcumzP
WgpXMurtvNreKzwezAO3LWGv2O/IHbDjo0XPn0E3ouo0vDOqfFta6whOYAgHmDpaZ2us2mlYC63F
nsDlDgo4Jkcowtn0D2gIDPzaOcLfdbboBpfuXKSe5M0h7UI6LK6P8Zu8ptv0kzlvUfzVfwp/U0j9
Cmn7tjGYFs8mlDgYbdovD0HfFE1llb9VG9EKx2sIBJYtE7onTCPTVIDnE13NFI+MPWZTLC8hVMvg
wOxaN30Jnfp93k7i57/7kf2CC/vtlUki9iRRV2TsPz//zNL7tJHQcWmwnfVKYbdJhKA/cC+RUDLx
mLCjUMMJ8n64e/AMMBVYfhbWMDzXwxojPw5yGKcCsjmSChTnUjwNwa335eoTcnqBVo6UjxdWl9Nw
5IVtgk1M7xElpAkehWbb7WeSK3rUk/51H+/LZbQT58ZGCKX32oVmUX0Z0bNWOWzKCySoQEQw7mtL
ElKMcYF+UUUYrs67PfctHc0JG4CwOKP2LJjYzisuROy/l1mjLvgKWSG0p61XQMO0y7qvV5OGE8xP
tgbihU5olz6xPvQErLblGlQaXKYpckY6otpU3PK5mEPvIaIYsSABIb3PUWvlT/x9jSjbodNHD8s9
xoPmJTBryRQ6UyCZZ8vhDWnvO7ZxufE6xndCgi5XX366wMLmdoXMnk9QIf2BDzHyTdF8TM9eN08y
B0ESF3PmSHgZ7PvuWKGfBNGHdn2KxPaxEeEb2lfQfFhmi9jcZ6wrhvuqI4vuFjn5lNXzzRB1wW/9
AVuoLUKMCU6MpoWfCMjT0poX2aI1ggmJT0ftqmQ5Va86uTxnTwxQ0ePzM4k8wQc4SaiUGSKc5+iV
lbJ7ZQXwbC3O2YyqXufjwfgGttmsfAYeITpvfHC6/RQVJB215bC2fN4b3iveJqY4U7IRyoEZvwzb
EvCQ7qlgcZfQwnakRIFyv4F4A8yCCYxIDhkKWDfF47C2YteNtLVVvAj0gBTx2wx8EA0/4u0cZg2T
E9bJqwSyGfHyEhEzt2SOYMB6vYUXULjrQTxVbFmPSTwDGzWBrmIBSLBKKq0S9HuoWDVeXkBT7OFF
b1xflBdwUWnyNGIyZUdEE2ax7G4J5YEzi4V+AIpSnqc5jkLVMIRM8ZCFMh3x+Of6NmffhMQUdxCA
5aX8YS6HrQ4foJg2X4G8lQa3SjyZyGeYaUEZkqPecCIwP5LDEbRbOE2SpvYeIwJl6+Vt+k4qHFvy
QT1YHH60zeSZd76+iQ7gfpNZCooJNbJlS7t+DpPNV17OWMKqZ/ZkaA84a6Ygobibk81qcrmCbb65
5icfPmCG0pH0IgPVpu7251dB3XfSLo9ImHoYmDUaAk8oT06XBaNgL6oLOkkR0UKyrdb8GEe3bB3J
xV5+5MeJ42OV+gasYFNBtAfDeFjlvtQ6FjEaXgapY8MHU9LmPS8Lcx7l7zAzXjLOd31T7Ng6yrrH
hGxaAWpE3w4he/6B0eItJOqGdNjfoV05043FRBf6VE3/6567PVawq40j6kGLYct3Lm+DcjvhnN5g
9zq06zQsDirLH7JcvIpHpYdRjxVK5iPTkC5jEuxRhDhbxBaJIDb/98IM4Qax4Ttjb2cbCJpQ3WLL
Ih22eWbbJ2isC8lLYP/mLLdEkLRe+VY9k/xA6MAxmINSimrvVn9A3ezw7VWzsSObQN4YD/rGoMER
yK1f1LHzCk+HrGLAkfT30ols2yBd6etbVgRfIN7PmRKaCgvDCvilsC7wb6+U8+fNVkx2T/FRty+F
c+HjsTQPZciw3H7FgLxSLy6JsJoyl+IVbbYghbitzlQK1eGh67bkvPMwgenXNlWEHPkMd2QMqvdG
9boJu50ZGavLaY1kQVVnp9VM/SoLrp20kl4vKep5XO99yUKWZlHE2Cw84Hy/vjeby1zwR6LG/DCd
4+DPLothNp43LEKRE161kGz3q0sFjjuaFPrOFy7hhUOVaXHjVWBu8wU7q6IFcq18CezSdJvAhW7Z
VrSLNJ92jl3brGd1Dfqb5SwC9GceuNzrc4d//DJiB9pzaK4rmN1R9mLSbehens4U5+GWceVf5iNE
jY/7LeQDfVsJW7JTmIiGHSAYTt9xbubhHSVuRm+LmmOFyS0hoZ24t8IB495lfhW7Y2X3n90heyaH
ZeRbINPoFX7LAY9du/YYxGqg1pNym9R++zzs+y0NERY1nG2391peEzTXe+eakAC0sc0Oj9s3K1v0
2WN1qwCvpzST+sMAOJOwoCMOMVde8cU6cl5+efrXYTZWc1AgB24bmB94SfWQnAja7Y0iOymbU37v
RHMWav3B8yuvwHJabsify/VtgrohtIJRDKwTLkj+hQr73aHfDE6mTQY67nIuVjarkn17Hw/fCJw4
uvjF9MnsMcs1DnIzYDL8tnIWRp/wzAsU6CBOLk4nzwBXTgzJsN9ggftWxfwb/UgTIRvy7yTp0GQJ
a/bfLPK+8Xx/8CP92df/vsiT/qNrBqZutmRM7CYg9n8XedJ/Jt4w+fNkReoqld6Pizxc4io+ceO/
LvLfF3lkEquarFhgjL+F0Bv/RBEJ2/jnfuUPL/2XNnVUhMLQTdgZbQ/kIim79/rWjIEGOdgTRsE4
6M1ZfdKSZvSya9qjCW5LOcKkeL4jn85u+ZNwxjhj3DQ2LWX6XJty6mv5uLhW2adUxPAExaZypAHc
fhlHs3sLX+1+E+8z66Kv6yq7zNVs8OULfuyYA+Yek9FkXpaZlahoVZrWlgY6Sess2uO5fLllyaqx
TkIpY2GgkOyYvNfJPEYCLPJcj4M93pgERlDlY/zgFnGYvDC5K1Aet8VaTrJjmcN3wUnVjqozMCVo
zcYtolPb94tekcO2DrO+XNTd+9Bo6ygVIY3OG8i8V4ueFTJY1WAGMvRAkSRfq96u+kODg6KMi3k3
KIg0VueYkgenwBjdXHkAvREzRaF4ud3vyM9UDEUqbhAMXqkyzY2vlRtbCznPQae0Pe4L0kG6elHl
LabdARRsm0JBzUjPk++hzuw5KQhlIWCrBWYBb8OQDbsFJFiqT1KjunojPSdXfPhJXMR+a+ZYWRvW
UdL5hoFTZ9ZnwUOBSlReuNhj3PAs/EoqIQHDxIWXWSaRfb7Czkmvc6PG/K9wPqimXZqme4lBnA0v
l0hb5SlRIdiPLsAyqhHYX0o0dGsaiyg3L3AkAZXeDokkoyg6i6GKU/au5AJAy3ZjJQ18TPG9SWRg
PxeEEbGSnW5ds8na7u2mnJmD5vxhTbwuamWT6AaODrOcZVX9dGE122qZ3+TlzhDInTbkNPg3n1yy
RgAsrHPOELYCjDv+SoIA3fwnJyWP/x++/vvJBaZCVDRRoTu2vsU0/y5B4OTSNI0IAEtVld8Cbr+r
5uD0SxLc90khLhlsL76fXAgXyEzXVI5BwnH1f3Jy6ZOT88dJy68v3fhlQaRyJCVdZ4K1rMmpvCnL
skv8HJ5Lr7/GauZnNxIv0uJRLD/vwBcFatT+clRrpsFiH8T9W1v2j4YlB3kSzft7HkrSVrGS1W0A
71bniyquKB8fWOKlEodXLaF0bh5KDdhv6UvNhGetl1eR2Fy3shosjAuRelzrGPNO9LL0q5Nc/qIN
6LG0IC66L7QxVCvocIW7pWdQDpy4QH+No+adY7Iy5lis7k/SS8VenWd6US/QdacoBVY8lokvhSkI
H5FnA4irfy8mVqgIHM0ZF5zLSMm+/XZGBmxJerEQMjVOO3hW6Rud2+cTTIpZz+kMOaBwyPYp1Hea
6RGfkD5q9B65tairCejggOUAOizhyHBa2InlMJvAEXn73m2vy5ttV1RpsTU/E29W2ilCoMu6vTym
3RJAEUa0fpMyuTchqysqhjewjNUzsgt6m+q53tKQsrWmNpsZPlphgL4i4ThPV0cgANb87NUpIgyJ
NMIp2QfGc99V24EALPpZJ0atTT4q7QftHvtV0RHjN5Ti6SJh1Rl5WNOyfIUJTZZskZzcfb4wPzrJ
TzCVwWkixIwZBxgM6YPZSmMEdIX3bIMAkT1sVHKEUcBiZXzld2/A7nYja/47eVKpO7ltHfqyEUHW
NRw7BrYZhWM/J7twfTk/a/d4f1e1hTXoi1uEcZ4G/oPiTdFxonxRUxpYe5rZCBTjls1Kvv/bI8n0
m2FF7y0gIsyWebcUuo2g0pbmB7wye/IRHQyYl2kGf6UPd3oxW1VXYS5D8WPigj6ERjlb800V6Z41
MgU23kX+l++oeqYvpqckOC05dFvaZxyDJ2OXzVBS9qRJlQxhxGWCntptU284QoBokdSHV2YoLEXC
btNXmFCDAc3XAJAEJ025Vywv7teqsdEy0BBYMDuqcoMrnFWHER/vrsjo+u5lJFt98DoYfozBe48W
G5cVsjvSVLnOdgAksCBSfVtO8Qw4rgp4QRgjHx5ez+gq4CySilaJn211fSwRpGELBPHRGUBiOqIo
Wati2IqbNYq0lSp53A79OVRhRmD9h4qP3QI4Fumbz5TzICZuPH5+EzNrHM/+Ka0T32hxQ7I01HR/
CKxn9ZHgn6GJtppI39aTm3TAjEXb3HgmCWrN9T7L8fASvHhsjYGw+B0q066+PZhnAFD6TN7J/Fto
RuuT2PLMRLgJ+ORHheZF4qaVGEJB7ALnuFDC817cEZ/DUjYmgt4GYZ6js7SQw/S+2rnDA24Snk0v
XxWL8WmK2UuW45GdHN5e9XQ5phBrzVXuFl/CZlyaMwsWZvt4vO8uH/XRBFCSh5cD0dAsUJ2ZoJ+M
iJDX0q95BPd1FxA6zVDhuqDfP07Yd4q2pRg9XVmiHsbuzM8DBKXXvQlLcU/XAUWfJoRzBLpGsaj6
N/oI2vhNwhyF+WGGISyaVfhJDrQUMfuxPihzm6kT//kWaMVypVrwc4EXcQmytxiUgjH9pe4BfBgf
/LgKzDDh/e3+pm0TghQNl6cxqB7xx7EHWrR3f/IHnsLTSbP5i8bHzuwnmNoOJ1cXxpub09i7hftE
Sqq4AIf7iXECdycnB1bvmfrUCQtUkXxHs07iEeRc8joc1jOTZI79meGmPG8MFwyHn8yqk2DZcuZN
dK4hoFfK4IKiz8oDBq3auNCZ99UP03CxCAtPfVFXtG7FlNmBaLKxvxidnNGCvkV5UGPTQJSae/Ig
s5EWidg1oYoPSnioIgjASgZL1piJ+zYpZ//m+oW0FV2XTcM0VFWbLvG/rl+oAn7uvP7w9d/rF3xm
0yZIRpqJtp/O53v9oqkyqkXVZDX3myHge/2iaRIKSmopGUPatNb7Xr9o6CrJsgHdZcjiP2q8ENP+
oXz58ZXr2i8z/ipqh2t9Llj/vrOxpoViFMGGpsSOxYw8mclBh8nJVg6oeniYeQqnbPPwBk83dmTw
51MlH6b1SgUPsO+8yuvK5X0I4Xqle7KYa3lGo9IYOM7U+UNkv0bdhuEDE91OXUQnRX2DS6Ut4Wwt
1HGHJnORu+LeqN2xnQ25R4ottHXJz1tc8bOYRFbF5n9hofR3pvP2nexd0zf5G5o7/P7I/O5ut6un
2cd4YMbAS2H+wWibB6mG8lj6+fs0G8nW7ANuyA0PcfEGL4aEXAdv841ZpY6HAUPDq/xlkQrBQcI9
F6+C1t4Slk7ZslMARhsMeXUUTyZQYLiiPjspolsTf7RTl0PJI1zAZ/6eoorp1lOePVcuSkR8bAgU
G0YeM15TrDxHMwG4xTNrhBR1/ET+lxlZ9Zf1peNt4QT3ZHzDufShQ/fErvyUAdWNPCqLmjXHW8xZ
yfoj+Rrx2BsBRDQqLuFVZkS8rVbY5ECTRamNiTuYnNcF5PuDxKT5ZUBh8oJkcSnizstO59O44Uh5
bJ+Gr/SjXFIZ6K/c29cnwhSEE8QzgvK293cm4bErzgq6Khckl/XKXJvPBUUMw+8CN9oHV7xwKnOn
BUJJzNyWr+dL9NjrJJp2x3iIfPGDkAWKAawU7yVrBpSEXTCgAUGsVj0zVlcnSWlPug+/GSNUfjdq
LNKxhdMFcxVIAfvwUJAO6afjczmfyGn21DUy1C/C30qPPAdibRDuTYGkh1PllMwZ2TNvNx6Y5dfz
fn83XpXUo0aB/s0Zya8yPJ6KOi3bDlPy3fhSzqF99UG1HVf9C6hYShom+u2MmwSMrLnW2JH7uCKS
lbnnmuCjx8SVj6Ru2BfqHMODBqQRFz26DROLu4u/KpXxGQv7GHuy7iTgRPFmPeYrbnxkAsV9NnRf
keiPCak3zCe41oMWB3aIjth+XerUsV/ouiIHzlckuGmPTBPp3BmJzzJhgtmtDSyFtZ8OM/Qkpj8R
IGRKw3IvedPft7gX/F55wmM2wScZ27nkFDgICyMSApQ99+r0WKA6wqYMffhGtsLkacvG35aL/8ax
HGtQgzkX/2Uup4v6347lFLrfHy6HP/v63y8H8T8c/ZbFBSCLEstfvvL75UDYHOAgLGgMuZSp7/x+
OaB6RcshoTwVMSNzpv9+ORj/4fVxYRjcLNw6ZPD9A08Yktqfb4c/vPRfxnKpHslinmlyYNw6gY2e
3rAW0PdFXoOgFiswZwbsQiEpXyozPnWWMc7kUlJfz5fq7sWFCQOtqE9KrJ/EFMJylXasbY0bM/Wr
ZqzNKt2nVOG3q+HfZAZQpVUsiiRhaXJpF0qDiaWpzmeqaeFzbDGB3ASmLcaEaxMFnDVpP7yWlSYd
gDlu6/tlWd3aj9q6M5e65R2UuapbNVHW7AppBFeiMlFKutK7ncObgeDcrE2yUO/6vhtkZEF6Lrtn
AUWi2eXLRC6VY4fCy45xmqehgbwxbZGZZWLQCtedUE7uT7Mo7PNwe7BQPApXmTFU3GqrZAA5Vvfz
88XS/PiO9KBPZ/mV4BqycM4qpjUhQ/pguS1jMyslvsVoboQNXAZ/VMg0UHSuzZv8MZTZJlezymE4
spAaFj6JqGwaSyqZrGPWbGC8RyVgu/6rFck7pa5OqvLVEKzDWWgWY4EyP+N+HLdRZ4D9vvOeqS3a
PXQvRtx93RRr06WorExzTP1Bq0TwiDR3IJcsCaNZ9WCUMB1upCIV1/5Ny0SOlKR+EYrqlIG6uaXp
u2UJ3tkyoc+kx5YCHraHyiyk57u9Ksp2UM/PuRl9lmcBcuBNHNaXhgRPUyZKeKRjrUs2BnpXO7qF
Oliq6pJ841qClZHdyAqvK1xDnVCWS0FPBQDihKF2xMvImP9Yj9RMNJNrmjnX/MYpXBsmcbOaPhf4
6UABGlGzX8V9bjLViKPisRQuCML65EGIWP9p2miFrVVsrlF7Um8E67a5/hYVxjpXbqZ7RoefxBcu
8/aCQkaQDK+9X4/SYD1l0l3b3esWgpBRMj2FhxRV0WC3dGleK9xftTsx0p16Y1h7yfyokndVD/FG
ryx7jEHj1LGxU/RoI8emLzcsjv4fd2fW3DaWJtE/NKjAvrwSAMFdEqn9BaEV+77j18+Be2os2x1V
4VdHdVeFbVEmKQL33i8zT3Zm9GmGDdqWLvj7si60dTgtScBafxHbcjPEHacIGW9MJ7CDmAyyggzt
qSALY3mF0WdblDJZPvyqcR9/Wum8LWQ8iPpcZ6AzEjKGQbY2jejYmsFxkIZjG4HozqWrHE94BUKv
kVbKHDtp365r5VNr2INoeUOI/qVl6TIDOCssCthBbmKhSHfpTP8bQiTv4bEj7Z/G+CF0JiPCMhBv
t9MkeP2k3HaS/hgrxYOusIzM/aqr41M6RShukuxNVkzWssepqYG+G1PmRXRgVCWA1Ko45GVxMlLj
3arYuCSN8tAzmRoDggk95yCL2gwrL49lkT3HpXpdK/gwoul1Soe7WezXVcNPrU1bKGPaMfNFxDsN
XMgMQCiZgnWZ0tjctFwHRYOnj/JMWXxSTXosatyUmfAwT1Uu/9EHIqSi5ehBI6siKUsm4R8PRMvy
9GXNYyr6y+P/XvOkv2SOLqynuIpETV1mxd/XPJpeOYB9WQ6/r3kKvy1BStZw1BnGlzXP/EtmAqyJ
soxStchbv7PmGcuB54tz7udnrvx0IOpCX7QUv9G9ZBFkguxZquX+0napbo8+aFwsA2pcV3t50I9N
1YduGiLOG21gB1Hdu1nQQNdJdW03NAq3UhNK+6BzKmBLXsfDfdir66DCbOfLGe6SvjmGpfTsh/T4
zaV5YBYczgIlG3VXt9vGp8NnmfEWdX6HVMF5YuqSz7o1KZ8C0heyjdTa4WPoe4q21L7cREFjuV17
MrJ9y5Smeu1qsX9M8js9uBoDGg2m94mB46it5Xg81SNWASbYKxXGcsRxqpU2VTJ86EO06SKw6CVc
8TBTpo0UWcwmZeFNLWYVm1zy0rcTRMtOP8ssC70xnGOxFXdhEL/8yWMERRHpR7YsE6SN8q9jhKWg
88er5pfHf79qNM76IlLG38HJL1cN2q5mYvFVRZKQywX15arh8sW5p6DNGAu1+/93ilw1qB9AJdGF
lz/5rZ2iJP+EtOGy+frUVemny0Yem2BS5YEqllm4BbnHwhw7SsV0DA+jQL8eXqyc3Yia7sLFEG+y
rWF6LcpYkZKbZE5PvsXhSq0PucQpSH00CsArFrTCvIXqJwC4eI2yfpdPxJtreFuMpGt8K5Eur+vS
2g0Yo0Kr29ThJJ38WdoaMnqFWe+4eu2EHjYBJpbhJ7ZS6pvYuMSTyQbmNCkvPUxrBT1D5HinUVND
hTDGPOC7hX7bNcsCTACqttZDKOl2IXcMSvN0stsmfKlGyE54bg5jaGWegHgctBLE4iJhmxI4tSwV
N2peE6fuhuCaIV3AgKLVKHxBEArTALJXiz/CCOpVwoCzxFxjGgQ07gwlhEplhB9x2aJQKAoEfb1c
jLACFTH1cLSYItYKM5PpbcIVn6e01iUWI+Wk3cZ9TiFaQ/9jcizCEfSH8jhgrxu02y5lJCAYieg0
TfYpUcoIZqAXGGYCO4yFVVtjTpeoqVAoHBNIGtHFJ8Mb1DN65oXHCThZF63NlmR6fjfktxburVZq
13/0Jb/QXBfbBhRZkCH/tlByxPrpkv/58d8veczj8oKrkkha6xqX3PeFEuUTaK0kweP/z1Dx+yVv
qlRIc1mboGKJrX295JEvF9otSurvHw6VnxJgyyX/w1P/6XAY+qzyZu9bXjLS0tmVMrJTEHm91c+f
YpH4h7pl/l/VMlXlbXDfIWNFio+qU+bWJbUIwdIOKjfbXr410kmmN1I95Ja8GmBLtPG5YbCtP7b1
gyx1DxUWijolcKy+humBredBb6uTEK1H+UYotUtcB4xBcm9S62uTOZ4QS3Y1g+VB/hNKLHwA6rha
7awQ3UyurwtxuhhC8NLq000kCBRAakYDUHMGylBVh4luK44PQprvoxDFzif5K8UMHRUKVqZ8euH4
Op+KQnkwyn6tFpCq/C5Y+yMkSmUoyEkHpejVffmGJYQCSp3OGo4ZQ9OS3KRGuWu0+ymXXTMGQUXE
2E+3M8/Yp2lw+W9ZwfrwZ6paFaZP1ik20CWp3ctU0k/FIezQawupw1YW05M9e5X2IJYGrd2Yxspd
knPlakXwZMwDAMHQ32chWYk2T3Yjs/65x1IuogJEWRqsRdnNROSjnrdW2vX8fypFuwJd16vpRu0O
ZTfYmbYtsArH8UvF2QKS0hX3akqHsZ4jSuVVeUZx5yR8EjAla9Cx2+xgaHSpTRyEUn1rIVB1Rvgc
5zR65vQYJOo+Rp5qQ7/Ch1kPjiZO64lVIzSv+aLqWEpS4MmVYRCAp4WwtHBbmgXqpW/gtUkrjlMK
HjTpvRn7Co5w7vUVCZAI8F9mbGOJgUJjOaKSbQEIHEYwJwm0RSmEaqsE/jGXxcnrrOZi6hObfxHF
qlbXRScdhKJL4HMTZjM7y7F4NcTy6rRd64GOaEgmfkDpnWbO3qnpDJZ4kgTJDqZgVWPcFCE8dRBJ
5OBOVdL1gCM0Eo518CAbvG1qa9eyAcclX9N5zvz0scInHndvViE6YsLYY6nBgbWeWjyp4UPBZFIh
lA8klpSQE1p6pUQa93EqhBvJNktjJeYqqKiocZrAP0A45ARHUqaY37sKj2RZndXaWAyvfLCmOPus
mz6w/+ybNeMTGfyfJonqv5Ey2Bb9erP+6fHfb9aIMZIOoEldvr/4480ag51oQub4lZSBEWXhEbKx
w023nKL+nuSZfyH98DDKVjgd/6ZNhSnHL8cajGDfX/o3HehL/kaLMZ9pkWl55AJoQ0j2NUyh7UB1
Jb9CiqAMoV8fqQCxr1Q82t9iCqENbcdYaauS5OVAbYri8T8sa9Um7i/K9ZEWSltS+B6dOzrWYfIA
F7j+nfm8/JcBYLJNb8VP47HuSdpkswNYHzmHUQ3RR99y9FP2CosVE/9a3+rb/BWLqAsAJn8HAx5D
yQjuDfEgWBtqkWfdhYIt5m9gGLKNgeM3cieGcmo+2pRFtj59RNRmMHWf3lUmBk391lT3unVR5mua
Cfz8FI/rriFma5v15HZJvYcOhZpjhycRZNqrtjdf1Pqzo+XuZdGj2kvlZV7iUTImb8zUtjyz36bC
vgm2Z/hDe90m/EGTtvjW3Biv0WhrZ6IJl2jvqyvtgYzG2SQP03O7sJV2o6y7m6LZCbRw4M7T0K8E
BeSd5A13rX41WFQ+4OFNPZ0RHa8qKC/RcCAj8SaF/M30pIq7uPCs/AG3QwA1bnon9DEs7YIHor29
4hjqgjFn9YQ6pU37GpmbeAGlvEyK0lWIOV8G6MxcDItHTX+Mrt/30oTggm0jURmMYp8flOvSwDDX
UkOOkMw6ML3XzUhPB10sqO/FnurREXDjcBNmlIPmXjNAkmoY/r5Q3UVINAmD1W3kYhQBPgsbwtGG
z+R5OGYuGbTLMGy68Wb2nxrtlF4a+t7kfB30UG9TDfjAteQ7IUu2sLF6fxOfA0yWSXL2LwrQkRm9
/jEnViEndzyRvD1bBiU/zRrTkFGtRFwCZn4zUW5DANCwe2p3SHtU+GkOQO+cfUI44BFFY7fb3c0v
RIGAy4ar/pl7Nuzkaau9BIP4IHX1trbNnpH1fWPezuxzgfjSIbaaCCsN4L9TN1oT83ClbfQZelwI
2AJU0vfQrZBcjpuGogY6s4p1699NTAiBRGHw1LNdcxYoCj70B+Gqd/xlAceDE9IRgkannWm/pnp4
REwDTZUPrOrJM1+QUXjoewY5cCNFz9MTZ6SvPXIkgIeQ5cmSlzGVaUSi5xPfTF5wWTlrDvJls4qh
du2nU4m3K7PHbxVFQnwnmjZowOhmVveKf4CGrt6+4Ye147X8GfgnXaewx5OP7ZoMUL8Int2iBPG5
JA00P++QuNb+vrmC9+2hwEKEolwYfi8SnAadUzx018NVoTgxgl22oweGoqctQ3fe7wrlT7CLSw9U
pPbd4TLLpIaopF9Eur1xa94hNIunJRAVUptCEpyh4QERC41ZasQ/2l6JN5tzPORZGXSSiXv7H6dx
Olv1nw4ZPz/+y7qFYKRDcpL0/2KvZHCADfibu/LHojCeBCceHfvC/83wvq9bjD4W7JOp/KdG7Hem
cdghfl23WDYtDjTUmWksk/z5l3VLr30GgpVEUTf4PjN/q5iqGyk9kYzAepD0Bp6gQKK14OybNsif
KNvlwWuGqSiRiC2GFAUASWp2xYz0iW/Bv4t9RmkPYngsjTeR2HE+uyI+nTF4LRLpOq3Fc6ipa/1z
Tg4VuO+S8towDJeL9sa/UXc+Rx126FtV8gRi7I5cAgTI6HEUrtPAE/wdw/tA3lEWYUpPRXk/qu5Y
b8LGWi9bZF0+Shx8JHh+z7HBfP0hntbJfajiGbjXLulBvoFz61ZPyaOGxF2LtsKaYZWvoOLqnQ6d
iRLxSXeZPqyk9l3Y+xrltOQnlbVMdq6DxzBS4KiJI8bsHek8vGAuVKZTeSgP0y7chpgzaB+io8mE
o+bBKwdSCMZNepKuCeOr1xmOptTR7Z5ybVjE4bXZTfR2eI28JU05aTcaoO6CxVe+kpvrYNnsO8K6
D95SkOuj22vimVV4YuEkf70RjF2y62gccti/QgGneUjbKzB64jUx7/qqvlooFOhiJPJUjAXAE9nn
QgUHQ0vpzROiPw6DATtKvik4BQ3sNHjpmltxfEC+j7NtJ1bYC1tQIx7L28T3nLaJxlkOemO5wa7y
xq9GTqk4J1ctW+dV8dLBd+dEEasfOR6+xW2lUIXxFk4PSUpPEpq84WgWUya3pWwITmGqfjQQtIzB
1uWn2QRwvuCGN1W6y9B85BUfThSgwMLc515x36fEJC+X8OL1eBgg+9Mx/RJQX1ICkhoSL3vGcVD3
J0yzPHfNLV3YxJtKxn5zDw3nMjyaV8g7jX/skQrJ32hr3toECwMJN8pMLTeMrkbidYRSYcVzppX2
nMEDYbeYMnJnlLwYsjQgCYL0xcF3yvBJRWwUAdfsymybanusYAbHJXaF9gATng2MKZFV4Pta8NZp
3iuJ/vUX0+duzbfGA0oDEoXXZrWWqcTrXCMmVJHO4M6Tra/E8LQCz/TDNYc7B3uoNxG5xXc3A6Q2
B3ZY4ugy2RvoZdDBXJ5yo1JJ1NmUr02XgkAZm5LMUvghgTDGNTzg532uAXVWlWPF4a6h/S0xryhq
m5/pl/6mnF3PdHL68rlQQJXlPjgGKyFuQayJnnp5YzfKdSPJeI/lK5CdMozOfGdSKZ5Hp5qmNr8s
7XTa1MrMRWOcGhAryNErPburpPeuBfXZkrnyV3yZT09EcGlktwT1IdizvI8IQZMEm15bNqTF1i5R
PssdAImhuZTjLeEL8HLGE0P1Cvcd5pBzz2zRDb3oVViLJzowv9zkr/+jUPwAnvvGvPpRufi6SqD/
/XirNJQojIZx9IG7aIrgRAZNDUVULey5ZG/ek9fey3AxwdWv5V3zCfoyG5whpIactKBe1jY1tAEb
OorwZPzFBqOTommWiHdEKjo7iLjDRITBDAoH4GNp2yKy89PhlbfnHXtIUvWNw/t5p27w4sTWfjxR
wbyujY24G9/CzrayKwJfnKtr5XKFlsI/Nzc3G3H1YjKBvDYhj1GQlUYU14obHRvlUNqj4TWMUPIj
OTOdjwM3nBLP7O3Qu+HsCFwD0X0Y34rZWRuXjZeTeH6ZsyGkx04neys9p59T4NaEEHdsuJ9ByvIa
Io9PacvH2nC77kmM7kVC/zmXYswR/aUTNoq/r2iFhhGxwb3tlA9ELtvXzHRrOnilDLFlW7/SX8zs
tKy9fj9CPhrvs4+SVmXcuyD5VlhSVxxbNL1i9PSaTfImUB/y9Jj6js9mkklrvgHQhdueZ/XWvEF2
G885E2w2RecWfjasFZAN40N6CUkEkw9dgZDjbkHf+7D6OIfnNLKL2/Zk4k/L1zs+9FZkNyBUgWjr
GMNX6oFF5Fq8pVKP2vgkB5mBmTUOm/dMCrd89OkNN2f4PRmmKHLCS7HRhA/b0ZnjI5ofUKwtw9Yv
CZyp/EobO1Lttt/s2Eyb+Mg4/c3HAXILlwoMdG5VzYEIOw+tsfLjNyXuTPOwJ24oKdln60tlHOU9
34E36yPAzixTEVveZVf9HXkCdXVJnEu8wFbU4RNAhKo+diyb/uPyyZtxiv/JkwsSegDv2KTJ8KPV
f9sBGr8EbH55/N87QPEv4JkKdbGaqC5OUx75fcyMnKWw+cJhgsBkMZ74PmZGjyXog9DFrBnv0tfJ
hUSM0DBVkaqyb6am3/AgYV76ZQe4vGpQE/Iyb0ar+vG2Fg9zNOZlpHltTI5FHStlp01C5LSybz51
c1u6iUUhtd+0K5ODSD8ZWNpl+FtlMdo9WIapJZ2rqjdKSucV9EIh8e8oWHvypyh0BSNdRUmVOVHF
BFJf2rnxNQRdcKObCp2mUR3icy/6wMmqct/TBNo3Uv0QA+W7iZPhVo871dZ8TRPBRwX17HYYoLaF
z44SK9lhHOePVFeew7nalAmsTHVs2RfBicw1wiSIwqmFaz+oux0TY6DS5ajtsi5t1kOU9m5vIMCM
hkmvYhSsJ56PnkAvGnXiFZ1nhq/NkK3kBFs8g9QJJs4UxIwx1ZNe5leqgEk1M85TCyNaf+nKCpvN
vsxOUORajrapVbsyw2GNcgYV6arkieSagLY0OdiZIYLN7xlXuq4TKgjlaJvqzDsi+qRCdZ+1POOM
aAxL85SMt7pWbMLRf2gisvGUFahWh4WYgMOs0rstNI5FNlxse1eZ5qOEz1AaQD+hkIHNYicdJNTJ
6I8akJMi7G4SeHBpHh20odgbjGpSycm5t2lWdeSHrgQVR9rY6fW3wBRWMt0YJm0s1FREuF2N67Eh
GKQ9GmKOgg4GtfQ5g7OJwuuvytFNS5HvoHL3DDkXI6BQOkALkJjgAOrVfUWo3xceQRFpxRm/CXf6
xsGJNFH7PXHSxcWC1HrMtcdwvljhbZULtEH2zFVIslcyfXAcfk14GCV/fSbeRXV0W9VARiVsRHCg
JE4C0Whs8ki4UYZwQ6Y0cEdjuliFdDVm+EgPcnqbWdEG1PnJYJs7tewVyaX4PYyamEr1vgaS0gTk
GxtmfmsRSY4TdiBNJu7f9qPuaJf9582Fsmg5P+4tfrh/fCM5fTmGyRyDZKXiIkRgtJxCrD/jUvJX
eoG/KRFOygiuzvQbRl5FQfHxGLqJIl51jHP0SGHUY7yrczhR+UX4wBBvZ3FIV1WC6BNzhujUktby
JLPNbsjdRpwf9VyMXiYpmfdMT0MmMqmwa/M53UlW6868PKNeqPDBv7B4Frr/Ly8T+X4Z5cLoV7+Z
Q768TKuN8rJRfNWrRPmomUuaK7+V894lUMizT4aH3mj141zAQxWyMdtBITUJuufFqtPnOxObVzG0
p6lU9oMGT9YwhUsgm2udbZWJ4uXLLwjBCnulAXhLHWeuJD3LWbKNUQ4cX5EcJd2b4LeSgqPEODnC
QFFI8hTwAYoYwSmysGaSe2tIyWEOgdnnyVNEyi+u9Ie6bJGy1HNmwDlJo40Vn+IgJmQ17JKyOc5Y
4QB9OhqSdV6l+1kxPdYZziyoVZASQqyRK7NmLz83u0npX/7kxXbJRCgLv0tk0dNY2/5x3GLyBT+O
W355/N+LrfQXKwHfl0GOsqy1XGffF1tjyauKWJjAWf9k46CUHdK0rFFMIYnLOvx93KKg/1pL+Faz
5MUX9RuLraz8egFA+yZpK2EpYemXFhnh6wUwF2OVdBGcxsEY1tl0h9V4XfmbFHtCPwMcLZkMm1lc
uoE63ZsLCq+/H8nsK3G2gag50JhjzHYgCtuijndGExzYdTharO5kQSaKRzuDqdJbNAOMNEFJRb66
1RrpSU2paMlDPH7h2KF04mUq9ezaCBOydazVCmnUNsDyXjGumNh62CJ5Nz0BI8bAZPHLz9OhAKOZ
VZzrGZeLeuuNkUFt5Vzi+uT04eN31XL54LOBnXLaZwYWxjivtulsboq02Tc6J4NJg3ltJo6ckwjk
yGqk64bhe9yQcL82QFlX5PF6KbnMAU3QBqlIEc5fGHhLbi2Slac8Fp4NvUZRUSu7UdvrXNsgWHpm
CqmjpW69a8ZPRQhpFNC1owr4S5+qR/zhM0sNmN6clG+vt26DhdrHq1hMcHdqMd+REdVjOCrVNhsM
GkyZ74aGD0q3vmkzKgvVEm9vAWuqCKOjolqn0I8OoVCnTl6Ie0FDSUANdEMDoI4rKd17NNCn3cb+
cw+8v2mGfTZ/RBJnDWJmU1GsIwvudZts52a8gQZ+WwfaxSgbUPx18DmxkHuZnC7n3OJuDMRm7S+3
Qv+5JeJHRIFYJ2NHUvJ0m5eHxHgnZrSJ8+uSTFoNfrMawpuxomyOqETYcuxkmRNpAi+sq0gAm12X
no50YarFhisJGkzQH8Yu2PVpwvsYrEpNPwoo2Jk88jN5HRgDmXN/7ScTH7MRXcSQCwBp6o2qUz8i
pdFOlF8UFdKorJ1NZAM5jj/7Sf40DcAyozTykxFwRUvlbKsZ72XYqS8o93bH6F8BDjGxYGxHPzjn
CzdCHWlIzCdhKy5MCV+ELjFOMASSpPxQAU+M3UBjdpw85Q0GHX+hU0hVUG+0oexdI6qpx0wx+ARZ
7/6PLItdyZTW9JoquopkEGLZxYwunfSeB281irkS5/sqgiyVzRvcDyQ90pscGKeZ93cYRZy4g6ZZ
8kYyQtfGcp9J7wjaGeWV2IL+cMmXjAR32kWCpSSA080/38u5I/54L+d+/OPjv9/LlzY4huOyAuLx
ByOr/BccPxYO0QKbp0mLGvv94MStH2etwd0QJucSufh+Lze0xbZjihx0OHD9FpmATOAvm5mvT11a
1O6v93JZjYpZlxndJiXDckFSPW6t+AD66KkqS59Qz7jX42Ib1C19n6XqBvzGiEoY0wsZbrWkXEL3
6iY15ohsF0A2UsWVoFzCCV/C8mtzJuyMQyyaufGk2873y7VZqLAEAHgxPxtNKCNTtx7y6FrmbxzF
YJ8oxX7xgBR4LMxQu+TBHLkWnniOcdFTaVGHEkCIymVlr1nNWc67e3VuXDGn+FSY0ktJu+smy6Xt
pEnE8/IKpGRIDi+Fuyz2GH/UVyUVqFYYIDT1xyqgQMXcKMJtqFJDLY3xOitqHKuj/gr8nnm/f8hS
6ZJlnZMVMz2xD4P4seTKo0LvT32RE5oP45bbGYxJQKFl3BGt10HhMy4q+LopQtNuxG5bFqGraWjr
lNFb7U3BLYHcDM4+QuOIYKmJP14b9p1kUtM22okMMjcu6KAkE64G4XWTZmdY0WRCefOMvSY0GHLZ
fK6KIb1ulfu4JOaWBF5q9R9+JzqZz42wFHe5QZC6WkCWeFnYclwsNQgcHaScWYEJVOhaJQJY9i3e
mFOwOB1JRWsZMzqAa0mxifxntU4PPi8jkaoJdZPYyKqSwtegIeoORiDMBmgRU8o7JT5b2ejGuklb
MlJLzqBQ75R83QoM3EJohLR+az68nYxet0l40+5kCYAFKOvS770hbtOH2bjITICmSX2qmvIhiUUa
wvv1zFkwlYnniNrGgneTquN+gFMsZWW2kVKi7ka36pWjWAfHqGhuCcK8WlFMfBDKA/3gk1x7FtSp
0TyQanXHdNhVFeJwxChsybJntOKAnkhodTPmRToObqvUhDA45sMlsaq7QKwgpiXvcX7IUF+F20IF
3x1gJ+3CXZE8FtLZFD1feDIrnxjO5PYDdaz4Ihg7gKcWBIZcCNI97mna+IadVLeZG6UW2yE/RNwo
pP6+E0jO+wf2c15uVSzmIQUGva9tm/RJjcxTEB78JNxUZChKSzkVdXSWlJByXYm+1KirhoWqNT/8
D7CRQWsjYhahUt4F/YQIvpfT7lxgIjCFYCtL0n6apose3MsVIRuBrqW8/rO9P9xw+fjTScMemo3y
Py8E1i+bemZhPz7++0KAPYfowReh9Pum3tSJJOjWN2f2T8VujMiAzzMqM7ByyjyhLwuBjNgL2Yb9
MObt30o0IL3+l4Xgy1NfjitfFwK/FIKmEgtY+VQZwvgc+DR/5t0WpV00bOkKmmdwXwOawN+gYa0M
ZM3OtGexOc2MZn0LuZ4Lw66MdRi8UUiMw2WwqaJcU1JJu2dN96UG+FVs1xBRSZVeIvoL73wG5AzK
9a26NZrVEh4GBEiJ+pL+m3p/mzJ7J2LEIVunLOAeE0A3udNO2Nxzbw+IACoOBYXy0fLXNU/UU2+s
i1DectQerV37DZ2vFbZGpzVd6kzJOidMIGg5OsOq7EXvEnCgdlCuMdG16FB1dpyI8FKjgim1SdpN
ug1TUtsUJE9AGKVoP67pbI8fxpo0FZ6QaqDVA0c0dd4fMugpZGS78G/Lm/mu/aBkC8Ahxcfthw7W
UrcXwWRbx1SgpRALydeigSy09ZW5OEOMW+vA82JhyF6rPaWL4brzlwwx/9a279XGYgxOaslVqTOl
iP41g/raHali45kjHtHzGXVr/Y772QITeUteC1JZKNF7w0leRcQtLOa8e8Y6uteRCf3L3NlGCs/F
NXi4nO8ZLfg0yE/r9nGRmLsdVUJImLyGO2sjH+s3HB6yV7nhtn/jLZ7fBhut0/VxQ4YBI9L+QN98
uk1H+shPWEJFM3RVqXFaPFMTXv1VKb/QVGtA1VGMb8HDlTXdx924EGlzvJfY6fd6XgirJGt2naLf
NrX4HJb1rSQjq7c40ieUSPq2vR5qmJDfh1HrGCJ3Vo5p7Dtabxri2s4DDV4rwst8E1G/06zHeNPi
K0toKKUtIlE6r4FLOU52oJw5NjhFUZzRz1uEsF5045W1RZpjlirC0NinMJnuB+LZ+6L2fD6skFhf
lX7LJNa4rfYp+M9XlQPVA92Z+yGnObws1sxMWwGx9gXWS9YiTIAbj+7b7qk03GaBwsAYIZ+YQwt7
4w09sCWvMgRbfinsNUfazuq1hUQVe0PhtLHwOGfnIL4do3vUUwT1vneJ4o2jp2O0WWxi+o7mh+46
3hcxEXZaCbc1CvlM9fat8Vmewc9fa3f180C4Ydjkgd2YwBYYXZUuAEf/AzqjxivMvdou1nMF2nVB
7ljxZ7RG2bfDAWDxDWeHuorvpxIMpvCqJrchl1SYuKBU+AhCXUA5ij8i+rYTBwEeAmcWeer8GvrT
5Y+dFC35aIOUNmVDlEZjXvmXmBze0B9OF//t8X8vKuJfSwEp0fNfY3L8ERsEggE6yHBRX2COf58u
DOZLjG0w9EiMfvkG3xcV4y9yAawnxvKPojPi/Y1JEdjIHxeVn5+68fOkKFD9iakItca97ddnrAuK
4jafZcUGDXHTgdnrydhRglM+rKedeVx4Imy98F/QdfV8nPlCXNlQ3NfKU9Kt942Xi7gAcDV+ICCG
w3U0brWHPlwpr0wHcmxiKzyIT2Gxes/l+7h2JvuIt2d1tZZWt5RVQcZdLdVH3pnsCnSOeXy2XP0p
Ooqo6zY85bJ05LuWauH+tW9RTRzh1BwZRjQf4aP1kG1AR1deeemvXmnZeoXWfV3svv1zno7Ut3DD
wHJ5zELcaLVHBYEF3ukKn521T57V64qjPO2lDqEDJHcXtVR2atWueJQD/Fy+Ty/GuabRgDsilVq4
Vu/8cKMT8q1AwDKHotVosceIH/WVtpFuwzcmxPCaZNpI8KNwtA8ckD+jfK7x+bBpHNYJcwL4w5vi
TKqHUwZ6l0LlBrkrbiKVy5snv5qUeXHeuCvw4SibaBe55Rp4pGdsQvu1WD2+XhGWsN8SN3Q41NnG
g/bK6U7jxbL2CWxal9/aZDush6rbHLkvbaiQOSYuK8s+vaKddKm7ccyXZE9X00zZ9bgZNzRwOIKP
uQQL4RZACa0+Mnc+WoyBqn2M5mr5sWLjEWwWiBIsCZaFcoPvJr4kN8DDdwCkD+m68Bq7ewbiuQFf
cmz3g1cftLf0vbuZPqBfPcVX3bHwALgdxkfQGut2L5wNKl3iq+rbu6HS2HKnwevm5MXwkXfXeoiH
dayQ2l4FGOThe50LwC9gwkU3gEQwffKWaw/Gg76Td2mF8EPEAWIftlOoyxfMA1N7NIoHM9zrT1Nx
Gbhf5x1vK2V+qeoSaAfZRk5kxJUzjU4tOsLDUqenOcpwrRiQACHsdS72LOZ06HV1a+MUS2Vt1fiB
F6GmozmEd4/w2BxmjbioJM4G3cYMDddSaUooB2jk7QoeaWzzOWcCBfHEWj35sJVXBGlYkTlWurjO
CtED6hYs8RNKTWdyzXT9dXYL4sb2Xag5LAPsbVpQY9BABC8QHitlPiTVq/XG5yvdB+l09AGxFBoI
ckygN/TiUp5Bim5f6s9Bf5Vk113hJfV7AyncejTkM28uZPY44Fj0abS3dcIn6COd3wM+ixntEsOh
zo9KgWn2rbHDx2G0c2D8x8h4yHbdvOPDMIWXkM80h0fGzTZcGMgv7BRxu2EDG7zmCX5fuxvUq+R9
pugjd0tiE9tTSQu6XV3ra4OOXX0FR+6+P8sr6lVGr73BBu1yCMqwL3Adja6c2F2OrWtFEE6tsCXZ
Y0KbakjRwHqa7gv9SqC9vtplIuwWrg+2AfxABZnVkyE0XJtblKjqRc/4YWjcs5zyuUxWxFfIvzSU
KjZ2zeqp4sfiyOla4009sKPWvRlbXfye3lQzQd9lmeaPmv5kYkE2dta0Y7be4I3THPWKPnp99fTy
dIrZikaPyke5q28Y9Hr5zn+NADJpTuup+4j649fiwneTH9iTMv+uP1jKJ9/Jjwwju1cUR2g0ykKr
wWrP3nTV8XkwmUi4kXoXSGd9etfHD8V0O8GmFbbhrSlu4KNVmDA8n8tZ3kI71JPJwUa5EAoXrr31
EmHIjaxzpmMq2Uvc4IIBuI8N6gfHXRVRxbGHugP2B5OeT0pry28LuCdnqhZonoEAvTHcoT2KW5hS
gA5h8CfEkhQHYL4VXPXjK7hG+Rb4/nAtzC+dfOIRGNRBCLXyFXgfIPn/y915LbeOZdn2i1gBb+4j
HEFPiiIl8QUhC0dYwn99D2R13zx5sqMr6rUizcmURIoOe6+91pxjzrfrPWGlbYPY/eQehtqGS6RB
SMtB9CGe7AZXbq4N+Gxzznm2tW6mBFFCFThFtWf6OV5mNgQUk0hsPDFjRWFZas8akp32WGtonbVg
1cAIzMul4QMKNGp8q7nTkkfMVsUd6eGh4c4DAXljbKMUy90hemkIaRS2qrKm/cFTew0Q2HefRZL6
Ve51ye6B0pJRxWdVIrPy1fc7AQWbuF1VwSc61Qdv0SsUH25Yzaqd8Wx0NxkAYjuusuwrZy8bdVoL
dQLAkJCQETLGwCKjxG7Tw+zfIQoYz2wA1hwP1gICR3Ul7GPtZCQ7aRc+9mkRug+kbplwkhu2TtCA
LFEVCkJEajrCf2GOoz+JHAg7Ji1srCWIPDKTStzvqaXR9+DhJIHf9UuOEZw+YnaNftxppmvC0poV
3aQTPh5oBwExDTUjSh5k4ppoMAD0JT26xXcTuMZeTK/1d6K9xOcMacaqFzC1/UeH+cKrZaKn0isQ
yPT9F7NHU6Uu+6VfTVn2t9v/UlGKIgBwk6h5ZDm/kuioKOffNv/e34U+c9lozA0MxoJE1/9KouNb
Ip1s0yCA/g/X079TUarKb0Kf3x+6On//l9njXXq00iNNpmXE8dRg68yxL2KVYwvtgd4+Xpqz+VHP
mpyN+vGMJ07NXyPW5cx0Kwogyox7juUb48rTImP/7l0mcxRIbGbat0L29GCT36IalvwK5M7cqNvw
qX3nlvlbd1Y3RcjKZ1P43YgbGzjXodlM99K47BfXhK26O0gIVukyLFA8Liltpsp9nCiTMlLaGF19
Lz4eJ3GbnaToJyOIOITRsBNAc5H+7Y0kPViHQgDfaQ3PtMLrM/4cZbRofwhrWdgG2nkRboNya54j
qKxf0fRtlE8zkK5ahvA0NSvBfJ1/ZcOOFjbjsGEOOmVaBl7fCWB71odu8/zhSeiDGW2dHlz9O2q7
8ZKi+pwLHEopyrb2hq+iXVJPtt/T4k0HhX3qjqQORuSBe8VTs8Kub9H+pRbGPjNY38cXeOHqCWE4
bSI3do1wFfx0XgMRt0bbal9fb4ei+Ei87w6T6kuzabTlA2rddzqsFIQxhCEU1bZ4Csna0DYj0OIQ
lyLeHxA2G4l3N1y2+bKZR86OSW2pGgeTpvsoE/FdMznrcWzJLpm52ZZzQLGVOVQQ3gelyGGTbMKd
8DmxpbPihE/YZsdkP1Blr/PSoZjUXh7fUnpNuj0aaOk9JfyKGp9FrmK7T+yRhUnYgX4jJ83Odeuh
wvJRtxJ0wgaOExUxGX13G4fcU3uQ70v1Iu5Awo3n7tSd9CsstX1PufparscV6bzn8Sw8B5tZv29+
o202iU+bbtmn4ZPc6Kev43mOU2uPbBPg2Wpwz6SJmFe2AhBu+vvAHsN6bn6TI7f652bERmH49Zrx
gx8BkIfkCw2Vx7hJz4z1+gNi6ZE+GV3z0u6/zG92t2zeQqabuEOayz7IZqJOl+qtO6mX9JX/m8F2
/EZ2MZjJbF3YdRzU3kyIyJ7/7A/ijgcz/xCbnPmdfQLR87JPsz/wuLCUkSTRWiXq1AOPn7pKcrJP
BKfDPndDGjgHQPN8/e4XTq577Lfdic4FJux43nn/cDHkbm2Zd57gMtmQm9IxP3Lq9fyy8WwL+ahs
2ci4L37/kPnJ6AzLYVk4MpNr3LTcNRt85Rk+j6YDG2z4EO5sdthWZNvsnhb+0IKJBaMAI9a4MAGI
LIXsCfIxHEARA8r14la2q0fyClcWzZsg76CvhO014uJsOU0gEwM6CJOXDU7VXLgNd9WGM9ufGP3z
53BEUi2uBNpJ86bGcHiLPILu3Lh6rB/1tlucELiBolWyY+0tNlM9y54xqtxfoV+qfGpv7KseXxiK
ecfkJw1b2yskfSw2OX4B3ed05XXODugu4HrGv1YwWPELY/mlceHHxbN0Ipm0Fp3Rae64I9X7ynzk
qLEZJSUUYLzv5yjicD35zv2mSl5pp+O1St6U/DU7UIoazX+umvafvQtNMGdaPXyUf+WnMlXaKH/d
ZGn7/PX2v2yydGBAySIgwqr1K9FP+AcEWEgt6j+9vr/6qea2DRszA2rT5H7nb/3PLGDef+n2CCL+
L/Q//95QWJF/mwX8/tRNpg6/brJj8UiHxBAIYKcBy8FX7F87wavfkh7+I4fbr0pawR2lz/hF4MLI
OO0LdIjA9dDstMYL2zseqs8gJqb5FaH6VYw2qrrVTDwQL4rb1vDibKlkk5OQU9LJoBNTcgoXXE6m
AtCAP5Drdb9UXJDxQM49gsLap4qznokxg1wtdI7FOZl6S6q71SJIvEV2CSWfOyIYjClERm4GWVTt
4OraFaEp1PLuyEGX8IqaUDAewHzIMWNX2j3WypJqdXYvE2/zkA5c5p18xL5Mqk4wvWNjXdD/Hh5v
7fABCxZnFCk31LPcBbfjmn4QprHTZsMzoXWsFiPMWoXIe6uXIDODzcQ83QBD5bATL/ky6TgUsR2R
g5piZ5s7p6PIfIo4K+Wfd85NOClLTlEqp6nJ2HEnZrCSeTE6hyt8OjXk3OtrSIcKk4rhG1hTJD4l
ymVgB7c/O+szs78Nx9wrFOk6GkG7++BUXeymwKkU+lig1LCiyi9IdMqz/pEQjLVplwr5o7ijP4o1
vfHT41Stle+EN48k5rl/hkzXpmWnnHqOlIw4KCjGtcx5lPYW2+ZwoqSaNT8TpU2ffAmETbPBc6Dl
W4zUKYdweuEgWcwk8xUtFWoLarHqJqgOf+sckqXqPVtHcIFCG5VOKHsNZVsIEZDDNU2/oVqHd3oK
h2m83r2YU7jLJJvGl1q5ZA3Qv+p4Vqkd081WLOqpWiRHr1+2J9IGwfPa0/P9TbuiR5Wx1/jVkzgb
oW/BGqGoOMdq+cbPoBwCv+C1n8MFYNJLsPdXhWrLJ5zFWbzPGqch7GMsumWAFUKTiAMe9oIZuFC8
hNzWaUNMuPTuG46ppoBY6HPkQ5oG2ksA+86SL/pFk+xGc7p6q9RrjLUt3w/61xCNrMQQvRgSGoKS
nReZU6NnML0C80hBFSIavGPwVxFxGRQkYatvwOAicRA5l6rJ3cv4AIGxFB7BWrdrgcKH+0qNHxIS
IoFPTsGJX6NrwJFUWBmcu5FHBYie0raAcHGrVcEfG7AbMS28BbYaE5mb0HK0rCxdvR9CZtwG3BDF
r9PjBBiDCkNGRucI5PVKoUjqcwM3z01kYcl80FHG7b13oxvQWq3wRSm065LMwgAQ85RY7DROXcFr
sgcsIJnAGZ06nuE8DRF9zOxHRJxBdhqlj5JKohEf/shHxIxkt1IQ5PXJW48I0Y6VCingSh5nC6S+
0R81z6mfoFBXnm64Yo6bOvuox3VZgK0tlritRow3GtEWGJiHj+iM0iEdniSzsrTmK44OuTpa5nXT
hiImAdlWHqqrLZq3SMp2OZFf/8lTDIbXf8CEmAwgkfqXZ86/2ovng9vvt/9zO5QYX8Mj0v5wF8/m
jf8ZjXPmnOOjEFeRGDObm3+dYsgqqfImOimMBn9IYf/cDiX0Vsj2tP9W0P47Z04Oqn+bYvzlof+h
ofrlzInqMg7LuhqXWRgjbNUdPem2EqvvwwYigU3zxgrNOt+89bPtFD9DyQFwCZBCzC61/q5Oe6Pj
msZPNjoHlZZns1NnK9WmIrnQNP06EzzUQoPsEFM5oyu6Q0/apejMaO+aNhBz2BlH5Mooh4itDEGJ
b7KNeJCAPleDWzygydA0VotbTNuU/qT2zL7RCuvO0E98sFPJ13Inuo/vhc8GvmwxsEHDYYWcDK8J
PzOpOfIDlK30b2BMXLMneQtgxwXt4xMWsyrITSXYZfoZ1q3TbqXVthlfYpOYjNiJBdfUfmKmjVQA
kV0PR4VeMZaZmuYol5Arb2QnXIs+vgUC0vmZI/Fu62Yr2RnGFDYXIivTXXoih96TN7wq/PewqZbT
Kid0hPzK3Jq2tIIPsl96sUtAenvtlyE/I+yq+f5JV11wTtsl51XgcIKEZLAODmxIqxEzKg7du1su
aHGB7G3RwKyrcFVg573P+X0+c/zkvY2OhFkqlTFnyrQyqI8cAAiHZpllgOgabCP1kj58XQL09XT1
FnlR5TJFYcqDwYUv98x9kiOjlRATG8/Tum3I23U+guPq4GwY+m92iDvJsGydpwqpjQU3PbeuD2g8
F5m5DrCGYckYHJSrHd5kDwIdGx/HedyxwBroyxMYGuzKgw5dQYR3fFslzyPTqKdxel248kewNg9D
szQyHwUYJ/1ngY8hcVVW+i2SdqlftbeAEscqiQ3+WWS4Ppeh9UFnXWKKwQlHy5YmNzQ/4KFCYXcT
Wh0WyoODgPvzjbFR6sdk3eOMfiq+tWd0SV1IOTHlGBnH4t2AxpG5GYeRdxnefG5PT2Zmhb1PgBEp
8sOHBvm4iZ177TTnIJnHDsp6wJQ0237FDyYq/dWUScW0J3UpLH5knLqDV6kDM/pd/ljG+ItXmeoY
OfglKzlgKzUL5zERGVy6icEDI6LZmnjKKUmYzw0vXlVun4PFNRPWNX6kgXHGEeVJHBLGiEtiGz2W
TFnY6QXDkVKOTd3hPtcPllZyACb5mwN15CvX4lpY+jZ+MS3hR3gnACGh7U76TuMPxUpkXxi4U3Yx
noLOfsooKT3VhCCVfFzS52LYjeNbYGxm2sBA+wnrU/vUDg+/1wyAGiN+akLS+qeUrOAQryhtFuVx
G1FLJMMRQfAdjUB7UUJYzpKlgqhOPxX6rZHih2sMpFmRwhr0ljoDfJDzOQ3+mFQbug7kxYuvkp0+
0X6K73sNVy/A3o+mRus4wFkkQb0GsojYuzyH5pOJgCG/auQ2jnuFi0KuP1KgCfGKYZbY02iL04tU
nBJaQ0KPWzhjh44EnP1UVGZj83gX39nrAis0VP9hLFe4y+lAPdGPSNPRTZ4G96ExJ5HwpfXnBTrl
JvHLksxkKThgUGcJfEXt2OknVsO5U1E7MoeCreEbHnaYazp6VbenODYWl8Jp0c1nXuGjkGY61X74
vVV8MCdz20N+SQULWaRwC2jqhcxb56ghk1eudVSWO8MJsNghcuk+GmPTQfJag84Xo3VzAcKPo42+
x1u12aSBDfSnd/DphPmrYTIYoh+EjIkpMayt9tA1rVsHa+GDvD8mn+VSEuyJQDiESVOHn2twIpNk
zBZSPxBkxmxeS+PaMGFSnsmRKXnXWTEXp0Bx44c/YLuh6hBaLOeqlSmubmYAjHgMjqgcFeq+YQFL
Rk9ccXwdCOO5mz3F8WEhrs53RpURK/Q3YTHt9KF+PSjcZCDisznMi6enhsZ9tDdw6BLJ05xD7YDS
SA/PxTxwY77KGskaYYvcx67qj+fJXpwy5qMIfUcmCdjWpOq50NdyZYk8YJKeBFtF2TsVO+h0ubGN
pU8DTqy25GMF6xGMlCU3fKYv3HVQ+/w7yz2DRuLCVsNz1mxqGnBEGvh9/qoTUdT9oOxMwldF3Quz
UYp2DciNBQBxnRFZgtQGFe3sHRDDzEmV70r96bWfTHxpClpoLI3j3dKnjMgsK/tSkYmt5uSvxXpO
ppje6dUZMKrIN1usAuWQUA3OE/rhvfu5v+u49mg3hYMTY/VD4qVbd6rUIIFltWZoJfJsPI3FMba8
z7heNcGRGls+jYq7iMgAf1Jk0Y6PVtTJVs5FnjFosaDzsha8P7Qv8SJfuup4f1J7uG1eQmaTZikk
HJP1NTy3iRcOntQfKz684Yql03hs+ah11VNFG4/AHqfXiDYJf4YQ4YIbhScx/hLTo0BdnsQKmT84
IWKboFk4v5rs9+pOD9fkoGRYCB0YUuKuW/hBfMCeypCytgag5Tq77tDBbrA0odqWE50t0daZu9rh
PJwLBz6sgTMo2tt/dME7E6OhrlFdIrX/V7IdlS7JX/s/uLH+evs/C14Z+Q2FLX5lTf1Dm/NnwYtV
YGZviqJCFKtBU+lP2c58fyISIuwEhqJTgf9S8AoqsUEg4P64u39DtKPNQs9fXJxzof7r45Z/0+zk
gSiPRv4Yl1HDTA9JZUEynGYcUjUR92qn43kRjQu98ERiVo+XmtRsHZsWGVqjchMQjdtyJc5+gmUv
EaWF+EUrkD+ycPF55dA84CPYmYVuc9byHzUr/MLPWY4kRoqPKPrSECqHueJVWX2dKKIfaGdINQ8y
V+kGTyYh2kQiEwm9OwW4ix6063v5i7OFjwkdkzOf+UaWfXpzbGJB8T4mLCF3SX+RhGYv9dWpVdEE
LoZlaZb7BYQZVWmegiq+qNiBs1cedOYlo84AojdxoPaJuLz35ePlP/pS4FNJ45EcEtz8/8rrSB7V
3y6F32//56Ug4Z+UZzA0YrW/ZA4LcxwxaHmuAu2/ZWq/XAqwqjDfCvgguVp+8Tpq5H1yFTCN/O/g
k3/n7Cdqf1ewIa3+86n/bvYVTSET1VAblrX0iNcFhb7aFtG1rLuUj7+aN9S4A90XQ0hWBnUZ1kJB
PrZB2j1VOcF6D649kKxUyvRLuvvgPHLxGsyAGnA9iY7yQwT9oktbeWx3CwnmWoM4ZlzkJ60st3pK
HqYKXECvMF7USe+2YnMccLA10KWjPJVcJWvFHdkF+7AKhZsBzKZI+w8hU97HcJHSOZ2EXU74eTgM
BPZ01yIp32Wd8wSwgTSMkDHLuyk6pHdkHJkKPlqPoOHFUr0ai3A1CzbELoycZqyVdyVXv7tpog2G
ZymLSAoSfDNIyrdafxyER0RfJwe5rQmIdYUAxGDmhmH/3FQjyUkcO2TzC7eP3+iIcqb4tc0K1xyR
qg50VoSIyBKpYigYYnhO03UwLtxFaR6kUCfHSjYQWJW2mT42wSMDER6k20gqnVgdtvBSvaF9bFWB
8hkVSwq3QAwCHPZJvk9hW6v35SIuVs2khN6g1Nc+Xxziqf/S4EJED1G7qAWMaiVGps6RLq4V4ZY+
iHSX5ee6EPZZFT+8R96iZyNUwx4ryXr0td+bCsGSeY8xX8kw2TCCyYSeUbAYSF5TD+FSlKv7spGa
x5If4z1ZGWNEqE312tz1U0ng8EbMHVW+vxlT7svNQt7JuURlWa9S6txskS2VRF1WFBoaWNguAw1R
SZQnXY+CpVNqTpgiXE2Ij0lWIAweafLS1iz6BEG4TCfO/o9es0Daz4MSXUKY+q8wriwaf1uzfr/9
n2vW7MzGraHgvlBoS/3ar8LKx1YDLk/5LW1Y/8ec1SRzCxmHCMa/v2zfIql7xPXBjVcUU/q31izl
f1mzeOjIN2RdRXyh/Da+aZsiBPqdQFp1lGX63rtEyji7191G2xc+LNclZ3Dm/xTSXb8Z1/RxLeFJ
XMn8mayCeMXQcFbgVtaNjxrY1tZtnN7exM5GsJFIzbTXc5u5wW3WDzACgVelExGW2BvOrKvHYysx
2x/Xrw23xUH92RUzVbNewQnir9vh7jzslbqZLG+1Wh2PR61Cov/whIO2zX3hiMRxZd4GeuPe3XrZ
rwXrLbkmIp3tdVN/BKTQ6DvlQOfY1ojaRo9hJft3V0ICV3g5QW+NjSJv9V5b68iyz85X+y84F3NW
wt8qpF8/Wr9VSIQNQE8J4nFZOsFFWN63JZwRQ+WlXFROijH7UzzE6Xq0X3nau8PhgNB14vRAO349
y4+fV9bT9xGrlp1wLDKtcJVuJST58hg65GTcre3etd31xb4IFlYPJ7Kcs+//ABkNbJLYeJv+uKw/
h/8XfhfolsewyH+lgul/DPR+r/lA95gALRQGmfN++uvAL+g6TBYZJZGK0qsCNkUf6xF/Y0AcSj+7
TKTu9YKxlNsFGVzxDTFLdjPex95FsNs+1SmKY1dvaL1bfdbtIt6f1qGR0t4/09Du6LWNkndHIkfL
THWis4K+a/CxsoerEXXKblqJALRJoxJtcfE2MJEPCDASKcOUBhnIAmHttUlMp1Idic0go+lp1YQU
Hx7TGuENUaedj/Y2n5GBb+KsGDb6N+45u7R8UtNrPl6xqVvZTrhvgt4ni/pOBBH78Qv6HyP/CG8L
yZ0EHjzNUcQ7odNtphj9I4Zy050azJFodYr2xgMwF3Yy2x5SpmdBPuIsH7HHv01MwSI/XYJTqzcL
RBORjnr4phNxC43d4DMrX5LPNGVrv4I2DN7a+3V4WXR3T9SZTrxOH2SD2ma1rpvzxLRrVjChSsCp
VL0XnPMXz2OC0eKM17GnQzo+y2DaSoK6S3Q7yixbMjskIys527E1wydC91AvF/gQsdXf3eqEjqch
D0k6Mo574A8K6LtJcusMdyIzaXbxJpl7Lf7udHzjuwnFb/achJBqlmP8LaaH4YUXNJq2/RPvMq2z
KvrhC0SQ+ajQH/0KhTrPdPHCdBA9UxHT+pGnTYdaNyMurVoXvJbGAhmDreL5pOea2jovekVchuEu
gMYZpG/4TAZlWIBR6cu89U3vFJQu6d3TdwSVr+SltrihthFm9oMF+8tY0gaccUzNkrM9M6OqeIUr
2z9Hw3sRvBEW3QNR5tRva/TwVGc8r7fHzl8Ok31pmlv4Omne/aJe0/oZIcz0XtW7/uGrfHg/a4hn
0VJeuK22qh5OYfrq/UzqXH3SOpLHGPTNhjJ6HhzZF4X9IJEUwdZ7fyj5Nc/1HW3FwBsGwCG3JMV/
IHlKSff1K7hCqCIzi+xGPkcFNFtaqufxOX1FYkwDzLzUT/fBEn9ADISmVVDjINr2RdyyCO7pb5e8
XMuAYYDs5AEaODo7bkP/9u4pojWidvpu3u/v1VHGOQHW96d8ynftOdkTC1BtDbou8Y7fXUGu008B
Da5n2h75utnLhq3+8NzHfJXsBG827XbeXd0TLodTSRDdmFxLA6WLM7WOXHrqtwSLmakIdrl2b5Kj
vRZ+xpcRJfHn3JwovRxysrLRnvJltcXoNl2IS8CL+6MhLwEMGezpeK/v7D+JSyAmucvykTYZFivp
xXwT0V9Fdg9gG6MC9bJqm4qTNvu0fkFkHfW7TjrH9Kxr/xG+jsmL0Vx048DyEDX08Ax8ytOqun9n
04eWnhL1ZXjculuOOyzOSisjm6jyqlmr1LGs0K2tiFN/0u/vPMOhd1EYETUoIYFK84OBq01+nxbh
rusgFvMyZPdTICGMxs+XxIcQPTSTRXqAj49s2gqGVXT7VPXL3lUv/fBjvpnltn1pucBB1WXexMWa
iIceDVR+bpTNlK5SWNQ6yjMcaeq2C71EWCm6L3Sowy/0YvMfbdo/iFhc1EdIXA/paZJ2QXno+icN
lLrpJ7R4RYrfz0fkacnD40PXwjkrecHDkmbpKqZJrWQ7Q+KnS9CKS9750QkNWBVuIryFcKys+IY5
j6g+5tfaGYbZonWET84w2VZclj95Hltv0X4+4uDNATneS1Z+lV1ipJGHkwMF7Bx/2JIM1XMD6Rwk
/I5UCItkqauZFlbN3sH3reZJ547fG3dLf2ze3nB907xykLvxT7ImaM1MvniVvpNbNNcikNmjVbAb
REdnesORKt8k5XOF7T9wjfJTKO16RVuCy9XmEAAWO0EJiQ8/ukg4OQziS6PCjtJlH3thDoDKBs9J
B1a9X9tOn+X2CKvJYLgT+2BRNAklkXngagmAxFaoLhectVZR7hbQWkbv0S+ncV1jRkFmSPPUDH6E
2CNMrrxE1daUNjVLvKWnSyK933INkZWtyDhzPubN9VkOuVhtYk5mrZtToiyIVvRd0ZO7QGs7QuMJ
pP1OWArRuAQo0dfgozKgNxNXrIQCBHCCW59yF7KptX/ncDgwu3ntXOzrW+XA9e9a7nZv79fnC3bU
b9u3fcc/OV8bBxiYS7Y5g0OOO8B4Ya9AJQ/sU+CGZ/MYetB316BdrR+8/xZX7YaDmh1ZF9ANxMOO
2/Rrr71Ch7fvOxOcQrZiCjk27xHwqQYJTPHVLNbCtItWtReK73IUeCwJQT158RgzU/iSPqSP9AwE
Z3Y8JPe9UC/ZIRmoIHv4v+sZqBX/i0xYBj1NZBUdMyK15xLul5GtmhB0KRDzhF70poU140jyQJl4
4gpJff0gf5bUweUnhfG8mDPtmQV0CZRksqEB7GFooVaWV5NsfUnRIYDpVuyLfKk0FMmybYy3mqRN
Cn1u+VoUx2AXKJvXkEZy4CUPlza1vlgaBm7pbtco+xLH0THX3ftamZ7w6/bBtQaCDlFWw3hVWwvP
jB1jrYSvgyk7CPiJyEQHqDNTy14MxPGM0M6hvoqWwb7/eGyQLvn4bSXtWaTUSTEY2bVhlbKLEwv9
0ILDPs0BJgIOWzkzRdVfVK6xUhOPKOihFC1W9PwkTetxeGv7Z4xuOHaisHRj8xqx52tnYXjOHsAO
lmn6E4CukUjQKsqtqtUcQ00rlz5MutcvFbAyxMs0/nE2MFrcqIGd41WBdcGlblghUz1pYwaOsKNK
mas+N1jiMppGj86acklPzQZ37hMxr8cJ/xb+qj0kfquw6VXs7lf1tDhF+4eTO8U+8kq/eA232TKy
pfUNozom76PJxDlySN9Zac8dpNlLeWgptOJ1th6/58ktyMOd4lZ2emFYVh4aJsp0EKlvdIEJhfVg
KyF6nIF1a4lgiohs4EH4A+Heg6OtQ39hKfZHsFxwF88hD4wG/6XzmY0xmI74feFp2kwbkdPMjMTO
sTIBUnDovVuHQ2V53u511k697m7egV+u2Vh9Xj6wbyzTC++Pqi4lRjaomEqH2SW68xTDdcIGhQoK
BmQ6K8MHfWfQ+fkuz9r3iL3bYRg7mF4pOJI7uo/r8DlR2U24wctlGbyp6UFDk/7AQcbIIEUndbmP
gW9qN2UAsxRDnG4Eq+0OWf8W0dRBVFS8aqvU11aSqx1z4Cexr6QM5WN/eInlDUada6dwrulx3IPH
VEhomNkYtkb5qPhIr5LgVA02Q0cq/LhzKHMfKOHH9ZiR/z7s9NjL9Argkh2miFbz1YLdqBdesR2h
oksOT5Z7Ib98HXcbzRI38brvDuFNZWQfdIfOPIHL8wzifHocgqWnSZuxxBpv1S7Ju3YBVVwCgjIr
8Zmn5J7KltUfBdI6KHG5kosVCmczWSJ2zZzBhDzC4O3jTjLQsIRmTLU8PpUzXcXOv6THdkFabsBo
9x3/NxCq7xbXAFPd55yzFqIGDkeGR56IehWomHccOSzOOAsX6xl07A+ehqVBlpmsbKU068C6/OBu
CbLVgv0CKRROUEd9M/WrwHTum7xu3Tasc3VgibJMlGp8uvftSvoI3GF6rY5xyyDOT24lE38NCTZ+
pR3JV9Fo03VHnBC9yD/N6E/u4g3IKSR3nvASEo+S2yglR+cIegsCzcJ6P0Xs5gELurt8JM7SWvvm
8UJz21ruI+KXQP9sJOTGybGDlFVyQPJYoM3ECSs39DT11hoeX2ZKVdVcwfuWawtpAlCpcnCFD9ZF
1Mwy+glEJ010lD971sDG/whKWJ12Ga60ivmrpZbbgreVwlxgcYRjPKxA5t+3xFhAfnb8mKAIBm+F
M7m49mysjpvFkdroOQU+6GKr90Mo3Yv1HKnnDbvsYPjlst8kp3JXr2mnuRiVTsmu8vPlXDCTIGOp
63aF1hyPHBNeOzsKPpo+R0JJHuhww9cpbyr4m2o40kIQ5mGFFdU/MU0P5Np4r6L7y6u4yvYtxmSG
/w9eTo9QkzU4AD/bN165SzaEwT9LzzVaDv0PegVymjb8VBHX8LF4ILWJ7cCjekZBMb6Dt7hLvt58
9YhzUJ3ge5u05wVFX8J7fIO6bJUIeu4Ie4LKV3f55r6JYEHIlN4QUFvMFccCywtHCLoeOBo9Zdse
sDBCu5vRzBxiu3DyYJtXEPXqtQgwATsZUZ9r4+EogdejEaB9nLD4L2pbabR1UAT4Lvzak585VTw/
IcGoz92XAa8OCUhy4+RRizRkSrfyv3pEIbULb4bjm1W6d0f2SL3qFbw2TGifIk6u5TkyrVnkzqpK
gxnhnsUsvnE02RsEr1sBrlnR3R7oKy/WE3NmmTO7Eu2E4NwyzX8Bln0Zvql0h+/iMKhO96rIy07S
LDpeTORZ+KyEjJUkXZu7uzXRMnmb7PKaWwgGnLkv9HAGSqclGitj3elH7QMPZH7TyE1d4tHlHJV4
jPWpV4sz3/GRbU2zV4c04Cv/PS6ATNj4Di0sn6bhKhv+l1txeWkvkl8vKf85BCyc3rCyQ9yAgXrl
FYrO8+MGP85X8pm0wE3zG8cuVCv2dM5GH5fAYiOzYkA4+WoUDnDVwYAElHybes5J87kBuaQkO854
Hwfv9XWzWWyM2Nce39B11dgJwoPpP9bD4W7n9uUcM6BjbctdAmcIan1a11iMtNW0u49vzS16msi+
nph9mdtsVV4nG+WkQO8Zf8x2bp8p1vEFxx4eSaAVdrjlZA3Vy5zeA+8Yk2+Ji1Kwe8wlW3zFLulL
R20VsFCeG7f1eBtddS151B2W6/L98l20TeiguIcnm7yMByP8ayDbffykzhWxnz5XSG0NG6juMucv
4UPivU4gB7qU+A0qB/cuMfgmHsGZRhSvIDHc1q42UAFnMyOwDFv/0i7DYbFdPE9HafdV07lMWMH9
QlwagFkysMLbAmNU6JqUdQ+BzD1upLv/wX1whlc6csgZQ8dkV6FZ/X+x7UhQ+a0P/vfb/9kHV0Fg
40T8Z6Tsr15B8R+SNk/gwCHBxfsj6eyX2R3jdOWXTNn/P8bW/gGlVEYKChbckADc/Tt9cNn4Wx/8
t4f+Wx+8lgKhHEZkdXGul1ehLSNLGJubsRg6jwQ9ENqxL5sSEcmU5BC6ywzFhdq3dDFleLkNY+q4
r16npl9pQ715qLHIHk61Py0ubQrKsqeToz3UfW6wT0qojsYIHFeB5ocBHufjypfVbsPYabMYQGZC
S+MRRNqToYHunErOXcqcwhgVIOkMDIVpk18ktf/KuuoaRg+P+AvYlnK5qYbpyImDFC5g0nEV7NO7
kbDJazjcutLwSrQ6fpeoF7WbcalQ+bw87kdrvIsQ63qxRbtWET/r9aIW2kQyDD7cMU46oWmkp75K
n81q3Bk6uWZ5c1gY80Qx7OmpaYWX1glKcD38L+7Oq7ltQ92ivwgZ9PJKAmAvIkWqvGAkWULvHb/+
LjjjE9u599zJa2ZkR6FIiaIJ4Ct7r02oZZugyi9VfTWWk8rImtXXvAOL0nrtxR6TyarxrnqHZmbK
8/hFgsGkdxK273nHJvp64Ehtca/nNVwk0UBOgsXdtV2pNDmyd5LISM2+KvPCrw30EBV7fCFzsaJ9
9KWtLwJPEFNg522QEK6gICoq531jXZG4WLOC9OZdZM9SMo9HQSekvpM/gpjBmBlq9QMli7w2/SF8
6PuhRilgTUxbVaZeidnuykoRN6j6x40ih6jgAH+K7VpPwuaoDhm9QBliKqtR2Somo2Or4FKqNCOF
eMBVjGiYZZ2hoAupIKYUil/WJeMXSSPMs2RLOUjd0KdbpTB4x5hSZdnq98jfLgoMmlCrDmYFlrFt
xKh4KKDM65L8KMVq4g5+UpiLskNXZ3km+riCtxZhk6sgD5Rd4WlfRYK6tAuylRV2W2XQiKrwgsYe
05TxS+FH6zgbbanMcKMPJNMRhRRMrjGGW8OIwNoazK/9xFu1PhO/yprKp6EP97ko0CYSRWQbGQkM
WTid2qb9KrX81Kc+dQw+R0kFasAEVaXwr4TRqWJ/zwHHXHYIvgkVw2Zk5Fgwhcsgav5yaurSsZrs
o/KqlxyLZVwYjF2SgGa7FO1wLEmskURCf1IWqKKYXIxUX3NucQWvevK7fuv57WHgbC961kabs0QI
0mijYNOa0KBkOhpTGi4pBxYjquFZVLxLFyqrhiYk6NO930c7CRlo5Cv+WehMVNsD6n9Sm9vU2voM
hkQZo2+aWsxddZJzlPOgty8+++5FnvVvXho9w+UMKXP7c2SmLw2lrN1rHrNSefrGTpASQte+YDM/
jEaxyQ391vo1yDPdrjJmTiXu2hS+/DRy3Y5j/5Zrle0rs0RRSdCUqpMTVKojmykqLUWgbUmukhGc
cq25aEF8TqYyXgX4HIRBXscGzklZ2cST+TX5+FVbBZRX5u37mUGpmq+pIjHJqL17E4ePsqRfImN6
mVSM0FGInNYf3YRvuKjDcF/08S3z1UNqWhtfqY6TkROEFdZvXtMRQlQdIsk7xTIzuDh8UFR9X6NL
tWLhHNRJYuc0p3nS7nW/Z9VhFMZ+JAZhkZnVIe/Ddq2F7cUKJTb7Q/PaRkyydI9TTyr6b0le1E6t
Sdc67xS6PoneufCOmVbjix4mddvPMGPdKB9HSb62flu6jYSFqsgjHLcVQQRAexrdEZmzjClmETEk
EDG6J0IlYpWtxcK76wJy2Lh/mXj1lokfvwSc1KQm3ShDZqPvgBVTheU2mfTAlnKzeQx6tMmEDdeb
0YjJC4vS126iqjUbDDWJWZ6AdSKLFLLnqPX3XTdsIgsRbDAJjM80C5tK2T5DT5ecJKy3vha9G6lE
+wKGdxl6BGUK/nvXNid+FBxnt4nT96Ex16R/Y04x04e4SXf/4nqFIoWCAbY6gdmmNq/J/2u9Yv5v
e/tfH/9XvcKSHbeILjMU/J458pPPBKnRf9DpdBE/y+74X+CL2o9s1l/29kTbyZZpAdPC7fmPaFmS
/Ld65bdf/Te2gTxplhdM6rhSep01XZm6evosZS/yGN8ko7t4aNVyNGu5wBRITa8KerYUXds0C9xU
lG5gJotFi/ZtLGlTPdRw1GjrGHVchkqOKM9VBKsIErsdWzuhNtclorq4WDXWTkRoV/bNPUB4ZyDA
E5Xom4QgrxIRhgrrBpleBW/VQ7ZnCHsdRY9QK1x0I4zSxHsx1+gQ+0WI/iKR9b+fh1f0KhtRGJ4s
K7Gt0mK76QdvveEfLQtRdTkghR6tM4Ek7RO7FQyZ08D5WuNSTj1hVpUr08ySd4Tu8LNLEzIf/EPM
gZTqZ6tW2fqVGlNGkVQPiRAThrHY9CcpWo8mM5rWH62V1mfFNkqHrzFFLy1Mw4PFOWQxiHm/DZPV
mPPD2uLFb8i1pO8yTmGhGbQogGCzTj7nmhy6RU8nK140nwucaJnCpVPZUSURaMOo6NdKIp/CgYvN
NCcioRpZcM7cCvGXWuSbPFW/9WW4Uz3NcADK61K+nZKifE/ybJ2OahbYQ5ewtv5XH+6KLKGKMVWN
PA35/1PZWr+3J9jKfnv8X4e7PEO3LQ53wKlIZn+R6dDoyAizdVX8rr/9qTvh5CADMZE05BAz4PUv
kS2MbmjdGLaRQkLJ+yfdCU3S31UkPz1zU/pNRRLKVjWlI8pCERqCHd9JA7n1N4a+NRPgd4bBsOzq
Vf7AekHx8QQspw9KMg9EHtqdXnoYlG9xtGmlF+1Uj1xqoNcvNUIWve30kUBuq1hh2VWNSWnN/fr8
3LZvsKv9+p0bQ/8wPwwyVUQHcVMfJCgBbEAqUJjH+V5v/KweIR7o6qV1FaUtT2D4SMihJBoWt/CC
H1gCEw3YzgMn0U5yusoY7KlOx2hEtvbQvb2Sea/8mMbZmoB0cmwWgwA4BE7ptM7LRXAKg3VKqKx4
YSp9KT/DAkXk1ofJWt6ISpueFHnRvwrRPPdFXpACYntlw/3KDtVR5uBjbe/dUTLiPSdCDS+PbC0x
fxNaH21pg7jDQDYRHrdb9+1k7QAlZdvqbH5OBM9POxUWMphVwLXW0prAeJKxG9r43WfnDcNC1B+O
AintLN9hXoC94wTGfgeLVHHGyr5RH5MnMkbFF33fDO/42+X6Ph31a/HGDFomxxiVBHESbLuAeq71
hbHVXmGxwLJ6m7WbxwKdC/OS5DiFrql8PSnas/gB1LCjtipwURitS9vjIjR9rkBeSNE+t/KVbm3r
Fg7FimFxTBSAsvjU92imbv5hOsqP5jeSdTAr08Oa36pduCR5r6LrZZpCSneLL2cxjM6wRC2hpE5r
oDpcSO/5KifGOnlkHqePi/re1Zjf0bvARl1qzxgeK80J1GXNjK1D/2V9mM7hwJpGXHqrZj+55kpe
Da5/t/gn2WhnbWM6umPs50gEzD/jsjWW9xEnxxvO2xmcceA3XzNMdhTC/e5sJe3GfvaPLBXiN/7q
bHxL25S8a07vjLCSx/Y1HV/Eg0FaXrw4dY/RcEQN7lCnzf9sj+85/0DTUWSXKvgn+Ous6Y36k3zJ
ZLda7ffL7Y0wEi06IE5fd/qjx7At/rQYvE3CcdBklB8xeBFiDHfEgJIpOlyY/dpgH/NXDz1AvMxf
owadKjxGGAHBFatK/swt2QlMIdlOAtPAh3qlrI0n1m3CPDfEVc9DmZLTy1I3L0E+NgGKqDsbKT74
fIP1vrjCCyrp40AYiOyPQgC1T/wweWm898Y5MbdwPBC37BHU8TJBFFtygXruCKzVeJ1Ysp+UejsD
Fmc4Ye+ozEcNXydmeQWnlfbsNH5Chhw/5yfePbHpq8err+4jz1sKkwCBYSuA2pG21ipYR+t0cAlo
HpZesAi+IPnhnESfku4jiLU8VVYO+VWy84i9JztpJ7Ybd1zItjSzWpzBW35W665wakbFGZ3VK1Ig
cG2u8VZeR231cGXgqT5qDmHtbYwPiMFzxwA6Hl405FgqvjIJFUhxVGreKLMgR1JWWNlDxsAMZduX
mRLnbbLX5BXNiF5jiQfc1uwZNKY9oqRcQUocuHKbnXDHb4TJcKP8jbBOJIk7+i9Rw/REnsrKQ541
mulKmER3fK9H3S2CbUdmFj5fxB/rqF8b+X6Kjr7FAog3dfquxTVkmXBbclwI6lF7rFD55LzdUfxN
8dmcPnhBfdx0xbpMH7r6tayJ+mTRJm+y9Dy0kH7zK8NfUNp1dJmqu1Z+5tVLtgoKAymWmyyV2zQs
blAj8QgaoFiGBwkEQIl3DNMeob/Ztr921c0AiG35Wy9+1HcNIMH6Wprs2GbQr+XKhWRz0LGi17Fa
CluN7VmNpxYVWiY+w7Wf588ZvfpF7T7D8EVqTyIqr/QjDF47Ik/0r1bbdLdldxv9PYj/Yjt16bJh
gFaQZrOot3Jnk9ImhI5UsBHjnFv8ewExqmXK8MlMJAYofRmycoH/vzsVFMhzK/OTQeh/e/yP0kX6
g7qEB0i6LlJ0yDzyh0FI+gN7jgaGbVYT0yr9ZBCy/pCwUBCCrWNamgubv2oX6w9RxDMEPMZCEixS
bPwDixBBT7/WLt+f+ndCMKJRfPZzlfSzvEJIxY5Rm+GtSs6G2bJFmthXE8SG0AYCt6ghtSiT9KEy
FfPk6B6kLFrShEhjRO9PnYwxMhXWhRVsBYFZWoxZU7AmF+lhJJcX5kSIcaR7KartJh863uSwDhPt
LBYgPhIMtbno4Xn10Jil0VIcNUT58ug3S0Ht3U5IsSF7fecGGUQwySOoUZeQWhXNdEHk2rGPzUKS
5Ss5WfmKRF4xqckmOgKERKKB5ToMV3k1AZrNl4kIqQXdk6ynn57fLdSGzZ/Zr4qKo33A8Z6HbjBF
L6boresMYRZBwpI5rjwpd1WWnIIUO7EYn8ZQe4qH5B6r087wTVuqPVcXzMcifu+zZE7GAzkyuTHJ
k4vSkzbtEOwD9o8eFxZR/GqGm1bFbtYVpwKWbMPrUY0YsMmz3EyWlh6tbqhutaxCviR3PK09Wxrg
3GTSWq5Mx+8mty5qV6mZ6qAUNKf+PGBq2OhBegzBetVzJGIhMp6oWXYTIEiXFYrat39tW8IbfDbo
6ajxLXJF/z/CInf727H9t8f/OLblP0hU0+FJWZIi8jenjR/HtvyHQpocJEUWAPKfEW4/+hLzD4V0
IqYiqsmRz0/70ZWYf7DWoStB6EScKrbBf3Jk6/NK5Cch+O+/93f84k+6Keb33dB5grUa2nFaYNKr
ma6HJ7ntAyc0021hWeRCSCuV0jGeRgkponFUK/UcKuM6TFWF2Z6wJSEGrUnGXJMQ0sHTkSznz1qH
Xtkve2UtGtpdwT+0tFqVBXYjoSOjsiHORi9UrtC97igBQCjG+TAHvK9qlk3HPTA44TlgMLeQjPE+
1tDwJ3MbKygV24K9tbbsskGm5Bgr25iCZ6bIliOJDctRZnmeua1rfYE14qCb7TrPUGFnzRDs2D3M
sz1pObG/Z9Cp7CxhTiknHyjWtXoRt0H7r27QFdZ7+PBmK41qyP99f6gwRvvlKoed9G+P/+lIIAWV
pv97+tXPFzkOBLLnAI1iLOWNzSLwJxcsl10adE3TyMcyNTAzPw4F4w9GexDSDI1wQgOn4j86FOTf
LnK/P3PlNw2halqeLPSpuerCjtqH86IGoH5wBC5CvugUorA08gMWNgyp5oE9CzJOSCS9/qKr21hT
Hi0YL2CtKbdztvQ5xM0VweT9AnqaD6cRNfvyXVi4r9gj6LIHD/XUenztX4Eouc06hLAJxJgSNAtI
AlePElWs8aFjaX/nowNPEPXRY6chLDJ27DiGveiIjuxo+xZ4tCOIZzn3F/P9KqFdUctArQRdgmqK
tcsgoAVmQy+89cHBy0k44sbYJGGbSxw3NWb2SK4E+DIRNQhgQuS9kde9IN6p5FOQbsbqJDKxVovE
OefCpwJmGd2VfvI/qU7dcAki+oGscfcVLpuU08hxOtkhGl8rO6LKT+mteNcu7cuZDHPWU3L+2gKT
MDGtizHYLFFxuLWWj+M3ayncxXO4MjceGBpKzzWyehuxIZIjTjczViex0B51+HX3Mfy0Me/tUF/D
eTZ1h/Jaf4xIFzFdwC3VQA4zdA5lHed7QvWid7ldK6jso5CubFOL91QNHB0+Whc8kr08XGrIEMi3
TgixKkCsV/JV0X0VnW5bBCk24bJnk5hJq+prFpcxMKFBeyXkvNLAUAIhz3QoFegq0m9qCcoRLGlK
x4renKec1xBOp9twwXPPh04QCawCFEOkGqK8SIej9QYRm2bUP8HErgyXW9FmQ83rzzygP1tv+h6l
BkRsftsxPyBmnSk2cH0eP8TwnezBdTRcZnkceG446YL8ChgeFZEHHmt0QtBzIVBTtEmErcHOlpSD
rG9UG8NkfwaagYxNfczg//gKXu9LsBvl802G8AHkulsl6lZJt3Voa/p8i1qemm7f13bIvlg+84ko
PtEcOmip5GDFi1AhJYZowWYQxc8b5wZ79KjBFgnd6joWXb6h6QY7mdydFWAPYau8RWvsG7rLMvfS
b1R4eTQe9w6tC0Na5Y1yydAXfL/8JX1hYoHon3nWi7ovCFiAYQCvcKZcg+Bmsw8oodxU2ZZI+/4U
P0+vs2XM+qwNEm1AZgq27Lm8FcZr+jE28wNECCkB6JRl+cJNV57aggaKEokNFDbPB2pDuCJr/Wbe
+odxFS+GE+w//0uGuPDgfSKBSqFXz2BEO7Svjs7R0V2weUCeuPf2i7Q1XtHSRnfqwa2w8j54O2jj
IrtjHkm+iq90Q46b3C7x677V5/w8fRlkHjCymTaoeL7Uk7Rqkqf5RX3UbrS0wMBlEKlggneJteP5
4zKGRo4OrOB3tr9DY2EHdbt4OArJxuMXhkUnbvkdKY/h3yiOdQ+f2Qq4oFu1gT02gFY4r+YufrY+
QcnyOQ+RYFA9jNf5lXQUR34tPqoPiCAdnDbbqlcMe5AsgTnlozFW2fx2ByQ0PaQRsz0UpOJWEHmj
7+ArJiTokReLBR8WFKnjJ05mws4CuI/oOcwXvMI8y4Qx4xMZT9iiTpMC0nxBKBXHI8ryYZM8yyWx
H8hKOf3arVcdpAz7j3BoZf0GytUAxyVI/bLlXT+DjWCj83e7bc2nsDBtMXjKumth67cdJBqISWhc
iRN/LNc1QT7aJriB6nceiGBfYr+79E/JJ+Cra7Ea1/LTVX7K0Zwx73yX4l0Am7xX52ydRl8Gjgiw
P3Sz2yguhJfsEyMSxhazcEb5JihPHk5uqC9om0ImJd5uOofv8kV7DJ/8J3MJ8odEre+gSODJECn/
tZU4V2H6Vcpxqlvre9/537psRQXV8Xv98bfH/1V/YA2Y3Y6GSm3zvar+qxKnMFEMQ9OpyGFqUCf/
qMQNuuy5LiHrnP6VPvvnAoSctnlRqNCIsyX4RwUIe4xfi/Hff/XvG4SfivGwE7nqyhk4rM4edeg0
Dq1tCSw4dhn0W3xMZ/NBn7BD3rE1oBXSAyLOmJY5SPatK8P5ER3pntBwfTlRU5x0rnKcWlfkikBb
VeDLMR/3uShp+xlIV70UmTttPDjBSoCC7kYWnJHe+nZa6ndm5Brv4B4vWHXWSdBQ50m5KDIzJ7RM
XL4338gjH998QqBJusd0N7pEKAYkjaQIXhE+LVtHfesV0zYNRoz36kWJpKXXPBrLFZU5g98GtTJ7
TWu0bKk4kYmjMAyWF41sex1ORGgeTMdBcnMn6v6tgf1vfFLfpF1/SS/maubK5VtCdfj/eBdfgvN4
rx7Fg7LLThLZPaC++PlUXeH6T+dyhuCdBmeRP8ysUOkx3DGY3QvPKvk3aAPW5Ura4ZkgrK5epU7m
ig78BocB4kEHoec5hq0fBtsj2mZW/Ctrfyc63rbbCyfhFJ3lLU3NFgE3nutkQ4D6RnK9rebKjmtu
iWXf1q9zdk3BKx6ui0fR4eq34s9W4W7NJuDf1juQw8Za81VYA/dEcKxDex6ewzfhyv4lLpf6g4p6
2rgqH95De6/2XO224oP+gIXuoXKDg3Lt3DsAUXS7hHKugZff9RUbmwKu2J4r3EpHSu3oW+1Dhj6d
UwPmI0XWEXjrMnP729BsQrIn8G64vu8azUNROcJ07piG1g4A9mI/G7zjfFUWO5Ns5iB6SxkyC7hJ
jmbtVtElSd12eFMU8HhUCe3WoLdM3bTdG2a06Ji3DN2imZ5M6J3PEgXp48AYAnAVZrHlqDarTkVi
sZikc9JxSQDLz/3JMtpFL0jnzPaCgQfhsL+W7HmO324HglFJewkR8yt2fvFgyazniYtJE1kFBCC1
HRV9GjN2j5JdFrdnoXDox0GqArUlmlyX+GnL8jAbGvAUj3t/m5xYk6Sv9Y0/h24dx/saOBnebXbA
4XK61912HrXw7k21ew998C5xCT+Kz9VXIQLSSSfSBm0luY7i2YSIyL9o/mK2JYfIcsDzEcVPOtI2
Y210BluGJ6j10MCaO1ruM0N4EfmzifAeXdeKhhnng5Q5asd+bukRm7cYQ+jy/jL9ltcH081DW5rX
GVHwXD+Wk6sre8xxGvotNPQ+6+8xeGswe3w0AtdVB+GOpLnJm3ny5qmSExm2igQt2zXVQr+W6sVU
LuO5DY/ZOviSXUyiY0R0bXFG7dJukOm/VQHXWigUN0t/lkan+BIO+rVyeAWw4qV2vq9htlnbrLej
o7AaZbswnhkWZndh2iT3xkGANr8iH4LnsLgveX1Oouqop+lYrbFvxPuEjHimVlhGnvv9E1LzxRKX
qr3vXUooCqZpGV3wWjTSQeYNQugOocNcg1lQRMdxX25EV3VflsWiu5cY7dtlvg+9RVIcScfdoEQQ
nGT9RkSMq62O0jK7JMdgwgfHIohmgbm6StDJ/Frn536jTU5zKR+Freq2J/6LQ3AzvPnfmmXsolDY
p+oSD0K4rPcYrd7QvDl7hbSX4qKU5Or1ZLSAJ+vt+Ixw0/aX3sl0U7Txl/xJ2IzrannV7hj7rGJ5
zjfeMwsZt4O4hop8coaD+eQtVLu3EcRhUcxWFK4bjxo2PsWlLTPSWAzEmz9Vh9ZczC6OFx/ApYUw
nSOy8J6G7QjDrNE2SX5unKTmcpFEyyo/D+qDEqY4E1ltTixB5wqvDN7VJ0qmUMG9Tqr8o2XuvLmI
BlPPsPKzYqvRb+KPZomBNndrc2GaW9JzwEGtjHiDu7QrPuG0WdaTQqBTchUqdIc2iQpF4fgcPdVy
NZG9w0H0kl2ocKhzAPFKRGl1Hz0/WCFe4YFzEoBtKkpuRwH/Zy3ELawVuXGuNL9/lar8z8//c/uf
t/zyN5ts+CrYrK07v4fisVA2D4luR1TAXCnz5NJLT16z9gnf8U9peirh/yr4RfRNltiquE+NVV6u
+2vWViu+S/INnWEuP8T1l1YbLh+cX+sVrsiQAGD/VBYzV7xym+SNSrciQ8gmRbGM0ImuPeza9MPe
Ri2IA5gfSUZOZn0LESJXu9R0BXwntxLnHuRAFZvuwvI/zWlcKP5Wh1lD/JhAUtW5VA0ym8apOBhn
H7shM/K0XMrNER/jGD3mySE65BSeRIIhkuFbwl3Hz9TwLkJwS06btkRaHz/1lm0oNuzXf3OdqSPq
gJ1vsDmRpJnm9n9vc4ASz+uen7Y5FGt/e/yPOlP6gwISvrGuc58/x7o/6kwWPdzEVlaW/mTB/VVn
Ioaf892ZZv35tZ+2OfofmFpVeG8w33iq8j/SnekWv9rPQ9/fn/q8Uvp5m1NbqQfTqBNXwxXHZ098
01RLew+7l99QHibdLijLXaDfPKs6eL4bs7OpBMlVhnOBY8+KD/qUvHoStuGUhhCgpsViR/nqDE4D
rZa9aPWqGrqLznrIK7sr9c4Itre2o3vvWivlGM3745VCBNSyfpnGg0+kBlpSdLOpdGXQwScxpzri
X0n4mlBnXFHsE+9F1BdfjayzaqONx+7m+w7DlvHcdB9WQ7jHW/tixZ8mlw6mSQUlk29+1QojAhOu
GzzP7EN9HAire4W80mFAn6NcsnGJfIBNsJQ7Leko+/Gcfw6MbIblaGvYBB0uUktyBz+qOne0cpc+
62QFWnZh7SRwxUBPE7j5wRkZCHro6jIEj1AuhuFu4lRifEGYHx5u6VjQMbcFMxDmNXMOLXsfImHI
B1tQBTOxal7JJOOiwvKLPRhkmWecXRXyD3rDdYK3jVCX8TpwmRjXZfAqMIyAwRtNjNXJDHYnioNq
u+wubPQtxSU/hTN1h+NB3QY7YmHwSU2rhrjvKuJ7rstn4xBvkmO5AYmxBo7AQIRnZU5ffHsfFi6T
gv7UYO+vHtRgH9VHtCemcSrnkQX5gncqb5uZuom4eDGtrFcmZaTpLlYRA3t5HttkH9Mj0trtWHUb
ryHvLT9IJ2TzC/gtzP/16UHUHiz5MmoPQXfVGMLxTlh4mMi6Xcs/mlS/Qa2PCNRtux3zsBoXfiGu
VX0dLg1GUc0tEx9V/4Ye6cp0shouZXoaHoCYobKWF5XnYHjGmLoegAXb4GiMXcvm/FnFdmx4C2Nl
OOHDeMM2sqiJF8AoEXdzepAHiPRtPD2ZmAlxB+DXhLmC9U28+Yhv2kfLGZ6Igl8GbrfWbc+N9+V+
2k6rjPM8WKNwr2SBM7+LHd4Xxs2ah74Iuezx2BrHXNxOG2P5MazGYK8nJ2+32h9Z4S/EBXvVxe4h
iQ7UziJZdVdBWrMaDWC3UBPXi1tk7RDHQFM65VeQHOCkr6EdBJ85Ttet9VLvCAn2juGViUSxqoI1
090o3EgKyBQLzYi5Eb9Nza3yYgL2srW+zpz+JPBvZB6AKAWUpFR4TE/GamtUNxijerUqv9siO2Lc
0LKrG+1EoUvpPHsmZzf7gvCD+jF8CV+UO5uVe3Vh/DUcNQydpjsnF/FsmyXvRuWG5L6k70rPef6g
Dmc92HcPAi7wV34cX+DL8bMnXwABa7fSlTHdMoiikKNEY+i3BfVmhWcLYdR7+dSzoUJZGTk+MjM8
n0dA1fqBz/zkkIqkYGLXmOkpRV3MPhhAut8w0q+LZYNpMlonlyBf8eSz6BitJBSt3UNFUBOsbkaj
gQtyjqWr1NhLUL7meDHmoSmd9fzB0kk28KBhPSMqmsv1QsCUC+WSTgu/IG02lkEu2K3N34pPFuUl
tB6FjlSJlTAgr+B8CtjhxFfxHwiGYwigSFAXLa0XcqZZ5OY0fYUz5XvuGEBI71kyg/1ZMk8SZs7J
orjhkd2Mu/EpeChuxY16UoZ/jJ+cH9os4FFAnYFQIucbATR59OJNZIFRQrk5llz11hbwN0h3XshM
pUkjpyt8F1k7wzF+IiwdU8g42T67jm5+ivOzIK88XVCDwHdgsGagKSEK3eDkP6eQA5I1Lbs3QDss
bP7A4muBsIOSb85Dtu+QFrXKKQjvcsUgct+1Bz6PKXGB3BL4B50jsrPIblEcdU5aOGr/UUWOID/V
BnhvXFUM9CGbG4462vNjDAe8h9u37ti6mr43xF0+lzZOI8z39k3XE555DD8TaDbflQ++xOcm4mbS
y9ONFa569aCER56LQiGLQsYziXiRlMVQYZmSA4ih08IzAEfTcptcpIbJSbzLBHBcCo9BtzFScs15
H+jQSfrY5glyCnMEQV8iR6d/I+K3OQt4H1m08GqIuHnHy7+51mLixhYcdifxR3gT/1utNStnmIz9
Wmv97fE/ai3xDwOOKCg9EKCzg5Ba50etJf7BnnzW/Zvz/vzHOI/9OZHXpijNRD/sAb8IflmBAdxV
kA9TaDHp+yeimXkw+FuZZTBURJ6DYYCh4+/RhTFrxGEYTHnFRhCVr2EGkmNhPleJJgyA46SjsR/k
xngqJab8WTlv/Gg1pl765vmcw/UiR4BWInpkRlNs5NacKTSZcMBX2C+GaPbc+JHEO7lSH0WxXmpa
mrwPRmB1+Hpn620frBUhXZo+kMxRp94jnC/NIfyL+l2ksIqF/ElBlU99FBPqZHX3qvcPaspCMk+2
5qi/JiFcEQijn3EjOeaYPFbZo6Q/ZpIFkADvAZCGwcILwOeZioyHZY5l2AMXDym4xYL0PN+q6HcP
ppUIEx8EhtFZrOYq/Lu9WyXmpkqrjcbcKVLIQMoj20JDmLWBHcoixE/ZaelH0+Al7OCYSVnkxFqg
u3lXHZNMPdb1FL6MCnLBXANP42V7qHfUYR1Vnt6mH4FKgepfYt+YtqjSyagXJkfvzkZMNHSfOZoc
pN5S1fzY0ZrIO9SGhCpoksK7Kj0HJMj2RNElzN8SE44Up3EluiteT76xsS5w+0gxk4mKgCQDGWWS
b1UGAlBPCyvcZlXHVOxSeh67W0BCCdxEPSKugIItjo8d1yBRb+YrRJ6Pi7JO7TZj/NEGdWenyB9g
tTOoVfXoQxlggJZxcsHlsS4UTrKWWOz8PCDNysooYY0iZA5XJmyq4vwoDCzFfJVOtYQeKMYeMiR0
qZNclI2dVW37pefli1Y0ydoS0P8S/0VqnDe2wLeE7K1Qhe8ksYo6qJ7k5Nu/+rzFchVPM+cYken/
f+0ROW/93ZuEQOHXx/913uJEiB8Bu8IPhc9P5y1EDXiiDMRBxuyK/s/Jy0AMiBRw9k4YdK4mJ9K/
xBD6n6cbDaIoT/WfKf7Uv4sh6IvZlSjSHFhH5uyvPaI/KcACi1FaRbCMhR48TMq5aRChi0XJSYDg
JcsPQlqjX2C3GPcPurDPLHW499TdqeTWyNX8ehI2vh/CNitYZ/jjogpvfsZUH52bBsllPgNWnApp
kDKChxulwPpq9MU+zMhsK2tUaiZMQFnyaOHC6ibixFFz1OflmDtS1NJvqAYBkTeR/i7rQ/AUOXAG
o+/souP/Go+ArEzOsy8pyV/rofF3cd3cCs+7WiZsD80zPoZO2ucJWsbplVbGzfoZm0ecgmZ1XNff
JKnchJWHvUE4hHhpKzTzVnyu2VQoKIcFCd/iJi2eDBNDZGIcqzZalp21CbxYstWc7Uw2WDe/Rv+R
wbWjRtWDuLBjr7zUwzkD0oGbeTfp+YZMrsg8at6jL39YwFMNOP0Dfg99HRC440ur1GRKr7AepbDO
VaZuK21S8IfKqzGWV13nX/qJyauYr5vmlhBvMFJ39vpWGYuvcMRIgbLDOmSsUzStcxXgMJlA0kzT
k0T/zYP7ae4k+ZvajPzCIURILLYmFJtYN8lrk+muU0JHPHJF6LS7Y++l0HY8/SCaUNZwsjky+Oe6
rK6jHzmez+xe01Pi6pW2XP2LTyEy1Yw1U/9xJlFz/NdTCCIogzv8Uvr8/fF/nUKQUnGQ/icI4OfS
R0aPKHH24Kt/KoN/1D/MkjiawTEgOlSIcP5JWqiTRQnpmCoN+/oMSP4H5c93YfKv5c+vz/x3JFsS
DnUf6CiRRFV8EIAkwFjYanW5sdbTt8zYt62r9taT9k0DWvlYMADtF1No46c338jFATd7xKMY9Nuk
3QjGl5ox0Pkf8u5tS86ryhLwu/S9szMiI/Jw0TdghMFAAabcTd9omLLLB8myrAO2/PT9zf1Hyor9
hxhNrujBGl1VFKOqZFKRO/Zeh7nmnOvP15+h//z4+dPNJ1+//M8XdBXXzxlof/npkx9+9+YPtk2S
Bn3z5NHtl4+GGMhKSP8ZrKFvRZevABdPv+GbhW/0/c0j/8rf8uoRadA3kAX/h//8409vv/w3/wHy
nh+xnX7AD8n/vHn8O0NPf8m3b3iyPPrautfPoRj7j159oi/++4evmND++MfHn+5++tPfn/51R5xx
9/G3H70h0Ln7IrKKZ3+4++3u37++/M+vvvnkj1/u//adZTovwc3W1+0tan989eG3PzJOfY5MpD8T
ZL770+0X3z559FMW3L/WZPwVAPaEtuI3V7//4MUf3vwb1AsS9R8/wp++4eZyS0tx9eHdZ2hQTz/2
A9iF4/M8Mp79o11kv2Po8uzD29/ZY/z0Y5t/bv792cfBKjBEgozDNp4Sov9ii+7yix9/zbf+x/9t
X3DQqO8f/cAChgXNza+fPvsU5+SZFZS/eP7Cj/pCB//s9n+iiDz71eb3OvrHrz/5/u9PkEf2d7id
jIk++pEzmLjw5In1Crp6JlYvv/+IzOOrbyBLf3/52XcDErg2liGbQrtBSPEPBPC7oYj6OCKQx9ef
3thFtNdrU/d8cPXo2xcaXkTTn/6yef3J66d/eMwK78k3v9rD0b798TcvvoRjcZh98vnrl7sPX29/
a6f0V99/8/vrF9kWaWtiKN1vfv3jixvb5s2nHe13Nl9sv7n9yK6mX26fPfv47/ZlPvnma+5sdqi9
fkHdTRr0uyvMOCKY73/66Vdb1nrP3/zxh+91zs+/+uQjdNtfXr765PXmKxKUvzx/4Zph/119+wd0
r0+/vf7gb3srZUiCmOh/9ejZq6cfAsf++v3u1x/c/fkldbhCjfDiV2/2Pzx6TncL9vqNfzM52F/+
+PHNrUU1T9/8/v/n+Gkf78ZGQIUIp4GQRt8P06d1nOkgAPjpP/9z/Iw4YmfX39V2mwj9bvy8tZti
azpA7/Bu93gdoirO627Iv4fG9L4A21tEcU2rwQHnMp7u/5Sp+5qMuv7c72L0H7zgWvvk2Qevfn35
wVeAxDcvXv7tp8cvmYftvv5u/+iny6dv2Fb99BxS8wM1xZPHj19/9ejl9Y+Pv/n49XeXn2UV6OV2
86fvn794/cHHL7/avnjx2eOvHr8k6ny1v3n625/2aIy/dY1fvPpfCj0cq83L57+5/nt2Ij35bvf8
L8/2d09+u9m8eLH98+Ovn0FDGtzA/74YoLOS/exXz159/erNn15/8eLNn794+frpq5f3qSx/+sfv
vn726i/fPewf+sc/6JC7//Lm+Rf/4789/+4l5+Vffvf5F0c5Havp2gSIlie7THbcD6Y7PT7f+PDv
/XFmiF+/ev25v2R7ezFJm4nJvzz84Qe3lxd3fFHvcKIIjCAeLrn3885Rve8w/vHvuZzqP/5n3vvh
36lvxllcZo+RF3iF4u35Hr3vf+4sKKIikrq52V3toTgppo5OY3NBFbWhD7/dobaPJ9/rNMCDui5c
Mr/AZi1D+adO48pCnWBP+0tlXqpQUNfRaewvDDHVif5OQrGr8M16nQY5vtqZqa/NP1nOUbkbTkOw
v75Mjc1pJOS7o8OgswMVWnS7d1LYfkuiafVQ7sx+L9mWWP0esUPlodxe7O/ChZSsaA45oaxO40oS
U9RnJC0H8lLodTXgIESPN17Jlq1DOWzwcsENtZLqLul9dRgZ5/OSYQsT8VW7q8HxQjgDF91dXt6N
TuzhMdQ7udrS2Vwumprx2x49lP0FBkNOHup+0Kb1uhrXlu3teQrqjrfx8Kk8lJwGyd71pSpx7Nub
78ZO9tXbHyLoqBX/Jafx2efffv3sw69fvnrx9X+8erfc2GyUt/93RzD9jKMaY3+399QOI5ON4HN0
J7aQA3DmVoneM68mavqapNQ85DBiSi9E5Lm+4ni531iNfic4TqexRS2SRgDHiq9ueRX/5y4QcRI/
ShF5XeU0ttcX0rTnsTcxuxY25rtxeZGhmlSDL3Vw4fqXvJD3VuM+PBb/1ZVB4VaNXL0bZpEWeV6b
M21C/pruxtUFxQKbM+c+wmezxGpE6zMT5HIvVAtxIyjdDT2xm6Z6M1U9VYG6G16mUp1PQaquZqeh
O7mEhN7JJ8oCCUX0r8UNGZM+1r64S8lpziWbC9WYgLJkmo7diY93tY0xnrixLdfjdyBxTdjusFZv
eimgFpnr0j+zyHX63Y2dnhWtwQ0PPaEWRe8utGD8+mQnZVxWAh7nlE2Ap1uoko7InyYD94qit7Fd
w6xQennSV6WXsr27SC27V5S/zRlHGXZzEcs2jNh9y/YkUXTndksnSmXysFJOkWFZuXh225tLIIme
froblxeqfsYVmeq07OPPHkUFn0yxrvQ6eXfT3TCv5l6QUg9Vulv1JacEjDO3C1tJ2Ci9FP2JYi7d
2JXiRQc716Lihpmev29YGLILahc3TCqvOS+qOIS/w+f7Gcn9pxAvcYM7k2B848ZpWFansb3YwFD2
NwhOFKbtYA2VuecdTGbDqFVTv0T5h57GzcXuko5WyGDowdxmRkO3RsH89+HQS/nVL6ck6u1iGeJ/
0VxUqi93Q9OmvPcQNEDDY2SKG27OXmG2jG/6ZVhpNSP97E6/VpCW4obTsNJYVa4aBbprUqcour3g
PaQaMadYNrW3ixtxioEJqxF213hKpbsBDr3RrlnSvASG+TQ2F/5og8o1zGkOpV4jbFi8U0XLAum1
rsspJbDZ3v1wsKZHUsbRQ7m6yNDAoCWomGzWbmyQG6s+5J+lYKqmlNuL4N/qqsG3u4wzwNFpbI2U
zIHvlVn9TiPGSGFdo/JBfGqlaOBQedUCGEFDvU+JdnwaGw0/QMxfGP70OK1ObYoEuxVEfXQAXSD/
Wkq51YYwik8FYzyVpZTT1UAjtxxe7WWG1e4wxE4UUqvpN74os8ZwPEvohl7Nb2t2wPx6nV+vdLDC
Bq9Kbv2h6rfLKKbGN0al4EDtfJC7h5+GqbyBwQ2QRxM4OHjT3aBbAHg591yc4V3WrZ83+RPz8AB9
zn0xv94ZrgLEDXI5J2p/5g52e6GigXvJwhSwHVPKNRQq8yStCo/W6t0QGrnIInFvgw9MVyPgBgzZ
ycd/rx0MmCZFVo1RrTY845TSQ4mJH0WQ/UbiMRQeQWUKooInKryG2QzHsbULG9c6FIM/6wWYBxXJ
PAgsilmQ8/2uguk00HncwzHGCrbRby5P72AKqIVieepfpSYl4IYfQXiXISZkcb4be3fHX7MxeLxn
8PWqNrYaEzBVxuSmPqEjFVKK31ZWVVjZQePHrYKoYYom/wCJdToHhQa72oR1NyPXo3QOuRW6YPSE
q2u7Puzimd7I1hjlEmRgWaF+qCFdIyMvs0FlMoYp8KtyK3IakMRoC6gaZae5dU1q5RwePr+aq1vr
GqRc3BywhspArVE5jO0erYm9rM4E/rtUVUfJ5BIiJseAyXfK1BFQej2UhE+f3xMxUC9OX10NEM92
mRed5PE4cRdnmTd1w7uUGSInAMqsVJ1ULTOwFMwSGfzBf92Ndc11a8Sr9lfQJIQuEaoRwgPQZlOT
Ugk9lJi49EyU45DQn3/huYtnWa4u3QquMKVl50CnZ5KgoVykkKS4NH0twuT7C0RswzNfPfRsXYEO
Ass7bLhORxH+NAIaWNIgCT+rDGjAsdTawHa9q7g8pVZrfveex+12IRQfUlejZ5Idgjfiv05SK1+b
GIifaW8gXcaugZjnZ7LDlGRqYBpPn7I4+3e6GwPsIohRcRnyACFqufX2QvxE83PXBqAx3w1lF4p5
zwp0JBPzeLQrpJI9lmwpfsaqC+lNtXWYnqyeCTIErJVofJSgsk2ni5GgcaUgEPXYjamXah28XTNX
1+ZRqEugnXWXJmiQRYEMrpLKOw7kfSplUsLaFfvhUm4VNKhuvbcrtA8lXFxBjkpQOgNTlZS8KLWL
ur/T3Ri51bUQ/zVXKRJKL0XPqgFGKFxwveAVR6cx6NWaOeS6obtY3mWjhILWZIpkxug0AvaXTuPO
S1BhbCXr4TM94xnkSTCkGC407FqlwnMKtQydr8VIis0xVJ3uhZMIbu5e3I7j6BdBdRND/RBPo2oF
iraChEHzBUe8QYSFmh29ErQVbS2lSwZ4/erxQDtSSWauaMMa6xLqh5rgDDg3+Y0zfo5k8eg0MozX
D/pL8bz6lV0+GLRSP6HxVgYUCV5OA50JUcMUMWYsJ/BxL0SbPyaMDeGddGkoaChG5dy63Y2hmZPd
A4VPEP/gYF4QGj/Iy/KsXlVXatAIk1QHWiuldKnOCCnUl47/amp2WFw8vZKbDJ/hgl0HjLAMoZ/8
hOxONVTMrPCKXbgvlKIJkauYIZfo44TqjhHU3VAnGcTrXLkAs20pnQabKJQV5fjtnZ+M67Y6Dbyu
67e6335TpH1GrRqUKHX5UJWqLhV5wBGcBE2KyWWIB0cv5Wb0J0iShpCHfNOpIpdPdKyhJhq4YtWk
OvD5HkgKdRo05ls0NwF5MTk8Pg3ZlR5YWj0cxlL/t6nI9Sf8PEzO3eqwvGunIYr6Gbc3+r87rNv1
9MR0Bc6onROlpOBMIJvdjWj4glDh1FRfCtIKZMe0DjWKvkdFMb0Ua/qcBmby2wV+zQ6Dg4TRefb0
hgJYfSiGlbBQP2eMEoXko7DhoVyCQUNcaKpdO3PYkFFi0yE2hPa5Pg10+wF4EHou6atR0MCowUYY
6nj0iXp6xTgwuQWiDUrwdBaQ0Esw+fAU6nYU6IrhFJmQGj2H0lqqNGQTV0HRIjRGurAShsutd/Gp
RDWMHUtDdiwnECIzH04CYHVRzK3gZbwuG7xNC/za08W4ujBlgpEjCwnaHaeMJs+MQaRDBNkq9ocC
iSHmi8fQOXU3MBPSCbkWB7Jwu9wqhzD9MIeWECEzlbsRwUVY4klMwcpXwvBxGoxd6YwhG/86I4n3
yuQBoVxptQ1AOTKZak2ePXv4TOYBY+I+vZTdcOMJhWwxoOnH+tOfCGcUMmk5i4gXHrlMomwhusgM
ZU2PJe3IuD6clobQMEITQM58J6wVI7HKQ5FSFHCpIfysyALnSgM5IWbqwmxL7a92jakqZbKKAzxZ
9J9RknseQJ5Y0BiRzJ08j3s80NS7TZVJrGYT9dxeAKaJaflqJBxLGwim4uQUNXRzwutbnXQ3SlOu
hk2hqcBMQgM3VE5DRhE1zIuiakQBSX6aGxQI+kbEwL5ccPRe7ZqSCw3v6sY87MZTqd6NkDC4mS2I
53w1LN5y/QKyLYjYcvSNOpQ4Bii+tkl5MdIpXQ3gMM0vOeDBZmYeQgfWQEnOk+zpaGZ2fhuLFNxE
Iq2aX1NiKM2aGs7IfUiPVg/lWjqBAg23/X4dG3Gn3toLdruVoaU6VHpV1QLDoYmgHnFhdRiAMN5W
9/5FzSqv8BOMQcGTuPCY9cXKax+jEeUGVqVx9BAeHcXQUMCwePAg0SEX0XivGHpmH0RtPGcwNvBD
wTdXG9leGK7MfbnRDhumZUTVYE+E362GrAXRmwsFJrEiJVaERyvuiql8BI2SelcdtBJDVc6nLmTO
Ghyq2kjl5ckxZDrsTTp6KYzNKEgFlkX82TGKnpdBjWGKyQVAGxSVKYq6G0ZOLsfClexmu6wGypIr
g/RwLM5gNBKFidGqZ3dqigLbwBAElC+0p35TFG21UboaQOaTXqoZVo+OFByQNTKTuZunkdcj+4v8
nQ0x0XE3IDPRn0ZUVJTk0HfCvOhalF/quRWlHFgu3XBzWtya+s2iwbjmrlfqQ/WBEFgpzFN9sQRN
GAX/JkbOMTQ+HjtoKWyso1lTsv85mbLIc8YDMXtbG4eGKRs5FLWO4n3M7TvVXksMBeUrp82hqyxq
nA25QsgAEUTtOkeNWOx6jaw5W1pXaV7HijQthRosto6Vd6Jli98dsZZaI83bGtvArDdlw/TCK8NY
GH9bm3beaRg2euC4ed4xBKZ0GqyraAnMYwjUhNHVaWwvWEMBvlQjmSx0i6F6Nh0WaR20PK1suWfD
aoKjDSbsKoaCNsQU13CcVENL2XguKxDY16PMopZUbkbA8nAQlHMJpGOb15RRNK8m0Qtc2tAvIIb7
2ga/grxnllI8jfAqA2kZR6SdX+VXqKuBJGmGrN7OkGdoLyh/ldLcmvx7LWrQXiBq/MzKmLt5L4XH
KrbPQdsIMu2UX8NUiGaI9A6+vdgX+nwP571lOoWtYMh2qCaOXsoNyBQqT1iafNJwyKYYygQWa5ZH
oXlK5aWkm5c7TXGhziDzE3bDnMLiXMvrSyvTjUstv+IN7B2DIArkrmGiTgNKcuvFGSsyV1nPDsgR
9Pn4dQkq3dLrQulxMRQG+s6iUl5K0Z/4XZmojoHzXHqh9PDljtMghnG/snyYjeix2Lz5/Av5uRQ2
dCb0epKGfniM7I7CBkpk/r9oLEvH1g4SBfCYoTDjQz2JvKgUNux+8UI09MSSgvJmplK7OzIXssI9
e7hbSlF0sWtC3PNd0olXy42wxnhKbI378yCmcmMAxFQv4Xa0pHuF8p5Hrr/iJVVzlBU31J9+T6V+
/GRXcLnFs3KrJBtkqWfcyPoayd9HxMOpAj0o4xEqHY5jLkVBoqYoZpyGvl5TQ2LkuYfzcWwXOe5t
QY+i6OYCmyOPcnDB2rkUySmZQ7sbgEo1Ua34SoaN3vOw8yTrxI4OY6enEzUYoi/5tV1Kwcri1Md5
RUakgi0F0e3NRQZoMD6yPZkj1Oyj06Deid8Nx6YYRw53gV5dSl7wGcNGRCgEOvgPVzTnc4LNJMXS
WmI3jRs5SrO7oS439KJi01giiQ5O0sOLLyggioIvXRgNI3nFLucsAfTS0g17+3sEthMKCPnybWmx
YLr1BZYEfZlAjLXt6qzppXCitqnIE6EkP3AZOr2UKLdCcE3dZTZfxHqif2XJHjwRb5+ubzoMwBj+
EBFTduz2I7/5joi2SYENOOyerNbl16AcXz1KF5w1GsfpNIxSApeLVE3tFORX0w9ZT8NGZVStvfa5
YD/rX6fTuLJrySW8n7/26+eDDoujOspMEIr2PLf6ec6QgK0D3286DXW79PuWqNCRuMGJLjts9sZf
2pRKB6v2Ej4jmmfl7KeuZBh2sCltFhPwYTPQroOFvfjg4/JymKgVX0PwCRUVJK0lPAUD3tiV01XW
N6AeSD5bDDnWkL50GLkaAd5FSTdAJzsHURPYwB7Q0EV50IwZ6cNlzyaGs8QSbUopiMJEs7Ax83kH
EjrgFDawWASUGKrFR7Vf1KBJyQgWbgsmrpvsorB4eAgxnBNE0+kwaFJMHOFeTNDG2XeLGj48ep4C
wc5Ck9jaYGm4+dtuIGSMNmQ+jb3dBxQfBm1d90oxdBQzNFJUaChw1YyCi0zwGVvBxSLgqIGVUZy5
P2lLY/E9Zirv48Pza8I+LVv0jcRbh/n8OogSEIZkBwBpSn6D/YlnOhV5oJhfrxmxWF9mKHPAgNdx
I4OFt3bUS23TqIEddqpoJTyH4dxlhFge+QcIMRoL/zCWlF13jh3m6dYiC/dF6YFyg0KQs4hiM0d7
wsYemLJsUeqXXWPQk3XvKNWifBkrBwCqytnh37Hwmlt5k3kzWXPZ8EjNrBt6sCDJ6r41KZq2crvm
Z5ht3+MWcwBVd9mlEF2ftRItHWkoMBg3xXoMjF1OJ9nWCWnmIHvaWzay9EUn3HBsEF9EL9vUK5Gv
6FXEQYD+28hRzDCg2q9pCipxrcvb8+hVhAbyIqMyXNNkiR61Rh7+Bw6I4gQ/6HQjj8MDccSw67kG
WINyNpqCbu3OWDVe+KTFWQK9KjT43jHUhBqPoNGu0Igd2VmZ5e5F0tNJ5RY4VMvaGeSx7UHXzSQ4
ibbMHuaJGILofXe6uhuyieZ1mTi127AlbsQvJXZKoeGMmVhhpqSaAK5mOd9bRedRuxaPs8XNoqUj
9eCIwi1j/pkuq9a8WpjDaNePg2oxVRj+dkenwd9JbebcFz+4hrVXGvl46kgFUStVWnlRlB8NeqWS
YvEsml4Kyzcoj41T1j4c9pF1mrAFD6U3UIHqKdHWyjSF4EXKbgP4aH7WOeXOfnGuCjHbDYuh11lQ
y5iXGoY5FkPY6s0QhTwCUfmeHXz0Tiij1Xl4+B2hUB/5bP4BqTQYvvk1jVdPta0ZNWJ3wUKbAsM0
ZWy0sUmyTBJ9oBIxMjMA3uhPWH0fFAVH9yK7hdRjKUV7jqFNknwyNbSuIh1s5TRkE1cjA3l8yNMb
CsMOBau11TfC6lJj4Db5t6Ly9dYubKkJdcVLAa/O/RrvJkZRMeJFicgQpV0EPTdMHqGv5gTSs2Y2
gcmBSV5KnlE3wCs1aFZeqTG0T4l7pXcSx2lNKV7Q0rquyaHxRTJ7W5wWGvpYoeIh3YAiePvXicOx
WaS5sUAoy5Vn/G+DYg8bjORg7EZZhldtQHJ3w7rm7MaK6xuGQi2GGqAoqHRsUZAaaa9J5eQZWhhi
Sg4Dxry9okZeCn6o3IrAqmcrngb3AGiixfEmKEbz+3kKrVsDEIJ5WLhG67GcfZu7oVyk/aWMlmZl
RKzIUtxA1zBdJskiET9890fVBhp1HiVq05hC9yM2xXIMD5zmIDe8djfUXohNBtpZOmPcvMqvMgoC
tYpkoVE3zCkqUWXXjqOqcrS4HTqD16w3XSRqK1L52M4HPI4TxxCj9Aobo3WNCRdaKE2EiqjyUFKW
Y+vfGzedOAyEIV7lC+O8o3sAXis4hkGPZwK2LR5G6i3BR4GvLt+t86uhq4l8z8JL5NQ0yP7EMkzp
aoWXBkW7I3Squ1yBdUVu+qzOuPdF9OfNMA23gRw6QyV08lrvqpPPWN80RpBEKj+xMyeI/M+AR6ej
GAW5D49kFFshFsyVJ0KEYgVhADPg34nt0Ft5VZERKtnyTNrdCz2mgJGNzcHxa/Quvu04Ouixh32u
M+6nygCtRb0WsFQX0+40kNyQe9XGvCDue8kH+gbklViv5XJwtsNcWtXjupPMNd+a2C8BqlEFqklz
e9OoIQ5rVSoPRWI1y8aZ8xyM+ZVyE0KuzNCz+NMwR/XL/e4G+MHAmJifFpEctXgaWvgreZOuwn1b
addiOixsyCnxYGm3PWh0roTJEUpQo1ZpoelcBSGlRnaLuAeru0GUD4le/Kv6DQw0J4pC+1lTjFoI
VbwaZL2Ic5KG2EwQPR1GmhM1atbSdF18S1iHtRhWs966VI8LooouuAUTSBDayVIDSyNmiT0HKK50
JEOa7nhYlcrxiBpVW4YkDDYSFWb2dBIKvaubs7AXmgE8oWIZq12KGJeKJTTIyjtxM2KIqJrYOJCT
4B+XETkHRbkjLIwqjDwBlcFMLHOnrS8wDcCEvPfPmGIGxih3F62hGNtw4JqXnfU1DFEk2XLTavKc
JfVgs+GQMJ3F9YU+KOtQDk5fHV8JycVg/Ul6NUVj4qeiSwRiinjDS3f25FGSm+Hd3els9a8djUMz
HkWp54aR8qCaTTQeuJB0enyZmGdMd8PycFKXIS9ot0dp1FzKAeVivPyrvVrcE1JuXetM4tQ1Yzup
x9MY8jwbriztngnw3iyeBILhCpi/Wo9zktWcGMdrhdduiGGSv+MW0A8RDgZHgIiXcIZnYodWOj7w
uBblhBui+XP88vM3jYzSD+1i1TSW5bGNRl8sFeRCaDqx9HzW/fHEml+KoOHQgYP+rCWdydeE2S39
CxrGa6WqSw1KbK+qR+vLpHkVQKGCJmo9O7UYSbiwURjooap+dyGSm7WmA168H+fcapYQshDwfICk
hxDVCOC51ZHE0jQkX19Z7WZYKoXJZhKzZNaVi5dnsgX5BX9eavJxDxudBicJpG8l9FYolRYr7yRw
F8SMfYIrd2qROqsm00VBo+vdgH7CJiF1aP/eeuluOA31peGDdzfGAvNL2Zu6yWAgg5bLskOdNtyB
amAUeC7Fl7I3FBAWLKj0VPzbjPBkPO0PQNAHjXy3lyJuGCJlpTMrmqIKeqTXLN5OpBw2qauUgi9q
21gKHP1Lw6EBFFRxHs6wIyneDZ4rTlYrHAYCs7SZtsK4CqXe1A3Ik22vzUqvITJIAZD15nrYIq0+
RtQsQ2k79SGxO5ruRryaxGx+wy6kPNuPxHN+SSMPkfsZynQahgbZmb1HUgZHdxyhnLveAPspbhcl
wVyKXma1AcKl2JF31PBunBvZCM1BfBSI9POru6EKxZH9r1OLon0gQpoqAcTXUXR4QrWEQ4PzgKZE
0Gx5wFMoFaJxyTQtyAxFpX9rMj9dDDiP/1LuwtC9l4bpNcrTADxENBEpV8pyIxQpmjPavePKnFCi
xkHvSjW69GwNSy8NFn99nYMuvHYaWjb9GJAZuqr23s5l+eYCa11vm63tFiB01PDBqLT0SAO5wdXx
ml3IYekfBiVanokjC28MMflmITC0Kzbkkxi/sjsYxXRpvKZlSzGuJv/ZbufoNHYYxQZvg2rY0rgK
UH7ewYEV0bGtEigxC1d3I+l1t7ha9VPyySlG5/oTI0cFApCjFEWzcYziIlx9DOr1aeDW8wxQd8m8
PX1XzowPZ1x3D11kNnD0UoIPZ5v2iNotfVf440SQC5TIdKwWReUUIj5CSZcjsWgesSnLI2wUsMee
wn6TFN2TsgtNMQzXIvCl+kLTMJjXpZzcRgcmJA3D6biEHmTTQ8N6Q8AD8gzcq8wb1oGIP+83vEMM
MUdxP0IBbLg7aPHIVpXHjrr8UniUp5mHAJ5i1yeKvl2m3m4cHYFS9qFkC3q8hYoCJWEDlydmTcse
4BMJlgVQY6W8+hODOkNRVXkNLgeJmmgbG+D/LbKcVUbJ4jXkUPSQhkBPqg1zg2hQmEnAIkrDAzEU
m5BxGbRZ7BgA61F+5V6vKI8TZXguPb28OMkG3c4SkzIhUqNurE25hgUaPszRYeDzZAUE+PitLUsn
9UUCe7YUM/EKhF1Fy603VWkkdXLWtTNnnqQIoShDSC5D9NguhgYtNw1VPbrgIRDUynIsQLEnXRkO
3cnSKxA5RH143rSbpOQ0FErZ9jom9MX0mul8Nr8AL1J93813w0Lt+L/dB5WG4MaZTbkH9Y0W5T0k
lujCYEC0Bt1q8oAayk9lxrC7UDVVuteM5mVopxBhIJn83KHYDyKahAoWSVTHMYphqeYktYZ0V84n
wiLuG6nBDaBvsyaVy77awuGh2e9mUMmHsclOAi5Xd1DFxEZ4vJfrrYtQZRe+pA4FDtQSDyVDNHTF
O/FYilg56vA1rZPl8addaKDDZFCZLkSl0nAUjYAT318VgnaNyUYlamSOMmRrVEhCwhorN0dBbsng
HgXTwKLZYD7tWqDc820BxqDHC4Inxml6/VLGoiZI4xDzdevkB00Bm1PDBonCgKsVXmgKWT10T0JY
IYAx7BawaegRI1oigI7CCwZhYpeYHpdeCi/EEYAo1CjYSBmmFsXKi5/JPvlLe2Femb9aiRVpo3Yt
ljml00j3Gi1H9IFC6cpDIXEj0el+qLT8bY1okTIsyav+xA3nAVGLoqEP39ykoFj8Aea7EZ9MSiBP
MpVZu7uR9nVsbTYqJ2UrVqJwHnkkm001sFr2E1MlNi9uzb2FarO7MaLoUAHw5UGDLsobE0Wjh8Oh
V6DHr+MI2QjXi1WPdj7TioZ8HiMx6vCg2z5h0cxLk8L0HWE2WXblQnNjDWwomMxZyLo60t7cZXWS
TAK1G+p2INRDfRRQIuMjS9X3PqFnpL9xKSfeakl7y4ejzYltUIrRUj6RXbG49B5+1il5IwaLnjAG
FuCUJPNe2TUR1JiR6YXAoeUs5hMRFEHK0sPDqrE5aPCUlUnQqRZxY8P+lcOwz04i4INWJ0pc3q7N
Gs3qTm9ei26LRENLpLHLord2dyPN2pXFvBAJH3SZhj48bojDXEPVE8MpYV1rZOMFc90YOomzS9Xb
qfJiFh7inj0/cNEiHAoqV1XF4XvRt86ol5cibqhqYszTUCPOMuish+G7TyzyDISGGRtO2DCOD/1J
5d4QED33aWjTgOQcEfVsJ+wQhU/XItOrhl4Kvkbi9SwOVAkxoi4/lGRNOM5G36MvnsrQDNjIUNQa
Te0QlaGKUACl6Ya6vBRDlaECcoxtbEoynlrZB9wQ/am68hdFntEto+jlOaWgI7m/ONDSbKn2ogI3
YTOaJ2QbGXS6G2Ru6eU1uLFEbzeJHv0a1a6hvHljqvPSacShHnimIV4G73PtpWGLIRLIa1yNhoio
K6F0jMcGl54il5pnOzA8Bt92OZCrzTz7bL01uIcq+cf6oeWCaGov8z/vBehV9CnPemh1l4Hdac4G
qyLmVfoYVLBYVberRM+960G3ZqjIsJ/h9ErGtrwkXwHYIw49/WYHZ34pKm4CCyzQjErWlShiE+Cr
c11OamXaOP6nlmFhgIa5OtSYAWYevZ6/IrZohTT0YkvDmSPoJfYXGR/ILTVmuXpDWPAMDuSl1STF
S4m3mSVskno/EDAZVqEct2FG6+YIqscC8rXnAonTFoiY2mcdN8Ie9lDkMC0iRLQZPpz+ijT3WoOF
LmtBQxX5chISE+LGvRD8CCDGA1ScRZKev7gjbyPWTbSoGOGCW/k0tDuH3vToGCjEzVaMZUHQDQV9
ixTlCiHP81UtH2CXh4I8xvKmjeoMs6LBoJ9K8m2otJrXA5enW2pNwECUJS2iYos0p1aS87aDNOck
CNW4mcxFKM5bbOFllJa2sqmAAkKF66WPug9oD70bBgfRGzDS8LPgzWuUJ12amNF2cIBqknF0oidQ
onY3+GVCws1wAYohZczAhlafJCc7U5bZa78iFK2VC6D7S41KuFpKrU4jvqAhj907xx5FUVA5/C/b
DxZEtBk47FZk6VVKjbgVmZeWTsNAkfudXl67dvAwOzoNY3lYaAIVFXZLD5Yzv5TYvMVNwW/s155y
ipcSPXQ6unTy3Qgsoqgm3oYbkyWCmeIkOv48PDRkkwCBS5E53Q2VbjjbsS3oh5UvGRa2vQvhVwSs
QYAyLNcmi2aUtoxT55TC8g2MQn+t9O+5mS9jYZuU4LlwzKKdqgTLDVCqjgEikqX6froaUm/YgT23
3gqiWldFl+PQQ1XdFG70rqByECAlx0lD6uzxupNulgzbDvM6d9jgHAvh05++x4JFvSGhCC5DtzUS
WJvpa9oU8E6Q/gS2KlYuwcJvLk3QuDNBRufiy54Y4jDUt1CuO85RCJVcXqIzX5qaqVZ8QXEg5ZYc
LOTgFb/J5CC6hkijka5Nl3rdjZFgY6WU0wjgUy3M4yciiao0qD5XdoD8AxBpI5priw4LaDHORPYS
/2oJFk9B0jCto2GQSk8wy82g41cKQWmJedFf5ssM8Q38Unsp8FA6WjUmTtfiWD5lWP4CFF17hx/z
gH70pohRIVGYJ7oUb7rSpeQwOFVYFfAe38zs4no3rjTrYFOJYiT5L4Re9JNi8XWdBeLSZ7IsuU98
J4+KL6Uoga1io+ksGjpuG5h0GPNGvN/K1YhGnP3O+HkGuYDF6TC2eOexW83O9a4TNl+V6+0kjMRK
D0XLpp6lr06BHx+zuYEdrMj7LTId9Z6abow8wSNQT535Jl3QsA2LM7FyfRrhQgC9oNGIM/1m0fIg
2oBK1CiIy0HtpZjMx9FZHH3fzuwsYvE4hx1Nt4ySGIo0INn5wkKmqD0UhWgAVvxKNNwTK7MN2MKy
j4/kIoBtV4galgKqjNhiRF8sRG+TUaRqScrdWC86yEoQHZ2705S0IZWAqdSPWnllR23cSKoU7YKJ
9vLtz7MUmCiAzdu8N/7qdTdyrfUniAVcc2KqVGvZ4F4GS6r8DFQWYdZRtUF24IVgzQi0u5ZB9Nwc
UU/OHM2ve2LOhiQaNphzX1DAhg2sCbE6eqx3rk4dvZTML8PBvVTYnpCxOaoQIpQcWTHV7zTOa6iQ
/oQZAaw8G+/WccP0QMzQIPrn7mecjYCvaLr5JqNrsBCo2kvEwd3AWWRIRkGpngpzGTZbQwhgu+46
CEPNnY4qxbdWyynEW9jS0Z1L2VrBmeyFwqKTU4xsIAct7QDPLX/VpZA+Zzg/0Ispp7DHA3wEEMJl
aGhNrbdSGLKLuXE/ioU54Mv41awk2xNO7DqQUyiOEaBYJIkqDU/jzC8l7w5AMNQ3R/cCp8dlaVt5
BR6G8WPYcOM3QSgyFWRXhBhYzs+DkqPTcC/gf4nUbeevvi1ZAPfN2LQIbYQAGjTR78xXgU/YKp+I
JD9bnPXje4EiuChAvIyC+H7WRgc6Npt0ZdexX34wEaa7ATxJkQcH7CkUl+YAERkgG8bWyMNgrxDp
/J4hkJ1YdaBHsZeO20vbVQemHreGXsAZcFRRrESQgjDlhjneBNL5pRCkiE54LPEzD6bSq38VRcF/
+M1A7ozHiiaioijYwhpxLy8/dhYdXF7E+ksPiwU1APN2pwEmB9zx1gbzKIbG53s4M1K5xRMRfjEc
2v20KW6QdPkTYGPH3TmqQt8RxH8TSXDZeOTGdw8WhuS4aQCk+W4MF1EPJGrQhrK+1Btn3seWfBJC
YGQYM1Uh4+gBjEWI0TFuxIdNEgB/gawkg8pLMXOMJb4uRF8Wl4D1aVwDPxK3W+7c8lJYbCQJ+DVg
5rVxtPU50SEhFXJAjJXZfBqWhrCxcPyLxrEhM9LMIEbdMbsMR7JyN1Jv7DyUkTiGwfAURRmdIU76
a+69vXrllMGM1GC51l6L/ZY1bANCrFN/S/VbSbeiPYjNRkNvibNHDPscshWYVHztO6wKZSCaxeVd
zZtMUVIkuReMxIuIl7pLC58adJHFT0/EEIVBPF4ugnHLuXyuRtrM0E7QCkpDlCSTK0g4wFO2MGVb
HQZ4Z2Oq1NPFHsIgTGixOHtVZ/K31pgyN9sxxoIwm9ZNRwHiybpyVf/i9dZuZHDue6Hv85vGUjBf
/3QaQoa20BXMVKGhG00OI5ZeUGt61Jp1QB4JHFSKNkLjsriqxjcXUQcPgVjDw0hSHdQ/DQqs3LdZ
KjGMT7jU4yyZI/LTy9EeNWqYsmq7cHNbjk+Un1qEIf11FJaCLe/4oW3rNTYkSANJWkmu9ppHa8Yn
kY5nnX1USt3APxor/z18EaNzLK7MyUMxGIEWvU0YR1dD0AhHRq3RlCiLXqHwdKd5qUcvU3koDkNO
jeGw1iMc6hnRIKV3H0g9xNlubckgNd0G8lNqRLhdalm3e0cRIYGCio+xknwdM8x3PaEDNbRZbj17
BI1XL0F8NgTEb2R9Go5J8zO8qmWUfk1aIqihB5RffVC+G1pWbdj9uGh9GjFbJVNq3Kpp3jHQmKkz
bioGjfQcWZawDNznuyGEauDobKFIwbraKbbkE6gUXg3ZkIazGkIBO3EVBlrENXU9MFCFZrtQnHiN
odvFDVAXdWNscVM6Ful/jCViiaXcoBnF1vfujtIrqEvWMsMjzm+o2Bq1hjTgwzEjc32Xb+uBlVdq
DQN3GxOGw/KAcI5OIx2KoGHfkp2ZAcl7RdFA5Gd2lgVq6MSSaImVprvB3Uy9ftiZ3ZBCzeIBaM1v
ykys6mEP9otxcVwRJZWx3e7oZsS2nTEL0HgoKrvRVnQoaTN9froQ1n1FV55rQ1ewnpKWh/HiADmd
BuDcYKLtrsJ0KFKJBGAITcheza+mI1gwarrT+nB7HRmftazKl26NxwOkbojYSpVXIqi6a0eMs/Qn
61oj+oP7Nr5b0BBAfYWWWMKpsoWtxltxGEapBjFvRyerAMqZRS+XGBtTiWalhtMAj0dhEGS77L5y
y0hVdalRX/aszYWX+bO0ShgOfT0YJvbb6RllnVAKbChP1QTjdzaEzw/FaeDXWSFAiNKyKD+8FK4p
kHJaxGoI5SWh/7tfYXDipTgOMM+y47RZixKmBmYsuzGYDJfoIrSRopyr7MGF6GQZSgvL3Orn9rbX
Szm3ODx+sgbuRmgn9FrE4ZaiZDWiiB2Xq25FObvbwWtVAcSJq5pgbYzn5azSGFSMmZuws64QadSM
+q1dda+74WPrKJ1EGi2Gn5W4gakhaJgciMYLe34VN3RpsfMgfgQvdYTKOSwpziHDO1yvMtBj5avk
pPLOSsiZ4bVw63fqXWyNjkCPnEJiIKyFunqvGXp4M5+woHLxEE7rtbRxOXu4QWDA5V22USgt0AbI
Ll8W7KvWsqlFBY14irzHZBe0EV14OBv3trO94oaGzcXNkoaMYWs82bQpWXsiZvhvTIW5+sqaGH3M
YcDWb5IS0au6MIozgEPRVQK24TcVLxAfYum/xnny94go4xm1w4eDbcTpDeJwQ2FVpVBfk39fZv8L
z8nThiN0bZIrgogtbB1pXiwljHkIEVlLcLqsJFgPxS/pXKHAbsZa2Hh1wSGKtAEUHVSsG+6Vhj5r
nmRWU0cFYnV2QHbjN70lmM/XPxdfCRvveq12iqBj4MhoSkPpKz2Dp4QWJKs0zLcHX3yqvOSbbMw5
+Ne3BHrQjKhPeZ+al5YRQBx9hcadekNomKGN3IuNgzpsCbls1qKkfTXdiRkKTNcwqNSiZIc4Xgqi
l6FMSts5uYYwnJ3lJC899wfFdk1kh+fHs7wWQXMaHI84Tv9sRn6ElW+z99Oo4gCYNnwprNeuzBr1
lF50vUXJ0NU8V/0Su4QpbAym7FhyFqKg2UK3Zj4tCkBUCiBcp30tZldhQxXq8d3LsY7uhqKcp8Qi
XOtXhGpNJJJhe2ootluC2gO7tS2fN5k1c/lcMxzA6WLweYMCZcarHGm5PMgzCfdPLYQTWe7Wgrxj
ZZgOpPBal+RO/h05bKdCQ82FnxAgV3dNybcp1Vwgnnh8S55JGiGbThdDxMgjWVqXfis95VbVs+5J
xEhEK2cT/rraEmDWwoicTgNfg9V/1kq9tTFvdjeSWDF9CSFE/+Jp3OrVmFMgI4cmZbA4nQaGQsB4
na0527KDq9lpZNurebyYoT6sM5uMICzghuBE9HwiaBhDv7UV7WZQtPBDfVfp4lHji8Lwa6svsB0Y
AohG1ChzryahmG3yaui63iAMBROvWK5kv1S1jweRpFkTHIbd9OqlaF6GAdAla6t2GE/6+PPu2BIe
VXBaQEPpFVCOYW9soPK6pzG0q0Kz/etOwWEQjYFV6tcChjoE/JWD3OBE3FD4j/jajlTuYkAu465B
lKPHLntDxrYeBUTrNwgsq2eCIgkAyjb7iJSW6VWjmQFS6HkvhmZHWa5bY8Z06mLETVa/1nMHG2hK
4NewccQobx2LnX84UlhBCzN4uhsSihCq3lX/OpF+86SxyjvmDxuTj6IVtaARca/yKzhz6EvTaewv
TKF58JrIZ6bQDRheig14sEqZ27D4UWnkI0bBB04xMTjlq0LUafmzrLEcJjTdevnzzxoFT8jAgSW9
BnlgHvE0GYtx2+UULdstfpfrm8mBHqV2N8ZSFHXX8g7WbB7pN26+WQh77znbq0kZQ9JzilHSnUTC
4MVcnhABZ5M9LkTPpWOpys+pN5BOmBNhB2uKT7wTjgLAY2jp8AhsWIbqTxBO+K5Y31sFQ7P9xTTm
wE/R8ExgKFqx3GWmIH85knanMa40tSf6GyPYalHuZzAvPlgrB2ieToPYD3Ygty52w+1OI6O/cBSs
/SHDWCrlh6LD7PyVXttQTYcH4JrZRKDCbpDBBhM1k8dup4EDiKAA5NGzVf2J1F6h6gOHsYPQeVYL
6XAAM5zA3HaB/kvAXiZJrpilrjG1W70UhnikL5Gvdaw1IuKze4HmtTw3MGw0izcmOaj14nZ4FDUC
eiF4Qdje9jC9ag1oLhTK1c3NLXLsQ16JdNFsTZ2hIp1Pg9FCtiLH0T+mE90AUbHT8MfHi96QBKMs
bowqJ3uFt+YDaznfVdz88UJINHr6/6UOPaf/impbH0wBltnBmrKRpTyUTO5PuHbtqg3jgisiZaN0
fI2if30yCng1oAAEI5OjKW7sKZneYXn141EbyyesqQ7CwKnZBziNraMA/6IvjRUx02nw5sHXULcv
YpRunrKDEElIFcspk6/xbYryD629ri9u1ZgChxFrcPj5bnC8Qw5Rf5FgN/UNjcmnLdfQF8huqUuJ
4gA8AGxGmU2umsdKG9uFJOAY5mcvdb9KdEjE06AkvRZdrJxGYBwmRWM6o9ZcvZQsvs2cbeyD7YeJ
JqfYcZ7N3+bmNTWKuOG35TCJ/eZHndoQY4mlmlxOcfrtpgfihjIa6GW24X4X+3mMHrNGzTBMNAl0
VYuKorE/829UQP10W07D6kalwdgLX174anWj00WiO5hLzHi5rWMglND5F08atWqvyjzEN5J+1wMz
qWhxlgwbLYdGHXaUvTiruGGspJHZ+ys5nPXDy89db8S1y8napRSq5eo04k9OhCHlxPWlXS3qQ6Ex
KkTBlLT9Jbw8dyOlV5ZOm86v0Q0qNqgXEqBgmi2nC87WZgZrspR8CMS+lPiWu12qvmLljyvLoCGR
YX4pOnryjHsNW7uXIoqGu0I9ogGXGw9396G1aHYfozvEhGX41E8PJfvlww/l4iPUjpTTLIie+aFo
5KElGCz2e55gRmqJyOo5N3TcIT4SrCif0GcUSFkzUt5Dr8btBRK9Eev9KG0eHzBU0AbQiHV2zTyr
5xsphwmr7z+DhOmlhFkul2f1PKnb0hK1CaEh9ZxZcxCuOgxwMSxanQXQwBwritDhw9Ku9ALmGw8z
hWCBIREU30n0BjSvvv1TLsxi6F1vE2aoRrbp6V0VApWzSMMGxlFkIsWiq6wWFWpRTOXlk2zow99Y
Tr7NOxmSPvZCqnG/Q3rOymkgsZgLxDRNF8sEPtDFPDwQLryk6Hea2hVFK0O95aH41kqnEWsJTD+v
BKoIYJ2Lcu9EfWpc/daXuFepYT3JWZ0lFOI6QEOUsUppuhrDWSKd66HyataheL1ZX6MgjK6P/qwW
Qq+VmWEWOomBa82IaPabZuKYcJ3+tVmHIr3C69RcpqHAOyycykMZvbx2hyGRduekkz16Cz7P8Ktu
WGo4CxhUjgG8XROkOIsU21n1oepW0a7xUJI5zHPtrec0/Lt7RY3slo+HKD+aCPGWm/vwkpxNhYqb
XX0EGKsQSroVmvWy4hIxol8Zap4Ri2DNPOO3WkJxN8gq3DII8PvaNVDoVm0jcgsd/RBAdwMWcb6N
OY7B/BWSk3H0KqPAUNh9KUab6j3PezdwHuIOBgEOqDWjPGnXVGXidRCxdtxy+RV2CcNXhZrAFl8K
FotwYSaj/KKkXZfl8Zag9aCO0rP1dPU671TJl2/2ipjhudzNLJbUXrS2Glw7zuJYPrJ5oyaFQFP8
Hw0s59daFHU34gV/xa0CxpeSYoobmaNIKkujzwqv3WGYemCWDF1/ANFK6WXEhtzEUI9+4SQtUsoJ
7829GRej22kE4ueYYpxkHL1jDFsqy5NgY7RsBzfgHYFjuhl2o7DsUfr2bF/TzOOHQvpD7sTEKUEb
mvmkCw2Z6Rnb1BW/SQwlml9g8n7jtVhm+qawrxBtiriGe4ETfDt2YFwNE+7pYuwMnGI6OHINDly7
wiuPHOBlHE3jeAaqF60JrhSrqlOr5Xes8ZZyveMwSdynVOUfkAVsZZ8ipawrxmwaVLKma4QUl53t
mEM9BX3U4YO8gr9qwFMjvaHyDG5Cep1FfTO9EovUJZNtpnjxDu32ShI+0XhZB0SRSAxQzazoH5if
ixfNoAZPWGjEfDY7ZnLQEeIJkzP7HjTyofWUsFARlDAniVNdrnoJSHJ0GiLoIkLpV2EYcqSFJNj2
jD2YUr11ewEI9tAyjllYKUfHgPtHM+gv0bPII93Sqi6NBY3XGx5nvtAaupNKHMKlU5OT2GxMd2KD
4iOnCibxMWpIoB5Z1SAphrjwuGrtqcYYQ/hlnHp0L6RU/EJp1ekjQnTTGfw/6N596d7dMjObMVDB
xHxXu5qKrN8byXzLIgJqHKLworVGOJBBMWA3JvsRIE2PZMEE1XVDC9sQDz6UniCnjJ/LzC4DZ97e
98yDE2nEtFXvtnjJdkNAR4lBz5hNT+laa3OTeAaYDlm6psIcQoLV3dgIsId1jv2Ua1DqGHLjVCi3
eG/VJidhkqPGaliHadzaTyLpBLlQiZcRU7tdOWKdbpq4KjM1NupFvStLbt2NGClEZoS4Tq7qfUsl
Elx6ThhDZM6AC3fRd1ZKrtFcoE6bEgjJ8SGaiQls3kgZNjoTNW9HPBhSiUESmyJmKYJHsQgdQhs/
zxxAO7w+DaAPVl18rTpyu5JSpFZhQzlEzF85jGA7eC8otxp5jV/A76n00rF6kWQ//rBfe6JNUyUZ
CEIgoHSl9sRhRHsiJEfBAUpcnUVskEKbail3Hek1YsZIGsXRYkKRXikLsjdDmtLrzCE0UmiGArDx
lrs8cxpge+WGjtLUuIh1sdc11k8lmt0qktV0N0JcEJySyrsy3ZTkmnjVeQbDNXAcgQeYqhlTScD+
VgnFaZjDRho2JHz9woYb4avUcrKcKm+84LDLUFYrphg9vdVAGyTXYCY0Ta/kezwe1F36bMBLJaNs
7y6yBwXX84DyzFEUj1wvZzSRbNPvZhgsGnWkKI+Zdj27Krlxjv2+sS+ez2LHm1nDZkYf1+GRfTvR
mYQy+KdEqOvEdiNQLt0MEj76Gz9OfaUdXonkDeKhwfQYSl6NQDfLAKehpVAgwGbMzyFzxdPw3ICc
vEZO0v4M4iGNmF92JrfE/8L5A4z7IuVE31fpNG5BvxbMGGITzp60NTMucAUPg/pu0xPi/YC51DiX
jFDA16XTSCEqHgO8Isk5YV9vXuBdQuQ3Q2/RL4oeYK/zTVw1wyA+nMplcjb3KIIsWheeZEurEWTm
lFyDWBFbieJLsYdOA6LlUbxo2qdKVDN/e6fo5RswGLLLTWxDZwo508AvW4wzcTRJKZ3G3YUzwI9S
WSVfz4dhOQwEKCquxX+5I68+nvLBL/WVRURUWc6OR2Ll0nEwIT96KOQ4bDfAbGSk4QFoYjqVG76q
fDgDaCCg7iIsTp/vgezpBFHrGDObEkuVcx7C0WlkbV9gMRdxcWzqdhpnHkGjvqTETPcX/dF0GoPE
Axs8cKu7+a4EoorrhxFgQC+C3MrdMFcy0A6lyWibA0uKl6O7oYGVdt2Lw0PpF0S9krAJ4k+k9ii9
FPhwVheQb97SQp/YEC1uhFqXWQUfhXYyvqX4kl13sCoFc3l3kJ9DzsKNQV8/plRHdyMvRVi5VJIM
u8QlnbdJsGnayMGV0ezFVUvFSQpZuBYVzsciIR5EENaj09gG+FJpMINzH+9F6G1OQ7mhoec4zPAi
uaXYtIF6iGdBPWzN7taGwzSNeUZ2CDAp7Whhf/66PJqWgwx+DqJoG4lOBmzhPHXciQLStX0BJJrh
Y63cyADWkofULQdsa3oo6nLvxGmYbdJyNRzOK5JBtrQB7jahUjHBAoDfugmnQT2KGjxqWA0SNRxC
aLv8modyzoyCNx1JC+Zw9h5OpxHKMG49JlVaGLqobpVoGlh6XVnRb3CGh6K4Sq3vh56oRKkagfLS
CWkDanE3GNAnt6uRZag3nFUgOz3nw7sUcDk3CTRki0DSyK5GKXurlACim7i8tHRtT1Uur8ZXiES5
DJinA3lLoc53fxQ3bi7C6nhnBtvupeAncNfyW6ApKsOKdyMCT6hAdtw5l/k0lBswIOeVGb49Q83Q
jfFSRDsf0VsB7S5R/oH9vJdySxQehzdt2wnexu7CyDFLM8dRtWM45TSAEUIafAYtvgiYO424EHgL
8XIZBPWjl7IzTMl6A7OWe2lbL6zn7DBgpNBe3T1p5+g0ggPqYU0euzpKmDj6l521Pih+QSlu3OJz
SaCRKXGjWfsGZIG496EnWibSS5Rq1LPJACN4RCOgJi2hG3DA4RYRcrl5xFr/u+MsaiAJc0RNdWTN
TgPy5TvMqDC6COYrtZyyU29ko6uZIraKhn3KsBv9/pDIt6OWjxthF11IFjgsoJ7KI3EtBEZvA2ox
FtLNowNFuWqXws2Uop8WhUVKFNyuBWoTHLC2Y8thiDvBQVWip2pyvpEeYghhA9fo1rye/WrQ3cgk
uLfI6mvx2gJsoPQT1w4nr15VaBBAiwM9bnBXnCFrEQMCiCgVorSGmNJ8pr4Nbw2py2Czp9OIlxJ1
nfgJtisOHJeXAjNSdi87wqf4qUOxoNublLYOJnC96i55n7SRqAweYQ9YrdJA9jI/UUtoiMFoKwtV
uZXrbtCD/LUNJ46JoGiiWfqK4VQ0ADRHAZ7pw9T4piVzRiHBYNhwgI4ze+oVNkYQPTOwYWh3b/I3
Fxq7Cyq2xUGznc2Io/CxTQ0iVFUoHaahD+xcxQyVmx91WJa9MoZUkyn8Q3FZGC7N+nj5BKnczWAm
ETJSsXO98cVbiIwDohLNaoMpgurVUp2+lYP2w4aNdnx8Ux5WdEaOxTI0FRVEy/GGEztn1ytKppjh
qfWG22w7bNhLwXoH7yCx3gEpi6ehkvWzcGFU+ldzBAXxoCgbRIbPARRteDVQ1JTJsdEpi9gC8cD2
Yv54ath4hTyME5fJZpSx/SiRqNRQyXDes1ey/E74cEcuKTYf+rEjhCdU6nCHDtO1brroqD1RQ4ft
2vCpq2Gh5tDmI4RIxvLx3BYVjk4jpYbmRCsXZ4GGEyXlYDYUqw7vzIbLd8NrE4/BI7FqWu3/kF9N
81wc2sGGCM8ovMioxDOEjTN0KPFvMYi+Lyemu5FddBGsgBll83aDaPinNQRURRhaYn1xajD6NVNE
G0CW3fHzDOXqInZncUOkA4ord7eiXFZNAYp5IyVqpSr5NSQFL4UVDU87z281X+PAYp4g9faUOIbp
9X+4u9cU25IsOcBTERpAcOPEW6Bf0gAk0AQKdSEaRFcjVYNq9vrMfZ+497jv/HPXblgkWZ2d5E3i
4cd9PWyZ2WLKI8ij9JpH10yK3A2tMOaHagNr7H2jUr/CQsmwQcOuYUeTIm7DLDaU5GglqRKLd0N/
EgfdCeWsZXlE4jFyl86nV1GvhyK1ivAhoqmibfupKTA8FPcLGmqLpcy9kwANFWyddxrm9jH3cFq9
YJ7sC4oKLwtrq0bU46FgppgmHSs7l5SiFP2pYeumRokSGCCKpkCgibJRbF+z5cEQJkzZgYdq/x5K
r6xmI4udCzFauiFefDPiqPxNa5OeHk4jTQqvAlhjpgsNmxT8hGwx1rThDUizxRCqb1XN4j2mo9/s
im6xocaX1CQ2LcszawxS5b2YpJeKjUSNDBojE49a8nMtvbRsukMPc9TsHe3ewF5oAwplcBTr0OLd
SFWud41ZalYILS8F7HVnjvaLoNAWEqXIw9VDwK/iSRDqxQzLWYAINsiLU2a8SZXsXa3rjX7cBzEN
vFGkJ6g0suDBONv8lV3VRgCcxk1TiqDQ6AdsBK/TPnnEmEjFxaZIXqYCJnXak6k1WV6J0WvWns4d
r93OIjUo2xUbHiJhixil9E4+ULi0HqZ0g/qxbdcSX0HCDioruPoRV9LI6xfwBsQ1Csear4RsgoJs
xnio5bchykts/EHD0ZCHb9isInc3XkJAG3PoeqXhbvDDNJcxQvOV3/dskiIEXcicwgXpiJTHL4cD
SFy9iiIldwNlzlZT/D8FzC71fEGwl3p5IzVdDQPDVXLhVugpXfISOOw0FOSfQJw8O7jiFkINod0c
zfwwQpvJvBH7D4qrVUD+16wZcZSK0CBeJBfON7PLRIblNFwdlrLQpMOvZn63NqchbAjvepMYj9ht
UGaGglXtu0CjvsMWD+0a0xEUmaHx7FaE6iUufiRR+Lpnk+C3wl3hTyt2RSZTaj4czV6Je6EqyMWN
PASzoPZK6KGNz+77gFJXPVwLAmB+vsT5h+tws9xqFhYyFpoXelpm6aX4mZChY01ppQlWb6xXAxLK
f+NV7R/ifTvJa0KGkssPBq5DLCleDXQNlT1WU7zjTisNQzWFlwFcCo1+YSOZEHZpGuafiphG7gYQ
i42GX/jMSlUXH6G8bzaj6LyJbdJJavJsrGTcKKEgKpReikoj++XiAjlkjakyH+IGqbw0o0N2KFqB
btT6MXiNuxYDGegfpkKlX0uHgpfixREhjY9/Ow2y/OwZcf5hzDSjec0oqodXhOpei1K+vBRhWeX1
U3LzcDdEUfH1FSdibnvol1NwwAWObAHOh1W6G3FF5CeBqOOxhCXtqz2chg7FvWDt7lDi0tIubojx
6iGAl4nS/PkLole7csgM0FPM6oaX7nIaFgB7jr7Z3eFsvMtOURRaFw8QdtRQntrgVdwIuw9RJ+uE
s1FpOY2XJ72Qoaaxq8Q+7k6vWWOqryt9FBA/zNjUMOcUhTBl9fg/94r3Oo0Y82CvgkQFjmL76m6A
EhUcuJAq252i8GFODR88CAod0eFhpKDLYnCWmWkxw2ZcpINFvz2WnzxE0VjzSGC828Muboh6jT5F
JY3RA8eukWWTYblKuGUYKonKK7Qhw2bhg8MaFlcd641MDXyeZo3B7yp3w2mAQ33uDjfDqpOVD5o6
/bJib16ObjkFwZ5sK0Y0SoGiBDiVOZYUIwVNyuhil5ximafEJZ9YMqFp7mYFGM6GsAfRN3gVOIod
Pas/5GATJS1P/IyXw1C4Z9z0yYTjrh5vllIuvhrw4TSpnCXcjbXccDXC6adF8Sy/S71GxVc0SrGl
TifFUaGaUrIWJYYuMIIQ6Ze7MU6DOMeRpDbrxw+9+jTka1ITgpNjpPiQYJ0GZguaMjptaPj9mraL
rXb5TarkMPaZYm2zAwkWgwETgH2Am9EN+srIkZg/I2KCGRzG6jh6oM1Z3zU3fiwvhRtNFA4zxPaL
G0kpN2DUsE1BwSkWX/ZDZwefTt2Q4IS2YTjPIZIOdBqOdBtHB/qi5AtPQYINO75UfKFtUMJDvYxZ
I/RdVWxvTsORZw3L3CTUq/jKS7EqxtIcaSBO0jUaYIbzMXozLoEsDm+GhyialwJGPgQH3cJGBm0h
qUEc4ktdt5YwboxtwB3aWsIGPi0OgAHbdOjullJG2IiuTHGOsFA0pc5a+TjfAS+m3mQtvoIFWdMT
pn3H4bzTUCqbKSXh6WJfainFVqVsFjGoOnb+LnfDaYDFSMUQRce+mF5hIy/lxV8BbPOPNc9MPZt6
VuNK0BHq49qlvPGkHu/S2PoAxv7cXUrIhFLUcEvdRtIq0UxujuXI7cjDroaEYiOnp4JIUJSjuBo3
eknDCCrHY1HQQ0axrE3FLok1XZytm792+5iHIiSIP77s2rJlKTAaWBhEKPjtrsaYz0t4N+PoEfZq
uJetSm4XDytf70ByHq7GjcBR8jWQNpbEq2o3ddRHxlwcnTr1Ya0Q9VAQqYmePzwV6q2tEA1ebnQA
aBvU8264VzKKMhk0nCRbtSt3GqpxGKt59FwktOTXN1NHZarNXt9TyWYpRdMN3EaoVh/arVhpUpxG
bFYAGE5X37MBX+9PP+wPwiPKa2lJ+QLY4kYCvhg3+UArp3HD6wm/jSaOoDbTkuVueElcvxR6g7nR
brI0KlFccKwvRYILXjsNnz2eqDDqso3dOdtpSGADNZhZpV8UhV+jiloZLYQYnlbuhpdigImrgvbw
AiJ4W31YmFJncQp0GFs50Fe7ujwNpXbeWs6s3Cx1KU4DpYfkPEOqubLyIcE6jCziimYOcjrcVjsF
0YECqoMCmYO6q0QW5QYRmEaF6cgw4VkeConjK6xU+hqL1fvhXvFhMffwyOkxgJWVh2LoiN2W2ban
4K1sEp2MYCM5hqmP0rxZ2Ai4oTKn61Ymh0FbK0VBOVkRgCgaA8RdlKKL0cZIN1mXG7Jou7ABEo1Y
SUsv6NXuhrAxRMCgQPQxPoNrm+K0aA7yJy1ps8EzQNjM56NbqhUbSSi0F1oUs4g4OK2wV/Dh5Bkv
pe/qV7oJbaUBUxHoETX8ssetOD77h4yS1a+oQx9xhuuo+OSYE3+YwBqqhFqtgRmJfxtJCqAkVIR1
dIBRrVrX5v9catgpvaZjU2/BdLPQpjo68FB0riHFenVn/HJBQzKBLdmUrDfqxqieVfkngJs7YtnK
ypo+rCCcavlk0umXYiNeG7OxjVN8v2xiCCSK+tl0azXfdhdjWB++xf48HcoeQWOnabgwqGDtCD16
CTnVhyTbXeB/9/WEVh4z57ClbP5VxS0RNDX5LZu6mybXYfeJV0LdVzRhTsxwpEj7mUTM9YwPhyG5
kjGxF4UTKji6TdgSQcNfdak5MGMqlErynAZY+FkjfEj7lquhXUtbCPMYU5SGp3Ex5pVNVbr0w8x+
OY1EWFD0gZY21B0k+nvnKJtKjqL81d2QWi1owqaGeb5uZagFyqRdw4BiPKTZDrWhviUJhmvERoAB
BrShhPLIroFGJI1ofuIFudwNHFKKv8a6g6itrkWH6RjufkRa9Yco+m4WjZ4r36jMYv3cq9wYrbxq
yNISfw9zowRsqDOlE5Hyx2jkU2c+nIbJPLMsxf/RvzZ7KWkx0QboRECiphsH1PD7Bu4ZB0hSceIU
QtZWXhRVlMV+5JU+p2MpmplHzBvhf9YNzk/r908DAdAV47QS7GhbIfT2FD8F9/Cw22j2UlJvaFqV
Qxl8hEFQeSnJKbGr4vqjxj+ZKqm+lDfP5B7zcrSjzLKWCJH6JrzZMlmDAHMaCG+ZNfMn4Ky6xg0v
RQzFtkeNG7t1ekXR0c0Dyj0UTT3FXfVu6NKVX5qRYM2bZxE2mAxmKm/w2NN8OIwTxJMsLNSqzJf8
m3ED7GW675VASVQwA0R7yClgr0RXRFJ8BR1LM7A8d8MYRSQlXRU9yn0KXxfFBJ8mbszsCZYMi+5l
1Cv/xhSuo49oytAI8eh0Jdg6WB7X1LRlp9p5puUyDoRYwUqD3JG3celpsEyA9Bhrj/JrvxtgJX/U
1OsM2BPnduKiaO0ozEpRVNzA5Uqhfxh4AfqWuIG+TVcPNO+oZRM3KIIVytGyZfVWiakgw2IVIjyM
5WL5Wg9ngd8Ucdfhx9GNWp4mxVmAeOBysVGuNSlIGzxVcWHN6oa/8HIYsSehHgQ9xt29ZdBAUoR8
xQjDSKj0THIxgOWyJ38GX2zbCSKEkgJlaYgmViydZ98G3AhCbPShQXE9sFhqZC9jpZgLK+8hR3FN
2BFiFUYMCHvKDgQNER4Lx0mECFgOGhYSZmuh0iuV5j490KxZ4mcviCNrZzExwQ1LKd5sDENJq70U
IgzeAOTASPuzC9nihmJDyhkkwG4x1M2YDRvXVyVYnaVACWyqBCyJZOmkmY/9F8TUdXRqDU9D6r9Q
xyYCcRHIuR6Ck4f0ijCb7cmmKVka0jGj5F6HisYfUDNVyq8yCvawX9gnf9+M/XAaXAMhHtyR5lyp
4wQ2/rLhKoppRTtmp8FYRPU2OE4BCJaoYaGlooYkFGU2xcbM5o3yq/B+6TzanUAvxy4/MzsDbYAN
hJWxfqxf2DA9VkJTRMQlt+5ozz7TQYQ0dlaIPnNq8f1UvfihLeFhyiE/PWq52FFz3PVOsB1/tWha
3gmtEmee0L1S87bbuDUoLHTAOhSBT1osjaMN2QCr0RX8lFg8xNAYtSSxfoZn3TJqeOImpjF9KBN6
3I0f8bgOFM7zDBthuxtIgnEohn01rENTe2mw/A/eZQ5brsqH27cNUkra+G0sp/GO+iakGNA2rLxm
Lx/BPDoSqn154DikHFBmZrK6tnVw4J2I0pk6qXD6ifrcjNiSwfnjW8hHphQ1UnkhZVuOSXhA6vi1
wjwZHOA94ZUdCbbXGCWaAxOvLP9BUdTTl+pQUiUwCVxAPZFlTdsiIZoDgnq2JCJUw22nySgiu2G5
4DG2clYGjjIKnFM3T4d/9+B5yCjPBo7wUNtQWQm0U78alvJ7CLrBsM7asNrV8FAEBadrGeSpH/MH
0Cv7UdzHcRztpq9Og60UuoYMoB4tTdhyGnJ19oXGxGmwgx+uhtPQyrkVeZzeUb8Jm846glQMZ+KJ
Wyls5DQyezBBC1t9AJ7LaYT7Jma7hA3h4YQNchR3IuNyXX3pNATRsINUtJPrdZJgTTQBB04jV6Mf
L9JMCc81i7eGMqV2GtwiBSL1xN2haSm9bDygFMa1e2dGGxPNbgmWcOtathfbI6ka1pdiczmNsL0o
d2T1r6YvJSxRk2FD0RAHShO2wMNZz5iozC70ee1RHIYqFdMHh6VhtZE5yg9d1rPEZ/QBrypVG1/T
5yzxZ9Say81gZRXNHLu3Sfdpl1GOaoOBU0rHsrsE1Zaihf8k8uN2M4TYpN+kmn6Al4NA5lVyecOo
m6VbkdSaGlQ28U5OXDM/9C/8u0MR6djHp3d9SxoJjKvRKhKbkNp0JuaWVOfZGLNSh0OkjuKVy3vw
4366V3dDfRyqEcbsBWVXUHescl8wHL8lZLgbmTPdnYy6vZTcDQTGLCBIY2FxSSl+hgzrUnAdiaOx
ae5yGu4G2xtuCzCPhshwwqczGLvTQi6vnMWIGla6ImUAAPlArniX+KnUsodqNCcNW1fdO84AQY13
whm2xNfISpCAftpWaJdjXoWvLwiA3xzqdlcjEI+rgbEB8iKbKD4TbjRQM3SeWV8mKDz0ardoUbJn
Cj+w5x5xpBolkNkrEaaesvJQMN7i3W7fnY99jF6X03jmZ54eGRE1gr5+g1dh41JUw+/IK4FXVfqP
k7BhL6z7oQjNWoh2GE+yoODOIwZ8DeAo3o2Rq7VpEZvTpSx346bPt5rO94tjdbs9uAOzBMXhlKSJ
ojyonIaUYj5icGZONxc5LqchpSDJKlbp2I6xQi/3gKvLcvQoGJ/jzS6DtY93GnE3U2/ErEacGmff
iKKgKsyUXPUlKVZpXp+8dEFZ+jRlHOeRNacgdIS9QEo5jTaaxQ0hDSfP4AMaEaSqZiAA/4P3olbK
F/TWCUJLggWITZPdbhU5RANRQDdBg6fwcnMrIUPdhcGTzHl4x67dGsPMKP1cnaY+uwkZcmGYJuZe
ZRlKlvDxVok0JwlquRdCBum1yVW2+cVMoVfI0K25FmqujAdjxFWDhXVr+niZiSZeJSc3PTwSzZqa
DN0t44mOvneZkKZyNE/yzouHASM3VKU+4ioYKcd6NZ5djehADXnvI/teuTU8zUunSfIq9gGN+Myd
D3fjg5OCbIPFMdw0swu112kkZPAVAvMj1+u+S0HUBsewgg1GGPfGA3J5KYzvfgCijf+flb0N5yfB
6jQVMZYAwNT04fFSRa4EXZjJI3ptrTwPK6FTgJpkjobSC5pc7fVVm9ggw6FRey2HU8LDS8GGtDpI
YZOL0a/YEDVe41Koi2e2UfOV1Z9kRIRmihQUAfBadtlMltipuqF9zH/QK2oEDGXLHT2OSAr3qkUN
gq2wuzgVmbzv85O43CPWZcobW4F+IVS7neogfohhdZYOw9VQUX07m22IF5hc7o3uOurgdlKD3Ayj
pDD18BeB/dXCKxNL4Kp2HZfntr4TQ1cNrW8kpbTU/8qGTBQwNfNb1KFhuHBCgoeCYPm5ngY0VFCR
t0jlx0vpFTUGxpO9F3pWGHed1cTKPyMlE7T0gmsdGtcmukdn8Zmb04/VhLkSf0tJIDuVjrD2+y4K
75FW+zr89E4cNuB/3BMItvruR8aivvBuZGD0eZ82LmWo9Io9jVw/vUUb2gZczCc3MaDJGYs+xljg
ofDCHEVp8YhwmxrmVx+UfGg1B+RPm42kUGpRfPaQUAllWgqH0PZwGs9wHkX5XCHTkLCR8Y4aGVal
yzY/rhxGRq9KLv0JWGBU3sthvPNegf4cetiWp6HeQu+OxAowVxrK5zS8BMM60/3M3der4eqAO1Tm
Bx2uWS+v9jJNMh6kXX91OWqFKL6bETT9xl2st1YbmbHIuzLwtMxsNzVIu0B3CdLFrqezKr+UbEZ2
zay3OKs2RvYCv2aZu0axXe3FS8jYWDB1FnVfHqM6X+t7rfoSN6Be6nJ+1PGJAsE2m6H8O6gNxEYf
vBHC6XYpvLJfrd3/7HcD65P66xOKNufuDwnW3UAcui9T6gf0XCwBNmJkHsubIcL7bY4SygYueUbz
mUN3eyhqL1c6HiH0NGYbxRmbDQdOIl6pRoonp8GrhtcbU3+uvpmjNEuwGtgE0TCbma9wN5g/32+2
bMqNIO92zOdwT1q2mDYdE/mGXJ7goaGUi3ipEqp8DfQ/doiZJ0kX21pPdag/NkVxAxvioeNivPoR
+U6xjqmzV14NFEO+FTAmafwhgr4jj/6EQ/tF0BgwUxrq1XTg9dWN4W9ZfDHXWG6AaHSPXiXem5o3
l7Jbcs3eOEUo+rBatGrAjAKYNl6rg/AQScFSeD3bBsxUAo8HA9O8t10EvdjNS1SI5MLQLgsfVgjw
ZiHd5H91DKBZlObORg+RnrLcnpi3IuvYo4RTrtlZQoa0ZTLrOw2/4dkod6J4DVszKCg/CcGtlE5w
eeJcJUkrRLNhbeVQ3+hQfp0atHslV1tDmhgwUFByZbq63g11hpESlZ/ZW0uiLGZToEtW2opCNVjx
pWg9SDgNBNBYFN3LS0nrChRDQZWC+9kNjwFbygOZBKMAeaByGkAeXDF1nPzpN97F0GpU0lpw0tgE
0a4/SeElhho5CqZ4b7VxYwBA+z9MoM0az5Qoag1ccy73c4llP4K9ygsu7IenzvHWqznlTVfCuuyn
dnHJKU4Lln7XybeLooLaKMlVBnENKsWN6HLM6VJvwC5O1svLKbTB4olF4z1H0aokNWjEMvSNRSkK
H1WMwkzdMUFOoii2bOLTsUyp30OJaB0nMn40GAS1Kcq4GtZGfJM21qLc1bBuHXMIfSgax3kRWxVf
F5/GTaGJ6Wdp6u5gn9NQjntF2F7pb3s1bIPbZIoCpDI1TUFdTLBoY6IyVPF0KwpykyNKoG0JAIZY
oWLUNKC3etC1BJuXgsYFOgP3HCYJDynF3YiPGorokI835GyIG4pQwot42ReNyp1G6u4sj3UkQ3ez
nIY4DUzKbsSGTjTjbsAZVMrc1C+wlHC7YOX8zQyO9jYFW5aXR9aIG8HRmDabsAUqJ+iWXa0D+wpi
VYobY6E6llS2I5+bByBMtlVEZwbKV8KoVN9mAlI6CoseEHngzAKHpZ6RFD88kwgOYBtg157MYYHO
WcRrmIIE0b50GGIGgMQcWiEXd4C1fc0r8aeHUEXFN75bq1pDwxZrSzWCOF+7GkRbCAhwr2kbmnzx
cDUwIlXlMZRz8v1MZWd2xW4GDCuWqhxAd4Pw+yUeJse6ueUwRKa7GUk7QFTdhdQ8NKohvxX3KGVH
tGen7AoOOLXwD4eh7gLzwNK1KZk59QNEhzIEh0LUiP61FDVoXlFMJepjMLADolny4Kkc69f6tfJw
a4dgqJQJbD2hIEkxh4yHiR5w7deolGhrY+UxJkoNPe9m94pTYMbGZr10N0QNcr3IncfWmUxyH17K
6F6dRaRMeUrtuDyjl1dH89nHfK9xANOhQFfZgv2sJtbTUJHDX+O/yGWj4bhRtIPlwjABPcXTSNzA
T/91ecHDadDKc8ryv2OzVLO4oSaPqAjgH8dGb772UqLni2MsV5vRgOxxA//yMwBPt5l8mhNi7rH0
1mwe6lUKGR8pNJwrcWBcz7e9Qaihci/Q4LAOaHYtlF2JFoyyYTKM+2rkFSFDUMS3NYceNJ69CEWi
JQHi3N20CPVZpVuDNqRGqE2UvhjNaNUUc9Mk1ZN7CBkvtrOpNXAAB/jX8KUE8fI7UA1FmVNrUCxT
9wiMp6hvZKfNlkepITwBUfSvmrZu2saAoYkdrjf2lUFhLYBalh4llkJz7jxZO3l7IJBGkZ70tQ1n
KE7iSxPPkMzNMEEpTpQI1FRwUJzhArXL+Ti2j8mVKnUsiOlYeDkSONRF8zX3y4gEKMCpfhNfKEN1
L4avPVcHzbEBtadayR0pckPN5cPUACWSFo86c4mimcuLKL8wBJu5SnjAVy5t5EMQ18ODpbAcBm0j
nNyRH4P5hr28cQc/GkciqdQT7BuXiuyNgq5CtbbTwByVyIe5VUftxdUUwIRkry6udhtxGAMwBPaQ
ZTo6DgcADCwpBZDzqdFr+XU0r3xS3TGKyTM+JA5VdqaIKaC2boNoycTY1aRcoyLMV5WeRiiIhCoK
psMBWPe6XFWuG0LCt0qnXe01x2tmjNyDdA9V81BQuTHuT4eVtXkdgwMFauyNTee73Q2nMZT+rkcU
iVWo/FMr/865hN1bfteNVW6m1HnRQ+6GKY9X/EWRmAKx1M/jy95YMsVw2F2TVbaUYiYLkSce7LnD
ElpHVsSXx4ca/+HSaTA4U3apa2NuE/Ou5TRw7EGh9pT3LDfmIIUJSErpTL5q/bxBCohcIMWYHvty
ltMwSKEPi03L2+vAvsbZtxo4Kg0YJxu+IkfWVj3Aeixyw17JjtMz5CtR1MUJceg+g2tWmKs3oJg+
Mm04PnjppcgpYAtTaM4jZySF5yffhmWmndljP18zsHzUG1wK06kMPlLtNKgbkRRCbjoux/JS3I0Y
PccD200UW9q9FHw9rDdPHarvpyzeDcerFL2jwPvIMXslvMx4WfQbzaefZx8gH9JNRMxcyymWByFL
J2cEGB9c5AdUNONoBgLQV8yyuaKtU9wYpzFaFFimKF+kbWSVEjayspsc+KRPgW4oQcFs5ptDxtbv
pWAX6NlihBrSV/GlALZYmMgcY16yvxTlnua2q+gAv+nKsGEMgeB316PsbUpCk8kT8+6govPoO5Ub
CJ2YgPQyuAoyX/FqAD15GWuLxxLTLaNg0wK++lIiTck1FppKzmTmQaXD0M+HvaT5Ez3mCoOHGHqz
vM9xaHKDm3YkiCKCixY6KaeipC6eRjyuY9ul8j4xHclqFOJXfzukwOO7tXkoMkqIvmgKXIbe+L3W
TuP1ye3SC+vpFZyOeXkpZilxKxWzu66xDHclPDX2U1gl1YyC25S69qd97PJShFDpxAfQdDWKTs21
tq1WBVbVOH6ZHKX2MnMceyrX/GqjkoNnIWYWZ4jfrS5XRpMWoby/wImx7cv9fJaw8ZxR1DLh3LZt
8b97xZSBiuY/GchYr0pUQINrSAWKZaG+mlOME1HHI4g7gQGzXv4w7pk+HJ2OQlXoLOKlBA6lhC3X
GmGWZxmhF8e6fSVukPRBAM1mlSJhzsz2sFFCiT9kuGpxBI4Pbim9vhMVeG+6MfQ2PKc1aNgEbDFK
OMQtNwEHLjdXip1SpsRVH2YSDHx9Ffd9x8WWXuE/7KhJtzpq+kb/pLkKxVV5AK0q3Y2YsPjU3zHt
h2OCZP2QXp9RnBRmKE5jE1c3Uk/uRjiMSGmwO4+lVmw4DUVXoK+Dw7SdRtwDlGeU84d8p1kUVReY
EF63AYNgPkPniATf90IUR1AXw5FjTGDnTWwTRf8d4gbcHXqBxyI+7FFUAeJSiNY8KdsZvim9fFo0
/TItiUhVyPYBLqfm1IEY2UX+uryUG+55NjzenZr7AcTO4EJZX6oJffrRk63jeSNYvAgyjUwWOsqV
ohxRlQOJrfYpppQgolnrqdgISzQp4yGlZB+wWB1oDJYyuAztgmjISAA5BRiyQinBflkIwjuO9HWa
vq2ngTUbd8iYjzirfhTiKNk0UVT9VgNXRwcGsDZVKsihopLsNpw3OsCp1bDpD1uaZoa4EVzDDf5g
PVyry3M1st8Arwer/mzDlGCNO3Q3zmwWQ5NR7AEZoK2nUh2yfTAskjDAZ7ZMWXi6q4EVqaRu3Bvi
LtvNhyWXYnQU6BvoBbg9pbCRtQ4GjlbFcEg8MToTRF/Ea+8otMl21UZqLz/5lUHUR68nOwqKJaVk
Fxs3Bc5qKDP9pAdOIx6oPsjs/rFBrRY3PhG6qM3TBI7dc77aQ4I1PPBSOBb9TDl/7gTrHUixx9qH
9TRyN3jnz6FTy7sRnZJ2Eufbey/mFGRAdabjSDN8YkutEiVJUXbBl7AxG2o+dSm8UVTT6VGKDhN2
OKJY+kUxN+JktvdskPR4zFkmPiRcI2Y362C5tCkQtA/FTQc36IY6M0YBUUjvex+8FIweUzgY/cCQ
+50GfyHkAmehOiwqYN0Nqk/2mUkYJ6RZehT3wkorXW67lm1gG1dGjSyYQmKSWIawc8kosaURTm4/
vpUJnRKKQhRBMV774h6jniJc/mmpg24YzR7EeqreIosKpSe7qefsvtNppNgwPrbcWw3mTIqMnqzB
NU806xeSz4cH4V4a28eyWePfL2jEiZ/IEZxvgFAry3MaUjR4GGkaAWKHy+Vxg6xIQ1sGDcl/tFhI
G1XDIqUGZzO6AxfN8PUkuRrpkXbdjWv6MWatU8qWQYNoLmfFkaNFBtHfxOOGOebrCvNYByJlOSdu
QJ5TN2t/ITRo3C0GArR4OGvF7lXwZPrzC2HnoUNJ9wr2cE6UHy5Qs6uRyOmD8mFdJdDJnnDZVWkb
IsKeXY3fNGwBDhBn59m3qkLjPaV5JcEIxlG6GyQpOH7g4ayRzcB5Ow2MN8g8yFTF265DCc7zHJ8D
k2iqmgvAcg0PSJHl91igvZzG2ONnNptFCA1HB3kpSBujoUhbUS42PrQ58qq/xfntZOKYASw9drjb
d/y1zUtxNyBxevlIoykGiob2donHftOMLZHIdo3lbli45Y9Yw806tBsimrtxrdOZPs2JwAGHA+J2
Gvd9wO2w4ctfiVshVwtDzIUNm/eT0MtlMSKGyGxgmjUoHviVa4RAodyIoM1K221djN4Vsw7glYc5
LVebnQYBG32IjKKl5LtUza6eiBIUShL3mb0ODYQC7zK+6rliClAbvaHWWsNZ9ooEBviFKRjyt5MW
JUye7Peiz8nAsV3zasJmSI59wzUEc6B4N+yJTmsKJ1FznMQNgHGcKS1jTgPbsSpHVFQZuCHmKNWX
AvEFk0PBTzmiY24ANjZz7GoiwOnB6oG4exl+VE8jBD+O3z/xzoeOjVDcECXe+UGO23nMpvLKCx7E
AVVHUYKBMWuynfEq9XzkvkuGHUJxU6XOOcVvIKmglSO/V0EvFRfsTxV6Bm14KOY18W49CD/tgqhk
wrEIWAXf5q1QDKJ6sTHfj32mULpcjeencVhmvVjGPQfz1w5RYnP3031kOw0sL/FVwOjZsOFsmHil
Wo5Ip8j1oppHTwefKURRx36sYYOHQOe1D6NNuXbARn2fLYinG5JDipRRUDamP/FMYI2aee2VaSMW
Bbl7xsOluMEFDyxAkxLBb2YH20tJEJ0Gee0mB9eTm7izw3GIW86WzE+pkmsxQ2g3UuQANi5t2Qh8
OZICO8PRXkkKP3h/JYKmFYgUuNk78WODa6l3IxRh4lSGhw1etWPg38EPPjkNWGlcjTryZcfVkAN8
Ttp517uKlUN+hYzvynwLGrBGNLv7tvFZ2rQJofM0gPwf+N7A8jI6rO7KwhjuTNHt7YehJPfNIKIN
qU1zxGaOIqjBIqqTaGvko2E0rRskhM0tMv7DKKR31XS3GDoyinmX5G9BcMSfpezKf5i7ChcWTlDw
AV/soXt1GEzNLc+5i3PatSjGBVhqbq/9PzDb0mFQOJo9UESLxWOP1HYa+pbsfssQlj9xy6jxSa3q
jSNtlE8jNC6q19wzIrZ9ihKisoEvAnFPRDR4xoUcQBgzbNh4KhqLfRZt0Osi3g43yX7FxvCVuhDZ
UEngO8BFKQ+WhwLZyKXxJ5P41ozbNEEvn5SBF1jDWymFDY72cYHKwIj+eRdghLThJrK/mcfV7GrI
rwwENFYZwnrORbD8A20caR8IiN8kka6SvtsTRhkUuimykapcf/VqH3qMIutBVAhlSXpMjeIr8pBg
Qx22eAOCgjjT0spKEBX1MpAGBBbhYURqrpmIwyx/zlMKLYJ3mZLPqXWrvUZZzhs3U9Psmy9KlSKa
1w0jUkNKVKTb1SBqSBkKYmvI9fIZGQF55LHc0L8WTVjothjgZaDIk4i9yJ5SHESgD91tz9n8xX4K
5md4CiHt0KmdVBv6fEsmYGIN74aHwvQtfqpvOEk4abUEawNZKCrRBo7ZwQpt2P2AovCqtZ0wYL/5
awgKPrDwqb2a6jSalBZr3CAao0cFvsWNUL2EFhCI/NvNymokWBPAuKbE479oc+ZuSFB+Y5qUZKj9
NPAuAWyEOcqOO5LSC+nBx/saz1xWqb6UPAFF9zuVGk3SWU7hceY0hhVHt/3Z9wQLFbVkT81UHTlq
T7F1/ljFlnafMnr6KXR7KTIsqYH0GmE/9USRaK8wx4mMX5oiC8FpzSkMdylfjeDmlpSGgpSYAZt7
ZHdMuU0RN+J/FFxUcbvv0I5yC66Bb521Ie0GS8mw7gbRFkEqCUZxeMBRAaLllhEWnEVRtuXByu9B
tOPdyFmYhzoLlLXayHG0KSEO4z5oh0/4XsCNKObvwoOGqKiSnMg9RRM+Tgne+HyCdwrG7hgz0c8d
BnwztoknkFs4saBONNFgPXEe89Zdbv1UDSIemzBcMjR7jHUmEkvxJYimd1Xj8QMyaGiG9RzFVzTA
lCl68WqC5WEG7KE4OB8sYb2hUx0GA91Yohml+OEM2RhK07IXtVtvT7lkQUW9Fcey3QyZnJCtXy7J
EwE+qZL5Gcr/xUthwIY0RpZFFH/MBR4gL3AocEcH0FbRZ8kgeYCWUgGKb1GKnnHnMYcGafhaEakt
10JmxeaYO4Eb4l0XY6HyA/6x2DksuJejyNRAVP32FugYO/UTGnlgPhehcuwM99YAhSbu1IPZQUEF
9XN3HL1XXlUNIJzEGjeT+XLQyMBApphr+jacfBicSbrDa7WnTin2VVjvbC+qHpHm0LE8FC+mo8iO
acC6TL1H49LR0cvjkAk9Zvy/l7rvsGiBmiBnEJzIHVvYYPbPQBScpNZtqHt1JVKIa0/yTIph4+Pp
XWfiq6WcJSFdTyNdPFIu+ASq1DKhXNnD58mZNh7ztRXRkFCcglOHDWv0u9Wfoxi/+Q3EPB1WVXuR
Ps3NAJLPuyE9PdRdWX/BI16MnUuERJVeCWVUodHgGbEpHWs9vHlSmt9oq+N+t0UNVahDN3jrKTdQ
IQGfGGoTX2hbRbZSFYpgb25GWw3oMkTZqlAuGyYTGc0ekaPX3RgvxTOJcBfPHtWreBreAWOwgMPc
/k4mKHF0koHxihta8ziH+PJkBUOMP801SqfBkZp67Rk51L7wE+8Aroi+l4ZIpBU8Gqrl9ZuJ8FdB
GrifjHlSyU2HlSWKhp7A02PKgLvNDMZLuTbDKjZsi/G5nyyYSoY1VYiivuk6Sz/bpYzIG7bb/cNf
qU1OA5akJwpmrCmaGazNrHHEDZotSK5P1OqSWhSNkz2QBOfxeRimrlAoJ/u4qI3/RubptivGS7n6
bvgdhcpZbJ7UolTC9B5zQXLDu0Gf/MbVKwAgsm8NJldvoFbmog2d0lm9kdlm1p12zClBhqmoABzx
PyhP15DsM+I3s8SyD+9tqcyx7E2SVBtzE1u3DCtuXH03wgvi2DEt3bbTYGMuiP7gqAA8OLQvnaKo
wTDsJbp+WHlx8so0U+Ud16ZIXIGB22mEy69X4WNx9PvNujZ+ZMrpoR+JzUGpFn174lIroajmPtBU
XvbT4JYP/DJk6zheGy8FZA4jJiIBRtV6WFFUJfptK3ICimY5GVLHWBrZq2XLUfi/KIARI/FEBT0X
93/+v//0v/76t//6l7//5b/97Z//5e///d/++n/+8R/++i9//+e//+N//ONf//qf/+O//u3//v0v
//u//O2f/uoh/MW//7d/8m9vH1TAg/6Bh5DxzB5CoV7I/IwbBj90tkSNgkbKYxiUSVDyQHEkTxMd
3gpww+gISLACxNBy/BAU9jly6lhsaCmHRsSWyeokxd3IYN/njjbGUu/kbnC9G9hwu+7VE+HWh0ot
22F1Vl0RRYyMz/yFDhlm8JJNiC9U5A8Kt17Z5OqgYVjncmjWBY+TZxK2EJbssVa9HSJ6dd31FXd6
xCDR48zhLJtHMPDnUrpuQSPIBiIkEXNMurEYa5VGeMMvGF5/NIwOIpo1EP1UKMmq9gxwZfP/kNSK
qxvfnxQr4qdfNXuENhvAm5AS44BoPQes0avOyLVwbVFrhgRPbi3VGa5F1iIjBB0l5hJAfwBLHT6o
FG14jt86BdDrT0O1par6Q0F0VgdJYDYaRgU0n2SbqiuncTOBJs8MR81rKd4NhrGh2x4jNl/tARoe
IYPs4r78opkMZZQajPwjyPGR1YlNWYw8eDBQIy9mOQ3wH+40ODRztn7KRqeh4NJx45REj1oU5Xwg
UMdBwXNgw0l2s52G+bMxZExJDlVsu7gRnNwrNlsi2y6+FOR6hOAXF+TIGctLoVFxayJviNBzxuxO
ccO10JmA5OJIXRywIdfLnSZKswr9WLs1L8XAOyKmr0HqaNa7zpxC2W7ngFxbJ9dTwce8TEtml+k2
fJVhwQXq0K66i1ShRqER8mHMVlOK5lcYgrwrR5W2S9iQUmCh733RP8M1uAYIUAkQA/pS2PiI5oYJ
ETa2+LDP5XGboOS0P2PVkhnW+G5twkZSisGwcIbQ458jDqhBXuk/ogKOJ+JJ2Ih9aNgQbaUGF78U
RNlfEK0lo3gocPK2aKjGytacXI58WsWr8cY5wGyEr8Scu6+DaMsv+N4gW48VqB0figLULmOgl2np
qJYKD8UIJYcaMfG0qVqC6BCvZV2w2eYhfOxUewkVBkrSgBGQ7FpdFZ3TMJ1Ks06DbxHMchpSCpK9
MHV32WgXRK8+Dbv36NYsMss+4P00cBiQSEeP0o5Y7m6YM6KV+w2AmMN2qvBSkCLTflggNaQogfge
ouhztrS9YL1NV4mO5CbNNdCWJyJblLLMMw8PiV4kQhLeTDZ+PME97i4LPbV8CoREDDO2LKcrlRtZ
jixTBCmJuHoTvarL88dqESziNG294ka6lGtPQ8MzfFn/YB0Ijox+SHXeEAZMSoGSw71icMA4oFaJ
mipx0DBp1KL4nTfrdg+FyQYFBgy24Y6+0cBS5yiXdPMQ8+pDGfpA1ZfDzfB9CaISrAGch9T1bqDy
esBf8SWDgRUtvd6oChQbv6o5H1KKUjROq3fLzI7OAbSvCib1gRKyvEUcv8vsYBoBnvHsBVG4gQg7
p2y9gmjixkiIpO3EzFqIUkr5wObRrA8fgjjpraCouxEeFTSaV9TUxnYrzC89jZgiKs5hG0Pwu8UN
q9bHHGuqHP/0MCApEsYGn0WchPe9MI+UKT7H/qtpI9nubvippxFgiL3Fl2JSgpLNwEpc3jw2AF8K
c39g5JJwixbX6zDisaEqh3mpFKqgqPWN+Mc4LKN9FUy3h2KA9RJ4vuNmzyOGXqj3NFQKrKjYQBPa
bSUE2DfssjhSRnXQ7WrIKFe+E+aQoDRTTNJPOWW7Ggoa2mP4xxB89kOIDYGy45TOygC2OFiiwDBZ
UnodiLiWbK296A2gpqqvOI/0G0hffBrcZkJ6o33GWtjvBgoAkbgKbDRtwkqvIKpnewHbmQLZrVi1
5lF7ka8RPx3U8Z0UGSveJNgBiXZjew1vnohzswqdMLioR8Er56IbHhPWVPjS20uhFA4bjNCR6K8b
8JXTiJMn/4C04T62UrXhNGIca+Lsrp142cfEahCVTSWdfbfxfE4jPziOK7WyFmJG+d+llis3fMUX
9yyc/RNDBZp5DW541kDAng8FrZM5ciww6gIMXtSIyAP94lmxPRSTXhVHV2J5agM2B8muCPBFgNg7
QcxI2QVcPVG/otknm8MOHH4/+tuMGlkJbzCGx1o+DYN+Zj9i8Sm3PFHDZF58mnvVm/Wv9xgK9Mo8
3UuvxtAwqZEK2UyEKLw9FEfuwITZpr7DPkefZzaaXKJiU0q4ZoDACMXXsHHjtmE8e5tbBBp69DgL
lKTw83DWsAGrdwMbBp1HsUmT9Ck/LXU5D2YZp2/tlTc8Hnu2/5StvcKFCYVYfEjLvp1GBrSGeg5r
WIh2q8vjiRJOGofZQFUzrv1utfFqOoDdBNw6rGeW0+AhEPebwUylZeqnfvVS+KYQBKNqKRLLtZd3
oIl1xsa5t/2lPOuFnMdz0zW4OQ2OyVRGwkaVuqESxefyqypfUnCsUVS9IcJ21XvmKLLxNWzF8rZo
CsfU44GH4+P0fCIEVoPKJyZtTVsUvrI4TjhHsR+rBY1cDM4MejXSp1OwnOrVuOYo2lsGDT+e6D9C
fXnkqM3x5TiF8a092/uKTEuRYrUEfEz/2i6hKLnyKSq8POd6CKWkVVgRFmebxgnsle52QmI9zSI/
wAzyCeCWi3StLP/AfosNJA3GILGskCguoHKdr+qwunrvNo5Ok5K16kbRSvNQOIqFqOoTAPhLE7IU
omZw4uibDgA3rt/wIIaZqRwNERL9akM2VAU7GmktIoGKmdlSemUc3Vcy72IYpITyzX2sjgDaYQbk
Y+iP8HVGfSPByBBukiY7XoyI/TWbx2b40jN5fUp1ScdwaNX2EIoemN1NWTEbV/9uCSW6A4bAYUYy
Hy52r+wUQMzhBlF0GEfvIfSmNvOANLFwj47pdXg3if8DbqiF0OHdJCDnfM9UGFkXHdLM50/j6l5T
pezm05v4qAT5qiPN2xOnH8DGLy9hSSgEGERzfN9iJdmxEB3uGBjOeDjV0osMQ76OijTEsTO3IiR7
VDtmRt5Lu33RfnhR3rD8KyA2Ilat9Hp98qHT0lorMnxT1+71+YkBtpVKxnCDRNpuGh0+rwXOSlA/
YBXnyVQJf4k07ivc8mTQ5aVEk2Die7Bc+p3GxXeD158rRnlwhmwQHqjM6F+OAeyf/jTCARmIeYzJ
1wzrpWQtxDs92/BH7HcaLrSk8vxDEW2gXivLX5/oog2O2GpMk6blpTw/qUbMo/19UBVmPm+k+lSR
MwuWXI2QPehaFH17giJaMvKLv/ASN+iBfJtfPGg71RvpoMaa3vCcodhld0QJNG1wwJ4T3gY/K6gH
fG0srYOmdKvM3WostUxfs/2hyNuwaJ6JlaGjMo6Y9ITFMkYUX1lertzoCG5waaMVAflblFV0RwQR
S7EqDpA5duwpWm58xb3GBeoJA6JgxbdO65kZcamHfX/i7M+YIB3g0ZWtcQMpTrkHUm/KVbj2NAZS
8vFzQ+N6GjFiDrUjuoOOpB6jNY4b3nLGxLWc4m7IrQZs1haydkmdv5xGniMIkDC4oX4LZ09LCfIi
QsMHrFp8gYiVopDAV7PFiV8sp4FAzEhSoTq9utvllGwNG/udzWBhD9W4QXxOcZIFCqFGbncjlCqE
nyMB96tFcTqj7de4oekVsS8vBfdNSxZ7rAwWt9NQkRvrsQVySTpiX1wfsn8ArG8aW1Sl5DQAo6GK
mrSdbLS8BeaZFrT99NHgjRyG8YfIZi5WhDcUXwrNVyZ33/DFGjZCtJdNvv+8U2Ge0zD5unIPrmoC
wCpHWcmzvRNOPTkouKke8bVf1IheZuip4FXVLsU7kZtYE+lC+BKceLjD/uJYaoH2sVOm19VApBD3
8Jz1bBjwtX5+2DHHF0prlrnKGkPtEzJM0RXpl73Khl1KHLcQnEI7iqytnF9jWQ5tVseMge4aNuLw
gXKtHxI82qEbNtNp6j10TUoM+0qnwUkgHZsWlq4juOgSNyBfUW+xBtQ4x4qkZe2FW+A1pzov340Q
M3LCf7AXxFoIbCrgQaxr+k1htSghRmooldIGYKW7ETVbinz5RDAdv+3DSxE3/HsKmMGpbWc2O8sN
jF/Cfpo7BPPSacgpCIBSLFaXFvBE9/msMPswbJvrHCd60AkVNUD2Sjh8RtRerMuzFySmFVmjE2xr
n9Ab2zj0YfHUcfMWxdK1XcpbVhiii2plY3n98FLMpGN6L4cdyy0bRtFruxQTVgYeaF38ztSay2m4
g57RyL6a+m6H4ZkwSJELxTXZrxZEJVgTNpMjVbfeZ7NVeMarPYgMDY9iWEH4qR1FjA6qEVRWSveX
YjNdyH4vssAOyuNt9tsOPPPJlXVo5C3wX3PdUwxQ7NTk3x0m5tm3yifX6g7ClfZW1PnS9VqH2g6s
mdMBHCvW+9WhKMSXEapxFUgwvBMtCBjwZT8N9l5jxUJA846VF165ISzBnd6iuis5E9jxy6pFk1XO
sA3u5t/+mf1eytX4MOpt5pjUwKjJWxTNS3EXwzPr6DEREPDCqhyuhacCZ747aiy1BuAjSz6P8X0/
3CtVObUAk8/Xz6qdqJciRpq/xrg2izz3uwHVYKLIwFSx2s9/JMwN3YTpMOCFxr/UsTkN7h1Rx4lF
SAm+2no33BrQBt/7o7/thQICMXFmkRW0lbGVqZ5GXHfZaZgpBTnaT8NhpU0JU6HhytMoqnhtxY+5
LJ1nxkISl6Ejw9lIkpbDyIr1XInDnKQh7CXBeioUGKF+FycpHgqScOpb/SmO0HoacTtD5xBHm/p1
56GQAeDhEI27H9WHIq/CAR3GuX4rhEm59Vil0q/ceFYLxd0xMa8O9GT3dKyxItMxxlxeirvhYhAg
pGpvGDYu5wKKjjmJPxAsSebhK0vDQwXbDdrwSQI0GGAANsyKp27md5XzCRv8GZBFcfcnxrfkV/3+
L9KEdg9Fdg2eq8/ONsoiPsyuO6cb0vRpXY5RfX9C2KINLwYBnleeNeDqg2oEtcZRaj0KieVWKMdZ
vBuhNJ1EpyK/ECd/JrMWLkQFxLEteqJ/hQqG6ZVZZDshmysd+YgVaiT/VfvhUZBjBqd5VbdsQjZ2
CgFLsSWb0t5yGpe+kudPEhc0hNAe90aepG/4XSHVthxEg8gj0vRLxIFshvffTSZICpHgSyTZo72b
0qjIYaXQUr1rS8mnu3FpDYq2lDeHE2nBwx42MDnSvE7T8naZNZkQB9CPOOxTynWGpo8Vwes3P2XN
KAqNm//GHnqXqONpcAJBlbVSTodSeyjxwPuh9YjT7JEyltPIHDoa2GAfXHDalRrAGO0mepbjqBqx
OA2YBXRE0jg3Ysk6d1hpTLxbOmf6qUJ6VkRn3UG18CJVIn0mzrHH68x6xLPkqEAN3NNxV9xQKQW1
NhmrOu4qN/Kpz62Wkw67vBRyPjrs4Vmj/O/3UgINm4Zm/SvspQZrWDXlWEG/B7Nt17/ikwFM+8YN
/gdw2vx8UXDXXsr7E0abKb/HcmYwSx+GJJPxa4JGuwiq1DAYFPKyg6CoU/JKgmiorcKIMR3Yaw3x
E6upZdOKSWJuYs9zRsfFphWujHngY2fPQwC7n4NxrIjxHLFHx5UPgpnZT5yCnUlxYbS8yrUXD1uR
ifJwyu9CkzVaUYuYvjWcq12s81RL+X0F0DjcbHcjeQtrmH3PKDO6RQyhUyi71NLL1MxMIDjnchjZ
7glAdw6fWAzoK90OI83JpSBoLCqyDiZGLPvVIDWmAf3BsUZH17HIEC8ubE7iMyMEfYtal5KLJD/G
AeGwtxxAw4GH36eyMFs5Synl/UlYMJ+TVA1RzqganqUmDtOw690IZzUflu7EP5ZO4+2J2ClGNPrg
85SSZZYxRxp9a79ywzs2TzPkijXfKBDQBX4f71LBAdwRximR9q3AmUALrr+u8WtGTlAZA4SBLtnG
UHwprAMgGtpS+Mi5g6gyxLVRhMbPtiPEA9/XLESkxByl1qo5jTgUeSWgi0gvlgyLDPkF4FGs24Mg
1DYsvhL/dfDx9oJvF+OGptVoBG4RI9EzOrkWP7rXLMvtuFRJWW5JA0WRkRiqUek04ORJFmiyE8NZ
2zXV19hJM6uNfkGUhaXxDnseI9fs0i4dBr83Q2xTRuq1804+sKCBwV1sML5bKw61iZK+U/zEzCpq
+XTytoQmJEeVdTI0QHhS6n2PZZvlE/Qjl1pPobvmmlK6GNmrDuzKInkWd2dSAxJpAKk2GUNh0M2b
nYaPiqMBe1NkgqoRYMRa5El6su8lt0tVLn7aIRMbjmzN6dexWX+RqKYoFzzKdajOQ03uagyP0B0I
NY+FayCTBQbqCG2AqPjCsOFnYFWkrbBT9RCy5w4xFB66dvOkawYTYVyGntBPrAW7FPNcDYaZIIda
ctWwZWEONgawxIBtr7uwu/QA6tCWozUdiksRDmS2xRWr0E/WsjodnqTIjnkIy2nE6u2gmbfDhuN6
ZykKuqofMcGvNnP9zP4900rNGqc0OWo7ihS7vQmyWXOevQQK83IAhft5dGr8mGKeEFes5XFxNPrD
zKtfOgHLYJJYdB6by2KpoerK69DDv1M3DgXHklzVH4w3XiSdljQeERSWm3SHpcZIulh4yUm+EubH
ZzYnrO2J1hVKTiYNj246N7jJheQn2Upbd/XXoEPIs7tLA/uylxr4D/H9n/vnG/pJMJJQd5mFhqEW
XXsB8jJzxao3okL/iMpgTSi8RrjY8proSv/zGX6EljUmgNWddNw1hEhGWCBPFdam8bzxFo2ffy5P
WrZZ2TTrXT10Q56BQVUhr8z2eRAcEN/+Uui0lONTu9Rw44NgB39CucKJF+7LuMZHLIi0gAZLQ9+7
5JTsUoKhwBx7eoeGzeyhSIeueLHeeIdraHY8B542p7ThL1LB0C/zjHCf+qE88l126vkRJdhahg3m
BRKO7aFOeEAD691QZtB3YFK3bFLC8bJsUxWggKxD5fpSpKA/EvJZIQQoRbtMgd5zcODihpbFIeQK
BJB0Fr8eieVcrBXOUOyvU3u169oIkxTmPk3QjJ/ORKhUb2TgyB4yTrqYD+OmLS9luJoBD1hINgUB
L5UbyNXp48fnvpwE0QXQGFlyqH8bMiGvJSmoud+poRFBNPZrN5/x2qtm+XApb4h5XbzfILvj9a4/
NIF7Ve40eD0bKjHzSmXTrA6F9JCmGoOOHeiEjbU69PMpvCYhkl8EEvLGe9OjYFYfVVfDm5EO/kLC
htkUCiDF1rmrWWiykJS22HCs5I2BsN9IDcvYsP1ZL3CvwyJhRTaedbdy1ufc0dZyKC+244D70MIU
LefWbI83MvhQXMHLF0SULNzM4JXUY6wd6+cp6wQuHcrHEkANIVaav+r+HvIrqJwxJ4Yg5QtlRkfC
RgZiDICjVa3upAu33tfQf3yTdR5Ow0gJLHbnPXX0lHUzTMJ8jqZK94z3u0SvbEUBhWJ/hAc4utPl
NMBJoYCJLT2duYWLEBh5hDiX4iQlHAVYovbE2oiwdZaXEqsRovyDENmPviJsmCkZyXMrL4vXuNCA
A8wNhA67T97XQjSa17g4aZUBjw1BL6fhHByEmqm8DdhpZHnjsbYzH/3DO7n54/vgtd+9CKecXwzw
OoqhWxX+G7MTh4rukAnschR08tyLsiuyqQ11gCfZhHklK7phsV4YGwiguVy/WpA/XIy4BmR56H2r
VD/472r2Cs6t6+YvpI3tamRLUSaSrM+SbtphobE7VYJ6JkMHUEJ4VBrZI/JzTeV+GiwDdLfIXk03
jl06ieYjiNKmZ7tXmctDiTE8qXRjL8SLhTlUJhMF39KJqCHrAkpDA2i5EGUQm0yTgpOrAYoPJXas
rwIDrVJmM/tDwa/nr5qj6IgLZxhvDTByqN1YRVwYyyujgHTCYJ598grxMoHW3g4n4o6eZtlCoeu2
hoJRdnG/qdOI5hXrDXB0yl+JnRyFyt1CoVtGCZaB5Tv4mjxCJj75u90au3YVOW8q5zG4sMtDQa8f
Mzw0hhTk/RBAbZVk90KNAs6tMr3cDWJodnZ/QAEMYwMe6i21pVHLdmBtLArMzqK7htPwRnwhpB1f
ddujJG4M0nYsB7kG9LsbccFlkeNeQ8zxLaopxbyIZF59P57K8lKcRlzPjmfU7zDM4qFd2ZltClgl
eiHzqKpgRUaYWOWbCthD4V3r2owhdL/DyM24Mr/aUGjxmv1lh7hiqUOZ+EMNRBbTXpyfhhkluJ/I
Nsg8NaScYCt5GiV2Gsbu2DDjDbaL6Bw93UZQ9obMgCgH3FOsNj6U3X7b2G4TB1KcLFFDfiVG18Ga
PA26bLe7cfVLUZNzcpGuUR83DqAYqkyNalrj1lKYo3sC9nvnHnOVZW/rBXCV0RFu9sF4XOOGBcD5
htMrsx/Qcy2TWnqiXaPoSJA8aWCFlbHdsuO6bCgU0MUrBlQao9Tw0Cyw9KV8vW+88+FixHEkdmGN
lwBHpcrO0dxAnTAv7u+2KMrQsdxU4aUbPmtfWY2g3lsccF8830zbKGhceRpE5np1vPJjRvJwN+A8
jIBQ3sLnb0nywjMK9watRAootq/uhlnil1RtUBc2z5JenQbmk2Kjp4Itsi14V6RFKFjht5ZalE/r
UFJ1W6/FR4OKYTmNGyDIrEZRrrFrWYgakcZWP2YP6uRqFA0DAcKjOR0LT7bTcAhvD4hpt7hhDORm
Yw8Auot3w0txw0z5VVfBj9ay3EvRxpm+ZZNCRwwwYQNXdmr9D8l2IaXISziyLzr6KIuXqxGwHDkE
t8m4outpYHjRy8gFYK9S2HA1oOCKUJrzc5zncW1Quzo0Y/n0bNZvku4Wl8OEpPAV3ZazPaEO4yig
rhjATgZDQ5mSaoP6DsaNYIEJWLwavpoG1mK78Lji5rZUGyB0UMqdB9buakQur2nIp5VZUBkClDFM
HFFixl7G7TTS55PL3Y0l/uzNvOqeabuXl/CxB1FnFK9/ui4OOEc27yToU3ixKMJRxH8mcyy+FACf
UKzm+AOZEnYg5MN+M7qulpTIa40leMZp5d/CVj+dv/J4di/QhwSYllH0aoDYbi0FloouJJUlinop
OGVOox/Ti35dafD/ubu73Vq24zrAr2LoAQhy781NbiDKjRAguQngwC8gRAexAMUSpKOL8/b5xuzV
q8mefWJj1UxQkCw79qHCZlfPWT+jRo3yB+puREKodEveEFgi1m98bVuvdbIE4rD+RNDhMXvRDyoP
HAq7FFdhclXFEQAg9cf7vNbFYI5Wr8RGzttTWMKfxRYkm6C1CGnVXAM5ReUHNBrAxrmW/2JJMJsf
KGC76LoaDpVlmvC1N+JyJJoh0Dlui9catthkXuYudaFhL/WzkXwrfehba+DkNzQODtJbT1ssFW3K
hg8gmsvntWdb2E+IjioNHW6j3T0R9o1YESSjBqF2K0WUIIB4wRmweDVUfKEdmt2FamXgfNNxA1kh
Oo8AG9Jm1YdCmg0usvAmVTWfjcg6ZejFEekI8yBrJLxKhRCTytZQALsFFG5Gb/UcUTKYo+ekn9Q2
J19tjYiKDEIkhGM6GwoXTRTdg1yUfsrtAEybjzCvhJQoiBb9htTL4gitAQ2TK8XMiLbC0J3GsVy2
mxcNo9zwHW1HYtrV1abycgAJ2EI3+kqARV6OMwRG72oNJK/g5CkdFFjFYU9qqqHekt/MhpQrwTd+
ozNdNmteof0SMH3HDZN7HCqXaxAGoxMpSEnOZ69hvVbORk+FjTgNVBIvgfYmKFadBhpPVFLdvkhH
XBjD0aC1mxHhhozIkNB0174hKZhyL2oHIAE6Xthc5iWzB+ZkjFCH4YICeQZCO66VIr0fIRrVlYW1
xS3qWTf21XIq8vUSDvNgJ2ukLx8HS42y6ciBI00zOTsOgHLF3musgXCrBaGNhrM/W8NJRP/bB1/b
USJDGs6Mp0kAXIWisixBL2ciqUZaS5fMpuTsyW4iE9huvcFqH+qra8hbLnVbbXECQ6OoqSzcGlgN
IcDFR+NaoCjqzmCTZ9LXqBpbjdypd+JWZzMhea1oFFZzcfNeGRq9ve5FjiFkGf5Ea8m48fa0VtaI
LA/nTy0T6FJtx3M8JHlurM+gWacLAmeMp5B2gX9e4T/teCtRLjSRa42n41tMufgJHmEv489ZRijD
diFqTDhC/QaAnYuoWipZ/ZmQhmJl8v70RXIhiAgmPMO5Hf/ylFXJ8jtzOfLdfhdFo9gYn1LCilcE
19pFwdSA90nqf0XX7OWJvhs74ULs88HdLsqQFHIoQJRDSdvf93ihBhSRcI1UnI+c4R0lkOZaaPc5
kd28RmoIqbOpkOdsX6gdje+GULK/Ukal1ahNMvlQUEcWIZNmbug1IgypdtILSzO0LMkjG3c0Mgot
HQ+8M1kjW00Nym3zSx1TrmERHpT8GninGlFYA7yMGRpmymyNZ8u4nRzrEBNeN8igUbaR9U/mGr/7
f+pjjW9PIGbz0M6a+wfgm86GhoFZrjRsWm4OSk0tW+LYHHHkguLZCGN46JSj8swjr+Ya05vGJxsN
hX5elN/w54kC5mgisl+1hiwDU0NmGzLkxU0h1pBCueu4VqwB/8siqAwdlq0BbqfiwiVD3mdrMLiI
YnQHR6Qhk0fKtVSKBt6lZLslFHO6kalwgqIy944DW7DslYrt8ghiIsj628jW5ESNNbiW95syDmKn
kIJ+lj6p9g6vV9YNIO8ngkLJRxEyHw0XJSCPQSZhrGEBK/nSZUQ4AfbDHIpuQ4cugogGWganfDob
AFfmso9mZObt0o1oGoRaMRiK1Z4BKHTI6yoDabkofCZrRDiUMnxTfgL9Xy4tDR6RpY4L40Zpupvx
DeI+IT0vBjMo320M2pbtpLiNUBhNc1MCrl4UbkMuqhDe1Mumo/GsO4EAiFSWnW8NUUBKKeE7axAm
Qai6jTdcWCBf2jE40rM1Bq3Oer5BKe7nNlDUsiZMKcvzlVcp2UWnAokM4Fh+O1kDxwtZw6Bc0/G1
xZkoBaLoMmnkzo1XkGgITSqAux5JM9yLNhEdiGjOZ/qu6jYAAlZYWnk8qLJ+2wkuJxD4YaVns4uS
xkGajbAX2GiY9iW3YXMjjEdWdShAfrKGEeB38HBcVEvhO30/kUQ9mS2cVam3iJvxQlnpJkgR7j0d
DbN86aPcd2w1OxowLz2x7/BrMJVvVhawytL4ELItl4qfPFnjWZdakUJUYtDvG2IbYp20UBkFyKwj
PVCLJC/ojmnMzyxqqZc+nDLgNgbazIcyBlAjoK3mQdmHOhWmsNgBnWdi8uCuZH+9oZymGCAHujag
cBg80K/pjezdtX5XJGLIemKut+K7SpFNfy3iGRnLAV9M+n9fnpA0CDZ53JC278dbWWsNXVegkWJe
ETwTIe2vlICYhAKjRMMCPNjLYzgb1P+khVyeVlAtzyBRhBHsnEm8kuCfYkmOhgODA2CNdL9GdJIu
9BWHG8U3fcBaCvpu8Zoa7VXESOX3fl70Gt0VOKlsHL7Wj7ERa+AUcO5OtqGconrV+1OkNQ45pnNC
7mw4iq/YX21VaIAu2gXOrWn/YtblokR3wPlIqTPmvs8JueyORM3eU2rnNoCg/LvJO0apJhrkEGUS
aEHmRW834ZM1UDYyX2vyYusbtMvIE2BNhWQ6KUy0mt8QYJU43hjOo6mUkPHJGkJKNFa/vtKHulEl
O4WU9X4jODP0D6P8QlOWF4UXgDtupOGW6QalFJ8LdU8jqFTI8xtpn72/wLM0Fd/O1ZqzEa3/w822
8xsaYro8qdQC6VfRUHRy0fr+vtNNkaEChyFKo/naLPkaII+xkCgiaiu5zqWzgQWoNklvYCywnPry
AXlgf0F64ja6lSnrrYG28hxhnn3l8cmLZmTwzh1uaA3pAcKvf0eCuajY5GzIJYSUCAEyyLlvMIo2
K0BoDo5phGY3JZ6T8BqWK31IGGAx+8IDBJAAccBFV8vDR51iVtpuKaVAu1XqbkpKbAxigdGocrEV
7WxI4YJ6STqyQnbyopBBQMqLMeC40YYR1sEYU0oqWa2gohcly52Wo1p+zPhO1tBREl9N175nuLGh
Naj1+RdEFMZdtEZyUYwxSjNSFzvm56qNDvU+ENuSFQkZBnlpEjrcYO7q2eB9+Axg2pgrns4G+kJO
jd2yDbcpxW+k2Nz2my/wG9hs0o37mo9TfNWAlolYgbAtRm6XiZrUDWUgiyfvzPdHafby8ve0SazM
iSTNtDA7MKCT4Q7d7NXOGvYUJhVNiYWkVcvLg26QXjYtv1H95irlDWxgBmbvKrWzhrNhH638MGhl
UVZWv1GoAJbjl79o2c25VzSRjEx/F4I3LKhTPZ/cKyhmkDmTNQuQr8zn+F3fSbrwzpMP5VvlGgb7
hnZAw0yUKTTEIj9vKUEtooivFBFNsX1DVr/QXx5+w6loOrqViGIPBViXwiVEv6ja9MPUXkQwvyap
3bKJU0yRz4A+UJ8krA3Xeq4WUsABhQPS7cp+z/O0/FjCJjFH4G46kUIgekBzjrg7U0M33qgyEYD0
ri8Cx+BYns4GThlk/jbLdPPZncjUMGL6+24LILuqEUlkA2yErLONWAS9OFlD+yqjHtvR+X/cdvzn
v//011/+6ad/+/mPP//yL7/85aff/uYvf/7bz7//0+/+/Ief/GG/98///gf/9Ms7d/fsSCvWRiyc
/2w6B69vNyi33bDEgKiWsrLC1ssCNtM0s1QyGEKBf9twvM1utksM1qbQXwxER284W5HntgeuiTLO
4GbWvfTb6exgLLUGYoEllnjNlAAnWlYgKpWGxqw85C7M0sbd5aYorfzhYVFpitWcvxUmdhCQroTL
ZDfWfDboKyEq7YNFW1LWxhpJoZcqLOHimV1/1yW8DW2fnT9iI9aJRktoah1TaFhiJIwdDP9LCZRR
bIInNZQAdgOvnUIhhCL9t83J9psrQm4liQE0CprLAVatAX74v6VJ1tTivypEaXEIKv1Kby0IhSb6
EF224tlQemfm1YDddwpcs8R6yivcHMgNR7tJsHeKsPGiayk49HDH4IWqgabUdFO40Gh2U5rJ0Wjo
RfHTOY0l8gf8RqaY72LaszWM7QbSE4UbgrkDlllrjWwxoaT6a9kX2nPWpu0zae0uSnJH42bxHcVa
8/0pnWF5VYgn2XA+XRRdMBTw9Fl6Blgh5SuYzV3xdxYV+DnRkG+cjjvp/ZxuGDnSTCU623HA3S74
bfUdxhraci2+ZiuWPhLxUL9r2wH2yRikIGAd0j1F3Q3C6nRR4jUiiR/pfcKCpiar2QYdEFSesepn
iKJ8sgaIKl3qO07RL6KApgQ8/R/iKeZIi9YIewKKG/qe3zlHFKa38dn/MHw21mY1OxtmxAh3cB2Y
h7QYi9bIXDs8l7g4FaELyglGHDQI0drMX8N5/zF09uoz6ntD22pngxPlPw9WJ9uebkpI8zrpEMKw
Pjfbt6pgkYeImBBFV85nGMjZLbRLs/HbfKbz4c6cx6wIi1v5Yg02s+do9PMblL5FFTyc7KsqK2NQ
r5Js6GxIXwbB5nQ2UK1h320nd8WUeFD5EDbmXjcUzob5omO74Dw24VgoYWOTnu1SyReaSPQMMU/K
lJPQjdRl1C+IG1wA/eZBlSj6Iur+QRZvF1PWoRu86BibAAIP0dfJib5GHE/Fv6VnHZ1ocA0SnM4u
P1p0opihWbJ1k+CfWRZGj4jISH83js54Wq+QAsrn+jJOI2muWgPYLPfWh4YPXPAKDPbyG0yRzYMN
ga/VyVdIm4gDv8JUS6JhnzaFv56SsOHtOR0ZCAtQXDob3AZenjzCwIzVUhcMVzdF6iUtD0Hnlvh2
uinyDHUW9cng5cWbwhqsmlnUm+LD5EWBpWmx+490XDwJK8+2Kr7P0a06jcRMr2rMkXTKJHOZPNQm
iHdCIU3lceUauKbqCjNj3qV6TdTAYZzQd+Q9pnORmW5tlKCmHXfV5gOmtZFVkV8W7CSl9UluBA0c
n/f7nIZGYgknPj3afq0DQI8GMcYpRn8kUIu5Bp+BsxFuxtuzxPviokj8dVg2FlvLGQGjYHQ9DJAA
sYubO1jD8crY6/uY353LVzmZW5Ie+C1pb5aUL5/ejWnJB4zc6uQ3tuldmUYKlZbzI4szL1weMUXw
BLFOmyeFFGkGOKxrRNnw4cx1yw2LaLkem6Rc+MQDHJIPp6MBH07sOvRie5Uoo/8qJzTE4L4jF9YK
NiwWUJHydMsyp8FuvYOMZgxkvie99f//ReEvACADTu91NkaAXdpk85qh2svMfXyZ3AkDxBJPntqW
7EtHhi4B5j72hhNeykTD6dF8z/5bGee8KCzUZzmeB3mcCNsPH+ZFV1YpyTQiPKJgTzf3dDTCwFfm
b7boNsmcliORTq2vVPShBBaPxjdNI9CqqufWNjpbw1yGROQmMdTxaKwFy7nIjHRjl+vPT2cD0ScR
2DRFx4OBWSC4Js/IfFzxYBDSVqcrTUMi9t3P50JXTWctshlb475ZTm5lEagrnQPsk7IWxLMPricg
kphgm1aSJvFKe62pLJnEy+ggoFw3LDJJRVkyE+7uhz3FgwM49VBenjReIWttV5KGIbqsoyS2+u6B
OUmHiipz24AKO5RRP2+Tnm+Xd+FsLm2iZLIxY+ysfKFmSBM3wqJtudTchiZ09iaYEijmXYF5UN6w
PzK7Ozq5JycKeeVAP2wTa+dElwoFU/QPyIxFl103U0gxkOKfUwoRg9tNK20VCkrB2KlHf7CWeDkb
WQTvdNj6cMmllqgTY9p1+DsmXpQxhMNFQlwIINQPdGVIcs05ubEd/YmdKNivE724v4a15JjZS2sk
+qL3aiBBx+AuqNMwpOiFhis75MmqxWsGPP0y1fptcfPJiaa2FYMlZyEXb0/r1W3MRES43uD+IrlJ
uiGS0EyRaVzr6bylaXCT6d8DWCdrSDd0gqKQG1n4cpGiUP8wcjKFFJmGLKRt4yC5l0k7MhU0g4tF
CvEDHGqnAvUtXK65jRJ91DwRRzSOtqHbyJLEcAY4uCJD1Eh3aKZyCfxyuNfccJSHInntRPuNEtHr
osQawEv/0gApVvMkYoiqWiE0llJcWQNR2UFUyPSkKfjrctM1HN3nqjG8pCuiZB91yOw1UGS0lAiN
3zYyNkvLJYWuOIFBorYufdEagEQJNwRwyBWe3YZ+Y+6QtJwUZoCvdm7DJHP4JqOO0lEvWsNVQ1D4
oOp5zjYwqPxXz8ktByLQBhIL3smoHorWeAkpg0H06zK2d7opzxn4xHti+8z0NRyNXnw2THK4LJCv
66aS7go2pLbN8KP9qhSt8tDQ+AyXpQhuCLAZDvyIeZ5vinKe006/oiVCjMYjHTKlmU3oxdHooSCj
hNVajZDEhcAEsQ3liY5eR4GJAW7460AzNmRhYlUV63ggXsMIWETJwgA9nQ3/PG4lZFRFSkdwY22+
EX0etd/28SdrEB8K7zzcw5aJeUpNrXTpoanlcipKm8cSJDBgQILXi7MR1OtmqjGi0Sz7Yg2kZx2h
IchZyzfAgFbD6xD48AO+mM5GJnMI06BT67k0vCmKSt3hsDeBDkXK7Hea60KsFlvKFRDXyRpyUb35
9GfhB2Ggd8xFSYEQTsmFLhKcFPSKeXKvGcDYqrKTF42OdNvNFSOmfPWxqCA8W2Be7DqyBt74i748
tt+loJXuGyjwtnev4cgn8TijZ6pwqtreoJiZK16DiYueZCu+XDRTEOz07i1eTBHbD+wBbBjP9Edi
6Zlpr1rDNhuzTyY/I190chtfnkIs5rX1K7qO5zgVoVuIK/VBNtkE0FNAMTx/Nf8qL4cCiSmIER1D
iqKN2CK8P63k8kWh6yW0Chymaq9Q0WCmJGOxIlqSepBEUd9VlHrSpjSr98QIo2uwZ97zRdGPNCze
FzA3LD86BwEdiuNKmTswK6li15+/aEi/PEl7M5W+TTh2JHxleIRBuL4M9pfOxrBG1Ig0ByKtMOde
4onTk//Rc+KTWpGuRjrSQUZr1nh7ioxoaPbZGM2LTjfF0z7J9TcrUjKyTenhOaOO1bk+R0OQFjJI
Egwd8ZMxXBSaJHHXaVeLPeMgtuqlyKLFO0VD5M5qDWnWkMlJQhU8qUJmwFxOg4BJCaerrLY/TnFl
bEZZWV9OIINDYxo7jaUT89mQ/ithEYlS0fVLRJ1cxbfFy/KEPRsqqG1kZhL/UcfECTgZ4wvBBT+Q
htzERvtdlLVHA+8RSUghfDEAy2uk1wt53QjVDUFA1M3ojoQNrsNRCq/K1zd5F2w187SuzOlomFYC
/iliXJSB9DQ8GmKh6V1scNoPtUQ0EQX9Q/rlsggZ5/AK6NmVmlu2DqLZlHQDUF7WpHl7MiGeQXCZ
XGr5s9N4MTUfQo+hFBPIHaPrWmuIEd8FpyjTZNZxuieIMjrR2lcBjxu2HN1jn1LbK+MHddBLoS63
N2Vx7TUCGYzNLz1pG2s96A9dA9jFgH4v5g60vrVmn2/Smg0zDQQc1YkEIcMTVcjLwp/MHPBB0PdJ
358HJdPtqgA+oq3Jw3arUIgxg+PAGyu4b9kGhiTMP2Zwb46ufAnEQL86jJ5uOixjQEcCiuCqQS++
VisUMRreLvOy2BK7fPahiG8aB0giqfgbZl7qzBSTgr/au3ZT5BoyKwp3cKO4o9kaxuXshf1y6zk1
9BuGRKLFbJQti0qLeSjvqZeLA7IN4UxnI1IK7DV0SToq4CEV+I7pKY3aoWgNThKkRd2ZCOesqir3
MhodGCVKnR05s5pJLrhpu3DgiiSWd6CX3wYSCBo66FyfGo4vT2On8bHmuVdMGV40Km1jWweW8xbz
Hq3l35HbzGGIshg9F1Pz5hyNwHIs7lM8VT/Ua+3ZsH9GmvHutuiyTVRAZyMgij6KAQQks475huCq
BAf3p9Au+g2l2mBauncXzWjZV/BSvNowZ3dUqQ0iGiWWIDMZctRjU2iVrGEg+CUYj1mGGGPCNsBe
/mlkZjfpkY75hhLLRFWqcKtvitbI/kDmhfVQLprkESE9RmNhBzfFhX7WSCJkWhnZmwbej+3ve9SL
vtmsFXwA92FrR0/5RliCOk474atXTMGwwEWLmDR+3ouhlNpNMb4lLXfC0sO8oG3IN6QhehRfpO8t
ZVX5NJ0xm9CNofmkpZsSSo/c234lJ2RTaT/lG+gc4Z6PtWcdewfCPr5GeEnKlLK6VzBPwBE/hGA4
tRxfnsyxmWeDBY6j0dBvjLOhv8FtLIiw3Ke2kWI4u3C97flshHdI834jmPfLN7A6YYA5vNZElW/K
6MoryhT1W3Z1ssYQVQCXanCG1NPPi34Ls5y6AuFIlPCq38Cwt24K6SszSRcdWLHm5jTagT1CytoA
q97JIgkkv5BAZmOEInJoJPZzG3brqqOgutB8CrDFo4EYhL/0RQWbIRy/7XRRMrHCg5pNv8kuNINF
cVjwfVPLp4VQtQa0WRvauxoMe33VwjxZg6wXuDGT2CY/usGiuSkioln3LLFdMC0eAojJOM3cG+x5
sgbWkGSV3lW0fhuWsArYjNREP7NctL2BL5DbIM5eOL50Phvh9Y+q/jbD0+2mkBJFwvICUqIi2MMa
Gmk2jMAurvSpJV/pVZMvT5Oh403xd2UagKNP17QaYLVLpBpGLYKZZOLndFOk7eCgnQrYL6ZAzLPI
g3ZdJLZr1A0NBJqZ2Z3g+wfOmawRJiB/EeWaloTqcBjRZonAsUjdGuIFMovO0tUUbOAN46WNe9Jr
jSHTUI59ITHIJ89O1D+DHmst7DyXZk40rSWtD6Cd2ZmyAkkYG7I4a3GNp4RZeHYbUd3VRMiweMNs
Q5HlUwJ2rTVRfFYzUcskOGRk0MFZn4yBDwbr0e4dm0CbtR0DEUN5gD2KB+BtcZljmikwYlTkaCSO
Zsn5aIRpf8vaO5KcoH+y8khoRjemdja+P6EpkBHVY2XZq4uS5J+lhng19my7cj6Cwa/+W2WB5lSL
r9+fbMO1/SEqlJkjnRv0P+gBmdHY042G1tA2SAVlxKy6oo41Mth39OAnv2GqD7K0aVD0PBvvVBLV
2I54tZ5nDaHJRAdQ8RrdUKphyO1oTzMvqoIlno2tkJnljOTV/YY0LjUgyASJbDobBhOgYnoplDQ7
7o1Z7DcIZKVfcouhF9YAtRnS6EqpVm8Sto8X1ecoz87jj+FHQsWxVa5oTo118BwLpD0jInhYhqRL
iReXgU5tUZMKNR9+OhUZPBZx0Fx6VmvRbVI+6ZZDvYqNg++WpATd02seC15njyEF0YlWo0h8OxKc
rAZWu45dGP7OGh4q78J6pBRKlXnMRp/Oxpcnsmp4Cn13fConpFuRc4fa3Yibj7bmXRSxU/wchJ2h
+vcpJ2cNwUYIU9w2vCmOhcJ1CCSaqDIRUHMb7zT8FTuR4ZTazpiXTVPm+sTcb0NltuE0cHZxhhqP
51xWcPpuZYzuqt9o5icT19NNCeAhS93UrhrSy4UUupnUvaDDVjcUQ4qAqpYf29UDcJysYZTN3g0+
qqdu+WJT6Me8a25vtRrDfnIamerLQgQ5ahrVDVmR5FR5vHALspi1Wroa2BNZ046mJDfDf6ZApeNi
mKZ3R4po8kX9Lnc9snTVrkEUNuiD3RpoZ2skunIpr3rV+66hZmCoREkmDuU3jseJlnzGm82EWPSa
r4YLfP1zHvr8lOwUn1aDIjXu5qHaUERH5bo087I3J00D+ke0U9XBn9xGzgbRERXyrTnbDuMxeTaI
jDJpx7x2Nr4jvkWQho+0YWlo6p6sEdXyrIx0QHDL+5GbVvoNuYbmw4cJnPls6Bao8QnXjMZ9w7OB
3YQAmP6f7lfJb7CGnPvDiOtkDST8tJyiZrTlIs28KMIe6C9Ee5PzZcQLS0ehTkvDaMGVrmr69TYv
vUDlW445LraGURMJrTJQbpUO2slvECrI2iVXpadWd8JqpmUMDATyL90UERZqRDCBB43I8DnCqthc
R+EGj2XIzP6j+w0pZgQ3GDfwwHw2wkTNVUoDrmP3dWH9+mbo0x3IAtUMks7G4E84FKlqXyeaoAil
CtuinG4gIEQ3EyVyrlKM5+i7amtiCoZp3S8TpTqi5xpWuWG8epWSLRh3mfZzlZKxPjZHtVY2hybY
zmvoRCtgDRbZeVDdbAkDFKwxxkFeY538yWsYZDO9tg+KNwS91PCG2IwJyKT3j/U4ICpYKMocD0SQ
MRX3KbwyRjbhIswQAHMa+6XlWdYAnSFrH52JWjkPLJdNJKui1X7Jsgc1ZjIKCfMWcJoloqyh/5ok
FJRZFARkjbArM3IyfOS5gM1sNKDRPALCV0vB3cW4lxl8YSObzewbnikbKjYSPvIzyEZDt0FKIYTe
UHnQ7asXhYYJBQGFyphxFDE+uY0vT4he3LVWS2JYQ0gUaWCojphlxn0rW0ODDXK0IRv59p+sEbFI
vddo/KroO7LscagZRNXgr+PhSjUKtyF+et/ocW4iAZM1AhkYqW+KiRphhzUQcI+kYXFsnjXkXrS4
A3BccBRkoi4RbGPQwHpym/h2dRSjGE4pd6OlG46YyZyral66QeM4vO3b/uB+mejXIbeRlZTeo2oN
tAc8L34B/K6zOPkN/pN+QzR5e1YpBstUsBFqC1O0bI1XoZMjilWQqmdrREAgDc5tGrjh2VBZaKeT
wvPvakwROdNnGxsRkd9ma5AM/JBxNLSGGkvvy7eMyEQxppgNJN6k4ImCb9jBp5iCTou6gaA70q8t
grXqLGE2gTX0RUW+4tj89yfjnlq5t0R0YipkHkUVsAsuNBQ7c6xFRGWn8YM6UwGgBfyjnxkyy5UX
dS6yTCB9pYYoYObYM41onE2nrZyL+vQOB1YsOv2MEJPbwA2N6N7QSGyYmSO4Rkfa3ATcv4h82a6U
ffOgI40qJ2Qu2jLgGMkrxJmOEk4+pr5Hqkq1Z1VSgTXk+ElrKYYlOZ+8qGkVNyhKihChjjMY4kmY
gK5JpJSLMUX7PbMXgvVcsXEmwhYwfSxJaRhPRDs8byWns1u+JSS9iIrwQKljpz7KkPZKQTRaSv2g
DQ40gkXJQH21In34FZsL2ikjNxSdsb3pkmhRmPYgcJId2wm+vTBA1ojAGTEI8snsUrokrwoyzgfv
1NRBipELa9iTqLVJiDh7LVtag24TjUdIZpGowBoaaN90590+SM7sQDMIajR6CzYNlbp10CPijsto
WqBIEXVTUEAVfzaNaKFdOFGUc1zA0HpuhNpuNyWUEg1HS9KMOtbCCWtEvUQHc9PSuDgbeigjy2iY
g76QW89Xkn76VMXIGhcqqCpQZHI/Xs6d6FGe5KKMO9SRL8tzRir6Wa6hYKh50LcnVFkt3D2tmqHy
XJLOJHtco4yImG7UDLpJxDzabyQ6whmrdmhn3gRnPhXyX54oTmCHHnlZL5ehPc4OI9cAiZbZPJHg
HvKb5vkgiqfgis0jG8u+jdBIB+rxj22NLDvQj74zQE9HI+ld5+BKNltHLBT7XJUtFSpcFBPPAsbr
Rnw7O9EwvaKJ1HdCnM8QSOJDodhF/I/bCAlZBuo3JduYbkoEB2W7ZqPSme83Ex3CpsIaZhuViRoa
yhp6JOFLb0srZ2tE4sy0fNsJRw3CUL3MJL5YiFQNsF5V2XcTfJv0775QnrAWZO83dfOgEb3QTKce
QGGobIlMyCM7jsU5wX1PHpS7iGh1285rzsVCa2itSbxk90PCbLKGK0kw63vPWU9NrgiWow4b6l6x
FFggSTvxtvL3dDCCuGaSEllZ4tvQfa4lUYdkquMqkgRDmw4GwhuCT6qA0U3qhmm4JBZSUEQJuF3X
DjCzoPzTEEhk+jFbI9tAojgy1oE0xDR05J1qjE4CIFWpN9WahfXc0E0Tca7W0rrax8P7QaHSI+7M
2JZONKi8BmnYCCzHGMOeGww+XRSHj+Rz3yXz5pODTrrqarYiHZKsP/pWhIdNYGxrXU9O1LnI+jF+
tGm1FvRPD9rIoeGRan0iVMAQ07q86iUp5ONakUMjpjl6Ct0yr4wVmW8k+LoA1uCEZJnA4W2R0HRT
wlwAeUhUezJ5ci4QFAVGCUARJudEoRVSDW2U0SSZrOEKwXmUypuyRL8Aq5gUZREUwXZlvyGquiLm
Xy8X56jkIyyH+KZt0xPliWxjuM1Z713kQ/KiAHIMhWMG/ORF+Q1Nhbjtm4ZkO79BJxjvXZsNAFit
5DNDaywwrbOpgZKTQajaqHxavR3n5cVXk7k+pgWw1cZr4itK9l1W5MzVYA2Frc7CUCrv2EPhQ7W7
sN7Rbqqc8rQNlGvAcKn3plJ1uiecSRjst606WzTvxHiTH4iutC/4NDOYpTa0uVcsag02VQ/E8xIp
jziPeS5qz+2WgUS3yR5OyCXKnhngYu71gzq30BoV+CwKmNZ7RsUKGmZd5E3wrV98xW0FRIXXnC1Z
xbOho41EjwFITY+C3JRthBl6GGPD2DrdlKGK6/gmg6xPiGfiBr1e7pIZ13M5j8ujnbdlGg3L17Wm
kKxYcGAeeiN/ng5GTBERSsjXTgLrlmrohUV5CrWJUHnVhWpNRRHRWPR1+YrWQg4OJj/U3vpdk8XF
fKI0Ttu2w+B0NJJ5sVWUZdWuDYUDVrcan4n8CSemwA37zMYQU1HOabeOm9IvnCxuvLIGNX/tRp7j
zHhzNOjvhlm38Ua7uQygDGq9qUZAZZHHQ1FCnNac8uuAnj/OLFkYj+CtQMGg6kisV8GvNQZR2TBl
lcIwremWaBiwwlsSspZHA58AuwLzL/Nk5cI12Eh4c5R5/LrJGEnUbyI1LY8G8T/6SSHyrshAQSPA
LFOLlyTZTEOHB5fZtlst181roKipNtNIX1DHPwe0cAsks7kv89mg15q2f8ghLZuNi9trOrgqFHu4
k1hN1siMXMLrbRahV3Adlav+c1RCVN7Vha8q16Cg2okkWPyvc61myIDSyA5qNEtC11sDWQMj6FfW
ZpsNl6OGl6uV1xPVgHWhkSOHWnNenHh9f9IaEVQ45MF5U+6cEa93vbfkNYNv3vBsrLWGgTRVyK/6
DbfnzvTpVsnnomiDgoTBVNKwIvz3I1KprgKZGfjIFUfBthxwmLlxd6Ud/S/WsC9b8qWDojdfh/84
USJv287saVzrS9pv+hMjZd/mMjqlG8Ma1FcMnKVMqQLl76RU9VbHmKQ9MBPglVI+K8t1e8d0WzNu
07AGhYexLAdwV6SUs4ZfEjE3I68p5icnGi6Z3lXoTylh+6UbTgYxlAwWYdrXMK93g/DeU+fgPp12
Cin0bkzDNm29jrNB5c09z99frdmcDRNI+ow743E6GyB0dr/1oTvGFNmSKCB9TN+j1jZgDRFFZx7t
Ld3XuYSFRcM89h5Kw3RDsoRPbhARLlEkKbgpwf9AzZDFiKlOZ0Mlp4ARu9Sy6sR+foN4JV5zRi+5
vurZsItI59KSICIVl+1GRKqIcJjP6YYOx2sstgXdWMWaIVr9kgt0GKa0F2wdnYbdF4gDUZ0q7+ZT
o/AY1tFZi4LNNUdXKz+z60EqCk3pGF3DsSB8mu7GEICQGT46osQYoL/oZKbBPzkMvz9pzW0RSEOH
EXKXZqlYEr2U4dAKpiDurXrFJIxkxIx5ZX8MB6uz0FBhNy5jsTUCdqIgS/IVbtPZoN4hZhHmHhtz
Gp4NaxeUknhNP0IuL54N0lRqNVmXIwLmm63BXUvKt+ZbN4L9VqAstYZ8VjV2k3GbrcFE4qpBdKSN
bsrcsYYdJUQUTOXimxT9BmADETJLfkklRGB5skbWa8nwbmtAGiah0ka9RviLXmFx3oA1yOYBSLJD
I2pdszVuMtTt2H85F+pWN9zCJ62xYhnPElmuJuUirnjpM5yb8OEyBwoKasb+G7eEuBLwCW0vy/lK
HvTHk4Z7yhN7T7QgLkCNsAw30ciW6Th837QuCdXMc293+NFMQwclq3CUYjcHOt0RJyPh3ECX5lrH
aLL2nug+KNNvwWIu4kNMIDdxbAjpBoXC4ALUYiP5M2tnwz7PDBqk7c6HKtens2GAHqiBpoAh0m7z
7c1r/IC4/AgyXCS88aEgM9TPgy9+Av/CD+FANzn3jsUaUoFAqAOIW1BuoWTqGy2U98hY61y6hvon
HbcsRdbVsY5HXIk6tEW1FhzUbkoyDRJpzxnkuKSvMJN8LFpZo9fYD+1KSAE0WG/j76+G13z6TIa7
LdKYOQnNZi17ucEoY1ClnzVgfpJPE9FUCos9A8mGqjTrcra2wJyE4j09k3g58LBuIWVtSo4drYjP
0MLF1gsUBUSfOyzcTU42ISWtYblShHno3pYSUT0DbRj4OMHDGyHjFFKCMhL/GcSnseSy29lYiwzr
ayc13wiRMzIMAdSsGeIbLfPyV/6drBa4PKGvdDS4jVRjlhpEo2pUZJ+Ohh0goVfLbOAGG4ze7WiQ
rTRv5ngDe+pVSgCBtBoFUndmykTxE6Sg+jVjyHOzfZuZnOE2llpD/sYDmeOAhmaJ1qezMZyovtvr
4C+0m5WPNcx3jtVHoeGUMS/55Y+sVzGVA+OYrTHobtKvlrPysYZsA57rPiNnlRuvmUABGqVpJ9DO
jEgc++9pKUCDenIAQQ1SaQWbNKDclMc/MIoCAfbaV6louGTmDVIL9FMoH2cDRBmsn+rtGBLg5R/F
et6zT12PZI+hFwE2Oy6fo5TfkFe+3RRFg1SZGE11OR90Q1de9zIYB+c8+43RjLRxrK3foKCUbd7K
+rBmS/kGa0QlVUTZRqKnkKKlAJCPZvetPdst3aB1If/SGWOMYvLlokR2Uyz5tZEDpa1TY6hrqK80
TDeWOtGwgrCDZeY5BBf1PPKoLtuYb2tXpdBqCnwd2C4z0fW5V60kNISNyDOLbDw/ESogG4oNmaHp
jq0U294jXs/x6aXUypT3J+xQcI9EA/1N0Jj8RuYR1Cct67VcX0IoxPuEkxroxRAZgzMfbk+qPQ68
8Skn17LXjOSe9lK/mwP1mUJCG9+zCHqxBrwTOAzZkrpczGwZks9W8b6dA22e2ALPC1IpNyjlXVko
bG5BsW5dzrQChKKsERWDKNTgmubkEV22xMcHSx5QtQYyuQ4rPzrmF6ebokUN2aBFHb2Jbw0J9pmU
oTQS8E7OUbUGeT/Etk3n7WL4IhpAvPVtZWOzVENwlRK+oZSHvqJ3WrWG36EOFpbkXm7efDYEcCgb
YlzTrlL0bnF61Jpl1EtOTrVMXgseSNSYjRFtDeqLKvr75vZWoJcPFbKs25JmSvWiRBssCrqXQjRf
nga5WvZv/R2Z42YUlnFRkoli5UUwpxxSgoZG0fkmsTydjTAiczFbhpTNGmSD4kkBUUX1gHckFl0Z
UKIyxZWYm9GRWDVErjefi9LRiRrODEHLXwe4Ld6UDN4bUaNGfrsJp1RUZNXoFdBN2bab2drOhjig
wrLstV6hmJMEq0olIh7n05+NofOtTZFh0G1XXbe8PIQj3P/sejBBUj0aKYNDyXAArrQUMgNkHipU
lmgxjqe1CSk5GnhvWsccRyCHakghewfv1GRVD4/xhfPZyFSDOuWmqNnLGvBQRZRjm50EmBblAOtd
za7hj2nZzTtRXrJ5Hoa+Y4DNnOh6a6DDmH0Vrm1Zzk34dDZYQ6rhotxo9v2qFAglNNdfnhG7cpUS
zkbgLOiGrGK2RqRqDL4m3Ws5qGTXLVxYvPMH6osWvWiAZhiPQmQgwNPZYHjNyKFG2dIa/AZiARdv
eNutr1rDrzGWZbAAF3Dqo5BFZHA8lo1D2o0XKaag86BrALbphAzkroD1vD3xoC/KHqoziMQXfiMV
rhbWEGBuSItEYMwlx3TFcS63Xy2UigOi3nQ1dvBiO599sFD5rhWsXIklJB3Yz4CJ4kWRZOoMYLBs
y08mt8Fhw0yJMOfkNJwDNgut56VkGO2vKgyY4jUwCcIp2YRz+/WFYHXWpugsKAGURf2SrwzuZv+a
er7OBBSuf0BZb/S2c2v+hUokRuq9ZOuYfGWMeRRRsqZqSJFyfeD6zemG4JqNqhJfWyZugHSbMmWk
omutAQFMCcgX6dJPfiOzQCTid+XhfjfFDQ7BxmBKLnTRi0aqCMoqcFz7jff0NQWe2375htZYmZij
L/GiAxyIpst0NhJqhJPwI1t2o7M6yOFWPHzxX9WYEnd81CFO2rlog4oKOZLVnmtzpOMa6lHbImpY
brSljQJGG9jGVSqqZksQ5q97qpzppGd0yESeUqU49BlFmpBXhk4r+ZHZi2bfumaFtl5DVWoxBX0l
QweSACvZyhE2ix4kovZM3d72dFMyeqwHm7G/furD662h9LPtIzvmwwaZ/AYv9TaUs5AC1CvtYko2
Lur3RN6zLNMdTg8QBzz8qnOHuzNZI1PzOMTjOrWrU1LQC/+WbYEricKWwZ7IOuO+6cEKLSHGnG+K
iJJx2yEH2G1AOtaIWFE0yaDn1dm+d4OOsm5pN/Is885eVG2ogbUXbf3qlACBpPixS1a0UzItCTA/
YsbpbEABxXJsgKbiI4utEWlMxK9t19rsRVXyRHr0W0KS6HZTUrVF6Awn3KhRFGWKdUrGBG3pi0L1
Rn88nw1sa4tzjN32VM5M9pWviVouRahm5qiAhhxl3qBiDnPyolIRC5Q9qClrVhZNgIoOfRSBy2dD
MmEyPivZgvXNEZa19F9leXuN26kpLaaMWeZUlEqIaof+Dc1JkxVLVA6Gnn2OsM9PoQPSisz6FPTy
ZjElETapRgpYxHCM15LfYA0IcZaZXUu/4ZcDQEBBHumJDbks6RFLHjO0LEMoW0MxzAfBe6KOecZF
WUPHJutH7hPU3W5KGsS0BEiq6rTVOgjORrgsNJpcOsXgOcKyhkaLDE3+pWH72kyNedwU2SPUIVA3
/lr5pmin4Imq2Gl/n7Gv56f0KkiAQQtvZ+cf/WxgfCH8DbznHGGdDXeS9puh7IZaookpQqIOcvx8
5FKKZwMtWYlyX3h6yjfG2dC0+YHkAQFreFOytkS+BJwzN1L2opG3DpeYK7qoYZ0N0xohBeAst4yw
WtIg0YjhYjYWSXDWkEnNM0eKlpA1ENPZcEesVs1mq4ZDwbkp6oYMVb2p6QnUVG/KKFSAo9J8cWWy
RhZsq4aSbHTjK6y3hRZ9OiqjQE0H/lPNxmsYnYsii7siu2mGAw5rIIX/eHU4lCrF/oGV0RmdR7MM
GVeNOlnDTHpfdGM0UWRLsiE1iqS0fk84C0MuN2XI2RrmxN3L5L49fWhkYTNj5q+siuE5G0M0QbSW
3BqUn6xh4BMxQtZLirBjzZaZ4CD6cgAjNNUqRZsqwKcphKxLniMKbIM4iUQUG2pQ5NploiIdZBSF
A/+I3/P3PSoz8faUFA7iCUWD6lzUbJEgabrtID40s4daQQPuKftQLTtxM9vE/cILW6Bcq5Rp9Yw0
tB+2ARTNMF50EnUSqvckSrPIyGCS0XKevAZCj1If89DFbJmVL7aGBTTKFL2IjZtxzjaInJgL7omJ
5qZIg7IBSEQBZVfjK8+ZLVJGD2Qc02JLuRdEwyDskZt186Fr/YYmlbsgrLxeyAmwhliuWUEA+ka6
/o9a4z9Ak/vb7vx/969//NMf/su//fzHn//409/++e8//fWX//HT3/7+p5//3f/Ar/+Cf/opv+6X
//aH3/4m6nBffvPpP/ovv/zlp+2Xb/+x/N//+S9//tvPv//T7/78h5/+U/74Dz8Z//f/+unP4++8
/f+9vd/8p3960P5S+z/8r3/86a+//+v//Ndfxg9+uf2V//33//un3/7GOrWvQuL23Pzhr2T3ICn6
iEYroFlIefuP80f89jfHX/whkv47j/iO5Xh+REZ/FRyaDhKL/cePPyLQ+vkRJNM0vTIPRht4//Hj
j8js4vQI5QhuvQM7ZpS2Hz/+iOPPvH8LPIWsurNRdquHq494uxv7wyPkMsYmVURja231EV8VjydD
UcqQL2smoHOm31Z9RFCj8yN4bIOhkj1A2/0lH/8WX0DM0yPgVpJgFSjWzP7jxx8RfOP8iGzbpjye
mY3jNBQecf8zj88dBkyOLIGHZD3lb3FhKEBCOhvwPenfgkfcf8fxFmqwaA9HJzKIavUtgg6dv0XI
HqaqvMwY4y4/QvE0P4LYOMFLXZSwAKuPeJ49rXa/7UGILaqWJVfv6i1CPJHs4RascOZHzDk+t5lE
HIYEDXhv3VBvz/vvuD0i8/UBD+TvOtdBA6vf4uvVI0h1OlOJeSuuXqQgPp2oyOUO1s43gXVN7D47
8zxCD19eP3YcLrh6X88OxCNCBk04UlEtMdT9yNw/NwILvAu+8zU91t2Oj3valwtDhcuvaUUmHV5U
f8TzxSMiuGGiHW1hSdQLzf58ojKggWofGbwVVy8sh8+PQOGHEQA0MwYSnZ3q1QvNdX4ED6gNoLOw
4lt8nw6tARA5jj6OubolnztUovNb0JXKgjEKdyQJ9x8/fmiD2kyP4KNU53g84J39x48/4n1yg4oj
fVw6lAACncD6I4LRnt6C73NiTaPcaCvbjx9/i7fJgUjT0j3wKaBfRyb3+COCx53fAm0/Qx1RLVhi
qHN6kAFEoCgCCuq9NR/7X1B4i4tvkfQjS5ZAKQscCB+x/5m7M8+iFtIeylYNrAWGwsqaHhFACD9p
RIwFIQlAPz9CxIsOyGh/LvgWQZpOJ8p5Utg7uxLnFana8Tvu3yJaP7B2GyHpqt5f8vET9To7ENNg
9AkGaW5FOWlkajKUpnHWnWqHZi3W/uOH3wL3c/8dd0ONR7gUQPIVzpwc6fwIzUH0fXFvG/8vusEx
P3I6URhxQXEj8T707quPOHKxw1BOE64upocW9oJvcdTu90fA5JHZk3UGbdnt+Pjn/jYd2ujxZDu9
GT4i5Ase8WXytPndAC+kMf9e4QaP67sbKmla9LyCGy45tHMJYwRHm8ShBeas8FEypv173t8i0/dK
GMQgKOf9ZhY+9/13HI9wq9Mt/+F6HwVt4RH3I3M84ltkRJPmaOjdT0PhEReGUh4JrOCJJWkz3tH0
LcjGYiNh/WpbL7kXU9Rz60hJaurIaQdtt+qjJvgxc8oRhIyU7KYRUH3El9mB+NRKb5YiBJhx4uoj
Mqay/Y77iQKAOEtksoLe3Q9c4URdPCJ9HUwScsFgtf0vePwRR9J6fwvreag1WI4IU1uRqs21HveH
xa6f7mL4V/0tZrDII2DlkXXKvOqCR4RFfPrclAZkm5QSFRgrTtT3+dD6zcivBKrovC4wlHmz6S2i
PM5LpcMwRiyK94JQ9fQIzGIUhyhZG01YcPXm0p7zcC0cWxSrFYC2+Dm/BUIT7I43DDC///jhq0dS
ff8d96vHRYWpDfcyPVg3lCRjfoTPjecteosm97j7+FscTuh4i/z55nLkCHZG73/B44+INufp6mXs
f+TmyqQFRbFTMz9C5m/sDycFzfX+Fzz+Fi8XnxtJAm8km7xXYCD2rk5vQX+br82wtmfcX/Lht8Bk
mB+hPZm0X56GXbr/+PFHHOne/URFz+cF7UdRqcpY8Ig5sKZygUFq7fn33Y6Ft7j/mcdbaERrlKS+
WGOoi29B8ceqG9yyTcyw6MxxQndjH28B0N4Uul5XYOYf+lH7I0j0AFHF1aRqC3yU0vf8FnTsqPtl
Oi9jlgs+dwZFPvsoNlLUS9SwdTxl//HDJ4qj2H/H3VA8k74b+p1ib8HVcz6nR3Abgjb5HPjgCmc+
191f4RK6MMGDN1GG4qEVPee3iAiD+Seg/IcD9/C3YIr5EXqGGG/EWJZ0ihG85kfIA8lRjwt+5EAP
vwVFofkRad/q6IXOfqCThUdMGUg2EGbpycj/Dyyp8IjJR2l7GndDoYzm/4KiGM5xMlTo0Dh2vnTI
3UcO9PhbHBnl7XbnETqHUZchnLHiW0wN0PEI7QU7RnTUF7hBN+zCUDBUGUjIASscyBSS8hbJBlMh
oazdb+bj3+LH3Vt/+BamAn7A/QW9FZ52oprkLeLJZYPJnO++/vG3OAqI+1voj5iKNY2AvbQAuBND
p8+ttAjnV82Kyn+3Y+Et7pY43gJyoHdIazkkrP0vKDzifmSOR6iSnFoSHJheCx4x8aMyXaI8SlJr
Kn7FI6bMPI9gH4Q+pFQq9nVDTc0Fj4B2pREN/R/jIdXYPQHaFvQRJBseJMv17gfu8c89NRd03DDI
Nasi17Tk0E5NN49I1zBwjhxhQdQzVLR/z/3QZiCD58iMjbTwfqYfNhQOwPwI0GY0FUJhWnBotdXm
R2Q9XFY8ZWJuweeeWoccuSVRUUrItNsCwoyqbnoLcFTm37J9ZgUUjBMzPQJRBmXX/KUkZMGJgvfO
jxjSghJblfcCQ2H+To9IIqVetRoRC6Huo2zlmx4BUtMaUSCB11a8xdSFGQmIgjUaVxCKux0fv3oT
Zq4adpp8ccI6lq3WDSUNnwylTRxe4kBBFhjKoPHFI3KUaA4kbNxPw8OG0vo6P4KqrYinpKTgsIIO
h7c3PcKNR/Ky2kCfZEHCCeGfH+EcQSneMx+xoAujnJseYS8yvVvxSNw4MrmHv8UQo/iEgcgODDGS
Lhf8lnTE6JtOb0ENC9n167d4qBWGmlM1cgouBs02pfEKJEefZX6LbDuzY8kgCcBl//HD32JIh52+
hX6YlBl7wmssKCdJRu5/5p6B6B9l34cPjt+wwA1Ss50fwf2JFF6DHPLdjo8b6qhRjrfQvuBAcDiX
xAsaAxdvodKLiqpXWeBAUFcuHsF3mNCNvNQC5N/E9vwIab8rqUpaUohhal49wsiCRi5BgaMxUPjc
97z4+NyCUSYmJZwrGj3C58VbUDdEr4yZFgRWAjUXjwCpRU2AruSC9IAw/NUjjKSHQoG8e7dj4VvM
gRUgD17JeBX9kBVu8J4offjc5ogjn5iJtxWPmA9tphYU3YM9veDq6YZM3yJ3O7lHBsWOcPLwt9AO
nh+R7YLZchZA6m7Hxx8xzU5GG1FqDjCK0ulR0D7+iPf5XsCjngNJEe8ZuvlFgEKPYjJU5rYE7zRA
V/AGiZ3OjwgtGOzlVC0p7aeOGD6wepujtWdmCYdTZTq/RTqGpPeM0y35FtO4jbdwonACKJZtO6er
n/siyQGvfPuRvdaRBK6XMBZhzYZyalWsqn4R6X6mH78XE1fNOHRmFxjKdOPYUVQ0FFuc3sIj8BrQ
gqkfKTPqhjLeND8CIM+Lc7WLyslzSPIWGegZfb2kt/tf8PC3YPH9d9xCEmDCHAwqLTh4SesQZ2V+
hG8B78oY+YoujL7axSOMwGdBbOjBdxdWMNT8LfxygVWdh3W3IHbj3F+8hYtNqQmVfQV5CQPg6hHm
DWWDAJIF6YEppOtHiN1oASt6SdaizI/gYAEg2FFLZmEw7y8eEcVg5ANiJyvAouPIHFcPtkmEydN1
pe8u7PFDexz84xFjrFHqn41k90/18COIr8+GQpTRWQhLQ2K4//jhR8DG999xvEV8B4QTeLCCJkr8
fnqEC+c8iUk+xgLCzJeJzQIuV0WawSCqZWCl/rmJMM1voSSOAndEYBZMkWAPzY9QTUZeRv/iQ5r1
+OeeWofpKwSZIMqFcneMVj78iCGM/wmP8ohs0EaY13jA7ttf8vFHHDjK/dD6ynFSlnEsyUDgpPuf
+eERDJQXcfUWOBAjKdePCAMSmeUI7Q8b6gPWe7yFuI3V9z2ffIGn/RA5PzxCWR/Cv+csyAaJvMyG
MrEAoIgi7QreoAR2egQ2/uADG13Q69l//Pi3mHqssAO4BJxFapAORvkR2uf777h/iySDXIhLrvlW
jxeA8YtHwOvMsEYHbkFI0tS5eASJObMLkUhccPVUjvMjMrOgXEUSXYHTfqBxHd/CGjVZrbzcJ7m/
5MMnCso4vwUnLvHXR0Iuqp8oXuLiEXKb7Gt8R9pdEFgvar1vyT8cXJ98RSHmV01vYQQ+cmdEfzK1
t//44W9BRXb/HffPjeXFPaVpv4SJCnmaHhFB0bzDm9WvC/p6Tuf5EcHUIkqgA4N/fH/Jhw3F282P
gDLLNU2p0BOqe1qBbXoEgjlFNW4K22sBiCp4zo8wmZlYkS7rgnuBazo/IpFIKespS97iyMX2Q5uS
OwpYzLWELS9fOr8FPhEGiGRXLrjkc0+omsaCeJdJOkCLxVv7X/D4of1+P5W7ofR+QtHgPbzJgh6r
QZH9zzweQTBAezJArfx///Hjb/F+8YgoYCv3VN8L2PJA5Slt1tnN2nKANhbkCh91pBiHoQRuPRLR
O7sy6oaaa73Bt5OV8+VZDFF9BFvP9wJACxfMJiNMywWPOJzQ3VDYguZUoo0kk1rwiON3HI8gEKG2
N/20ArgznDwlOQq9FGAJ3YCQ+8189F54xN1D3N+Cd9IS07eHTxx2LDxiSpsj7IvNotmzpAvj9M8n
ilAYDIS7DVvjbsfH32Kuu71FJp80SsjEHYjY4484hl2ObxGN/iiCpE2y4HMf6d6HR7gPyCxC0prP
PbtBHorMN0EQkXvFtzjggeMtoi8T8ZQ1Up8w/t3PHY/gOzSjpSHgwXraDBufHpGl5z4E9iMfsuDQ
ZoXLZzwKKKF/my1TSow6fZqixXz1PGJQ1eJBViScR+S8fwtNe+P2WH1qvgO1f/zqTdJtwR3NRAA4
o5azwtNOaqID2tT/lB9ksKAckqLzMn9ulyIl9xjHLZ8ooNrdCR3fwpounBxpLcxrwSOOdO/zI3wJ
21Y+gAuPfm5B9OLqqS8y1IgEgtq32/HxRxzX93gLs5nKe9AjnGWBoWacVqBI8A7hPzPe9beYRM+G
MgR0UE8PzrLEgczpwTfbNpRg8LsVYwVxFbsl7t/Cd4jO+HDlRyb36Of2iLm+8AXQyNSsX5irfKJ8
1au3UOmRTNdiXTCX5BFz1MsWOMA/ym44UrsdC4aa0wM4DihY88K5WnGiJvq0QyuVda09wsze3Y6F
t7hb4jhREloQcdbZLFBv8C3me8FEaGrKve+YGndH/OhbcOb3mHN/C2pkUdg1SifELjDUDGhLBoVu
AS8itfV7wZnPSQ7En42yV3mJ5AjFv/3gH4aSM0ftR/tiRacY3HvxCCUe5qNBU1nC/uPHP/c00aNl
kfWawhGm1wKShkM7ZyDY+HqH6bplSKL4FngeR+p9fAvPtVQJ00TJd782jxtqbqmDV8ZEY/pVHzqL
jz4iwwO7JY63GDxzQIsVQAuyQUHh4hFRIkZIXfSI59mZBybCXDKogudw/wseNVS21E1vERl+YgFY
Giu4auHdz4/gPbSSbOIVwO+X/9G3SNU4PYJ9gJvqF0pbKx4xjT5Z8WesisS1gd81VdI0I+YRcbKR
LDL1WA9J8Kg5j5LQKu0dXMspjlLw4W/hy87fAoMibHb6DXUflbG5u5+7326TgDxhejDk5e8/fvwt
DsDpeISeG5l8HK8VC3SION1TjPsjMA5ECo1olfGSt5g/dyqMqGgoMAzN7p/qcUNd9C8oKmjXa1Xh
7dYzkBAQ9z/zMFT4dtaTrVFvMAIxH9r0JHlBjR5zv/dP9bihLlI1upIJRyoA6WjdDX6/cCAe4YIH
O0ifZLfj429xfM/jW2TaUMzTwljAoMCbnaskXyA7VXynFfIvfs09cn54iwjHJu6tGCuIRNtu7OMR
qiTuQ0tav2rB5z5+x4dHRDWRKwemHkDP4597GkOL10g2G63xFaLKbvfdEsdbIB8k6GkVW1612/Hx
t5hZwcp6UDY/6/kLeqw+95yqoeRg5IPkHd4VzvxwQndDgR2pJWEWCa5HUHzcUPOIB21Joo8wEFF3
ARSc7Q379zzeAmMXQVvdqnhdELsvUDVNQ90kXgoruJ7kUKKa4wXgQz+MlN6Sutsj7pY4DCVOud9J
ohZM9Mj7Zk9LoS/rbSLH8wGMfvRE+TNnN/jDpeb/MA/sjisHVvpK97B2GEqvPifKxVuR/H/YC7c/
grwk3eYspkhGeP8LHjfUgUB8eEQ6xK638LcARBXazlcvOTlKADel7q9fPV2K6dB6RAajOXRb9o52
+OOGmuuLwP5D6ALitoDsCmecnPlXAxPxTnI1oHY9JGEZzN8isk7wqKynW5AN6pzPj9D6zLYh4ksL
DKXuvXgLQDbK3f9h7W5XNUtuKwBfUrr79GcI/hNyAckdBGdIBoYE7DE4d59n7TO7avergkCVxsEx
fs3RLqlKJS0tqZTUWxq49FjUVZiXLqL9lgLJLDXt7ihPyQ97zqNnflTMYeRIBz9Kk3JdhUE5aGRf
8Ss78guWLSIYWRXmSi6uB7TP2jOfnzkUlfsUesdPQc7H4d+3xfwbU8RHYLaaW5zUTMt3ReAG1nOR
vgV1QyNqbajx864IBbG6oxy7YLQiEE9YdSiqngt6ktjDUDNKe0TV+6soU7CkLmC7tPQkLZ7px64I
KhmamObGk6cnAWeGzN97eleETbtQlNweyOmtECprELG4kq53BFJb0Kp+nncDVMaunIqC3wT9B9Q2
sILdCotNmwTDHJuPqAEtYfNQ9lgFQoB3xFAs1UrOnbmPrXf3BbIIQySuLZu2kpeUeISD7lYYRcOm
dS6qLRTsUVBM15ZRnrtBxbXhIaYtXNvZS9/NG5wbbv/o1Z5ixERYsBYuBO0Glhd6VD3d3KyiJbwo
PM7hX3ZXASMoWZKX2mkoTya1DNoynrmebnn9N624Ooc6Riu8PZhiw9xpugZo6+429Wx8wbaiTGq4
vfUQcU0KkN03tRWg31QRuiazqRCPO547ebQVzlXIa0LqY/eOjp5HW+FDROiuxgSC/2eAsm0Lg6yr
ovJKaqJNzXQdImoDV9rTZUgqk0mPh6n2V1EmzCgt5KlGA/KxHxuwQaaop1s5PRWMC9E+T+2JKJG5
TFhgboAsyknDfUFEMTcRXLkGDGn3I8PZtsUD5Lg3bQbLQ1HTX9XycK3K2uum/SzmBx2E1NdyLkx5
WYgwBJcHNCezgQRuIkBdhbtb16RYUzH8/GJVVhvX2rCFAYFBpNIA2nG6FRCKotx4Dl+YXi2vPhle
UkWYsIW5lN6MhoBTvFTN7TjarlozHZrz4gLwrzgQf94yDOz4Dq09r9oTUU+3GrSr27ZiqAYfJQZ/
tUVIcDYt8LGlF0YiVBSVkQduCjWBj7m+7y/Y9lF4b/ffuM+FUFAuiTuIvNRxJdk3RUS69ETsHC5v
Nfb0/ipmLDZWgRJgvq+Seqo94/Dviygj08OrBPqreEPmW2xR826VNt4cBTIPR89F7q+i1pISkrss
XKoCwpnh7IuYUcy0hSna5jopIHbUL+K3y47SLuS5BVmGfPUcoAhrpYrAi9JT6VRk9vH9876iapaU
/o6MbZZkaCIf2ea2CIXU+zOHLa4WMaWq9zk298/7IhabNhO0RVHwzZa31FE+7s+cq7gGvoOa9UfP
G2t/FTVshmWnFRdUxBQN94UqYV0F+BSRlk9vGbTl2qkiwPIQ2gyQaqjCuEOXInhzOWUoM+PnbVvo
zCurwJJPjUnonJa6++cDEeNsjR0lbsbZ9Ta1wtU5FBxfen/mQ4Rytzm+eRymIch5zKefIpJdqJ0o
inWkMKq1dRWy+m9AQ91oHYUeEXgVgVTE0LILPOoGc1cMREcBkkYehlQnbrgvUO/rKr6EWun4+XGi
k/ubtpL6Qu/KRBCtSR10uOCldRUGXAilNJp28KOANfXoAQb9/evufjTCbStKuaWsQtSsdJHDx02d
7yi8myoCZAdWIMWszHM3qM+iikCU+SDthkg1NEeA5oYmhgOB4eTUQYpEUuPnfVtUVM3sF0EtMJur
aqglyRxreJBGOn3L9pRCzNDj/iomKD4VpYrLS10JWceOqkPPUtKDniZv7QlyFherSYYa6SAgsJyG
mFY5p25ag3y/OnwauBraM7mi6mkFNw62v49yN2OgXXMLlGrYjNl8nbs8enIOBUuua3gQ8rRkzPEg
YXzB7irErCtFKUR7J9C87oYH13ih4SHmuRB8ZHLKFxlrx46qTUOSSNREdRLAWgc26LGwsmkz4BMT
RNsQtslY5IEtxt8YitIGk8lRilYwtwZzT2U/RKRHJaX7lrkHWmoWitKF+0Fonle8x8/bikJZWYgQ
cMIg5eQtKcwi74YJfkj9M8o6J2kIvYc9H7ZgavQDDqxjYoDSfFUUE+jqAcmriw097tuiwvK8B05z
xv3rJOm4WBfOHJiGSouL13NfUMhCUdIX3ikPDnV42qnsae6POpIU1VVJOgJOk6IWq1CbTFKM/tiQ
d2upWYmgpnTktpD6sBAXIiCbNpWwuceZ1+A/kxuEOcqfSgxjN2yfi0cyN83tus2dgdL3QGG2RXB3
VVEAtZDtDKHrqF8ozVcR7tPUkaQAHYC2pr8qAu3YDHDTFaRkY0/vK6o2wqeTOCEOlMUY/gY3WKv2
Gm3CZsE0oauG+0IcUBUFQYUcpLTQces9ejjmpkWXQSKzY0EtY8Nt28JootUqAJAQFr24DYC2gKyK
4J6gRfCijmGA0snFptVNDI7Cocgo3/sLthWlw+L+G7cthFZKMNwT/lXLfVHfhUlUHmJAmDkNXSRY
XiUCISLV7sT+ANDx87aiHo+NTEWl1m0foIG0KKrWL6xC5o1yB23pmNusB7qaG6MIRKtO0lK116Jc
RQDjYSCKuUaRN9hilh+nLZBHRZqhUHSUDiEqdRVKI2HsIpO1hAf1WYdvGYHF2kG+WtiPc+NPRUXE
Na80vPx7kbvnAptkOKEpQtxPRwpKXNQIs3ZFoKSNv/EQkS40IKdpF+ci8GkLQJFM0nxraTGqyTnt
B4dz4Wlh/59/8FIc7cwNdhXFFovT/TUsDfZoORfKIAtbZHolhMLm7RiLBOS/d+U0t2IfDeZ9io7R
CosCaNLtOMIMgOzo13tMRpmrwJQHoArOO7oOQ+SqipIKa7W5nkNrCDiVW4oIhAMxuRhBzjpBt91N
6+6umxYVKE++Cjg7utSJqD4qQ1cTM0u6O4hkNFIVlfaRlO4DB48v2FaUCYxVhCNnM2vGFXQei/i8
qMKkUuW/Bj2aGtBAb+CH6ipk9AaFhfTfEZnzREWE2qfO5dDJWjg5wLMqAggMZ4ZdcLXDVNvmdu0s
RNjKyAEqMQ9y5IGI6sw1l4LuHHGtV+dXkspaPRfyrzSgmbqgEe1406Z4VxTlnnJzo5rrNW1wg4/m
yOHM366UO5mx5zzGnt63RR3/Iv0SGWgpkFJ2HD1v6BVFIR5Aor5wH9KYhlUsnDkRHgFNcgGWGnv6
QFHjbwxbYMpz5nl3puVNN3SMqigzTaAfWpZCpLh/3l/FIo4y+sV1BM1G8jo/ekbx/Hx3h54hmQyP
XRmGxz02N+7N0MRli0sEP2t+tn8zLuT4dEPofvZRf4iQhYE3wTzn5SrDtIa3HqtQ14Md6CRpms0y
PcRDBOKjHatHrOHZOKuotjA0MZ3wQkLHY+hxd9MSMez5WEWSJ+RgDxbMPX0g4mf0IOa+3hiVq2o/
bJj9aBX1XOSFwLyvDTpvuPUyvvX2EA9FwctTws3xbjh6M/SeIozfFJ1rFEvJ+P6CXVs4egtzu5CQ
r2zaDpIGH7XYtEIbrVWciJmG42QerGIp4qLMuzZUek4VxahD2Q9biPuxaa/NO/S4vQps0/sznyJ0
eKeCIcw5F+F7FyKcOtMhtJfjidw/76/ipeh2nW4NUTI09TjDbMYXbIt47Sl+FwFTyAy97z8aqpNu
vcXpDr3LAqB2zt6xonCt7r8xzQ3GCRYGjnoktPuKenlz4VIUwvHFypGynud6TtfC0+qOyMN3AaTO
k2I+eyj7oSiNW4GaMSnO4yir+DmFeVeUWR3K+cKQhrblRK8LcxPxA6EFrN0Rqs3jOxWlOzOT69H+
G+BHqxjX2kOEwD/DfMOYOXcgr2XcyxZK0LysvLWDZ56ScLWFCynVaLFUA8xCxM/5xbWKtG/pcxP/
N0xvkMUvdpQZNho8xP5qbuPG2ncg83Ke5g6rwdwUtGAQ4a3HfRHzM38SAZKSGqOjNuyoGYs9RGjP
1Ams0aOhu0qpduEGuY5rblHSyuHC9hX10nz9vqOgXR95W3jYbITbF/HCyblEoPxk7qMd23GxCu/v
LTNtofSZ10hMuGtADxzfhS3y5jVUHnLXQLBMq3tdhaK6kdHAYEjL+aaVbi1E8H+Wl5abmeFsm9ug
ypWI9D4FBGkgzAAihiamudOdjtoAgFRVv7/gYBXjbzxFAHi4WjOJpwvbFqGgc3/mFOHEabzIONEG
bNAUp4W5He3r6V28gAZP+/oe63W6VX8Sq2VuaYMt1JwXilLV+5hmN8Wk8yvpdXz9+yoQLDOGP+3q
Y8Ptm/uF/fguQukw1IC8MHUuAhy7UBQXK24ACTdMPOajFhFI+N+uI2P0GujTsNhhz3kucHYzWB4w
2NB/wYEsQjUIat4i1KdumMetx31zz5vzsYrgm9fctg4kR13t/sxbhOqILWtEN6ZoQy+MeThFUZnc
kNlzKqBS/A5FlR2VGk96q2TFUKPzc+GQVUWJokwjkCal7Hb/vG/uuWWmLfzlb3AcR1v63SBi/I2H
iHSixQ3CHztWUeIoMHbubXUkmFuHLV6mw3GDRKAjZ1ZYKM5jT2/bAvftVvZUlGmAmuwynN0/988H
IsaufIgwDdDdDSrqgB8NT74/8ylCwOlIUFjDfeGOXojQP64/3czjBsad+2Lsyscq8FM9hYxx0uIG
Z21wilBSgBPpxNFqN75g29yIMVVRCsXZUMbQNVSKXUkLH2WcslE8MO2OZ4BABItzoXzxXTcMCKYl
S6oBp4HQwcqDND8nWB3YYthzmhvj56qBOhgNztzOrOYmQlIvCGnxtEiCVQQ6HALWNYhn3ljbinpt
4Lo8rdKMIRFQ+bwldn/BvojVuYgIRTf/qBk3iChZkq0EU8PfFIY4HA0ixmfOHSWLzLTgoF4NDuS1
6/CyhT+e9CVTsDpw2tXFit8eBoVwsAX5n8p+KEovzw8IyAX/N9hi4aN0wgC6YahAkGGq3U2LAVWP
nuYRw9syprYD+SdinK2hKOPUhLTqhgGlOlYxNv5TBJw5jzl/7piQ/0iDHiJ0Xb9JKXvSyS+1lqSP
zrlDb4YYddSSYB33rpyrUAjDdv10kVGHqXZ31JOuMkUo9pmp5s7NnLj7C3ZFwAfG35gi8OS/QlFF
Uo/xtfsiXmZQxEdlchSDGNECnDxWlFXU0+2ppLRGy73RHMae3l/F4kryIGSYAeioHW0FgSFuew5b
hATHy3qpzPXXcLor8p/nP03JSYdpB306o24Xq9A6bmyz5syG/m5usJrbFkDMSSzaUVInoobNDpyD
gV3UU4Xx2mdVVPrDMlPIQhqSYuD7QoQWN70FeV5qFgZ2z4UBymNXzk2L/63UrjFQ9/L4eVsE5l5d
RYCDtEaksD5+PhCxsAUgPXNNpGIdSM7r+Je4wXSoe6hMJ4lYbTji/VVU5J8IuTJToMt0lNQVB6st
vBSZyiTgvGHuAeLN2DJzR3mr3VSTHxhxHVCw2nldhWJY/nogigbaj9ByISL3ESmh3J1vWvNLqgjd
K9xseu1bVjE1MW2BXqlWHDU1tARm69dVwD6wN/IKV4sDmU5orIKlPfekX89MkPPwAL2/OhCWgNSK
zXuAOxljUVRm15vBj3iQQZb3z/sOZBGq8SAUJUFCzDkPON2eFfICY/Mghr+o3HfYYma909x8YDBa
HK8OJOe1GzfOPFsV1Ow/Su/Hydy3xUsz3R8i3BhhBEdZ5+Z+eS/pXQSI05OsOic7UvvXRvh3EZns
yhRcVIeiXsYiXSLULd704gKboQjnippQzdxRHrYJI1hb1GPoyb65Z/VgihC/5enfjHbqWMXLHM5L
UURw49rUZZUdm3b8jbkKdB/ToTOP+IFf7CvqpZnuWsX1kIdKDxikIaY1CfPeMnMVl4uCsUgAZjy6
v4rF3Y03oRsXgKpU3UBvcMjqKmRIqSXhJTQMd5KkjLM1FJVnPITMtlMLeUncWlahfOEfwaD0oiNs
ruxHjRHm3xoFmFEaLUev7igpUl4RkOehmY9F7u+ol9FtORfysBBNtByGNHPrcV/EvP+HuZWwkr5o
V+mYvKRmVHdUXjHiYqXfbD6ih91VgFmGsscqQjJ39tKR2/AaGrZHPXoYAYmaMQM6CqCOQN1RwnGj
4YSzmH0zcD9Q1GoV9GO76txr8FFsMaKYaQtIF/JjXgppAbQXkbkBuPhRIAT3xrkDAT/WyBzgLxTE
DjAl//xKYu6adxtzzAPLWYEIM6HdN/eC9iP0V1/Qs/wl5eJTB2IV9XQbLAOKoqiWwSlEVGwQ0QSg
jVUkQj9nsxCxOBcI/wpuyKg4r+PnfVssqCbaMqXc8OCm073Iu9OyHFBeibWjd9IDLfeWGac7tW5J
9zVgocMWLw905tbjN5yMMMA7sEHmrj5KnUo7QQbM95yLGWJMRZnJwtEKahWuOo5e9VHfHBbBuWE5
wqhxKe5v2m/jM+cq3rTrmTgCRGjIL9T/qwicZlB6xiZ2zAPJk6Vl0/IfIGCmTno/vmBfUROqGYpS
RJLZq7hJAjpssUjtvxu2BvxQjJbbjz29v4rK+Zfl6SDHEhUBNUQguMVjVw5FGRqhbkFRov9zsOhJ
Xp4i+I8kYQkS5qW4r6hZoJgi9FYl5ET+aahfKOANez5E+Hptsm+qlPMLdlcBsBnX2i3CFA03khIo
6Lzh0RbM+3JfEAEL/ibYzKzP8QX7q5hp0FyFe1UEJUDoWAUHUmyBGpWblcmBRh3R4MsQfvcQYBPd
x2YC3nWY25PHr26QCF18ok7TG8DO98/btniQboYtXEQq3V+gtC1taFRxf+ZDREaN6yHB1J737u4q
MnugitBMzNb8FBjhWFFELFZBBD4LsIU/bLiSZr44FYW3BHxMX2NHu43kuirq8yf5ZHhF3j0ZucGu
Ld4csoUIVg7vP+1ux7ZQVyvhgc830TCd0f51nk5axcKBSMAUDRHB4WsNiqrFBQ+RwA4EWKQ07CiK
WpgbUJSxzXT1SKL2zV2n/cC7xIF2kzk2j1b8XRG2Zz3dthJzpzsCvW9suF0RzF13lGdnMroyUW0D
zPJsyLtPt+a39AE7GrLvhvDgda6aK4kIJZKLMG8wQcPRqwHnV2XP75AiRBN5UoMtamSOH2orG3qg
1b8hMkecHcd32kI7j7anjCxq2VE1AuH88L9hFJxhR2MjZPzV0ypUpQE+j1u6wBtsMYmBU1HpD4NP
BObpOHq1hfxiTecZEme8wYFwg8WBRASe+dX/1NFFAnoqtgAaCKJwdtN9eBwexGUvRAAnvHKeZtx5
Y+27wQqzUBQkCpMlw+Vn7WFfxEysx46CCIYPjM2et0LuRe6LqOQltTYkk8zAzfXdcC4qZk6EclXm
S5oycx4NMvdi06I96v3UtqAkPXbDvqLqxWoVEHlFEt1VD474vogJ1Uxzp3M8nP/cew1XUp0wk9Kq
Ww+ZXU2sww3WzmgtfIA7txJWLRjkfNPOxHoqClkGkgP7z+TEBhGLHQVuVlggoWW4k/D4/sy5ioy5
SLApEZu7YX9H1SqM4kUQTstIMbdBUbU6SUSYdsb9pATa4EAqfdosAgMicl/oO+xIYaYTmrZwTTgT
GQ6nxHCbat8WlcpuFUJBFRKj2xpON8R3cbHmObQP7I3BeY4eeAV8OKGpqLCWaMqsz44+1kd39UOE
exuY3VPXU2upitLNoPda0GxjnVfEpDAFA9GoFwiEp5VqnJ+LAPz3rhyKwuFMdqFm39E0BHKqYfPV
vkpFsrAOtBn7sK4iL/cYZqR62DAFK2jmSoTT/UFxrwP5p6iFCIz/PE0ts+8A7hBX6io0jqUEg5rT
gHCmI3YhAnlUJSlljKnHXTdIRD16mUNiQP5X4186xhGr2NZVXK94oOOICGeetr+KxZUk6HcqwtB2
/x1H5nZUjUAyOdNMZZiabdshou4oN6r9qm6vwtqxilnyGj4KMdzYSXcGQtz8ed8WtWofAoX/C6Rt
0texotJC9bqjhP3qYengsmfPL1buumxaTDt3t2Y9F3gDHvV5MZ+WiIxKR2fBGpiQ+q4t7P4SHoTW
wHOgOWhtnKngvoha6Mlo/LzQo6tAu+xwxAciytF7F5HZLy3cA9FM8bRJXNx7SqOC2oaj504om1ZR
QULc17kwa4P36Q4kn7MH9WoZF+ZZ1LIKHA3sTWm9e68hKRYwVRF51j4HOxt37On9HVWbTKkolSoe
Cqd23rv7IiqHkwdECsgEXK2s55RdA6zH2Zrm9vdV7JE0Wp5CxpEotjAbIu3XaY0+b/EQ8lUKVmYm
SofT7tsRqtk1Y8sMRZn+YpaXqrpHhM8Rzlw8VVFp1/MMcqZod4ioAaenUiUvEg/1qgYfleNVVyFZ
DQ0kFbHz1J6IhaL8lynjopmf76iUa0sKY8ZWWhaEOka0nJdxiajnQlBu9Jw0EDR/nk7irVQ3mOaL
PI+F39yyo2YpeJwLbJlPGBSsrcYwTLXrBimq+qiAXao9sGY3x/h5X0QdNo5DK+8OgHCN+7/39L6I
yo8SvWkfz9zEdKoP/7IpghusnBxxWuZThRfQMZ/204LNAhn0pzOFR+h/HuQo3dVQjfMLeVMC09GN
S0SNo8IrQmXRqd7RbuPoVQdChPTlTcTpAm84FxW4k3LIhV2HmUDRcS5qX1JahhL/46rxIEOPm5vW
R9aeYrC/wF8wKNhpyJKIqAFnWonfn9ZWyT22BXdab70Mdsrj1/L7hsmuGqnquUgmqTFJMKWP5dgN
5s3E288NZ65PRXepAMccvfO7Wx4xlD1EyIhF5F/QTUQ7p25QK9jCmQO8SEZuAM7PRe5uWrda3VHx
UBkgixfcUWN9UCSGovL2HZ6G6iEy+zDV9ipAQsXcUH8Vbxkx8vS5AwlU+ipCmcdmBZobM/NAJ7dX
YexHEaFMlTnjIh2lnrHhdkU4F+Nv3LYw4S5vRijzoLSf11gFlmVHwR3zohsric7PkRw14XIlBdo0
z1A7TEs7P0WN4zsUdZUmDdnKWKYOHzWJHlMEgMWjM5wUrGh8wb65K59WT4Fcj6sV1ja0FbgvytG7
Hr4Lk+yL0HbSRA5WsdhRem3w/UMd7OiFWZBdMylA2VA4K7Y9dyAUNew5zS1Ec7V6My6V1vvwHyhq
JUIGKEwTdzbMA7GKESjNVfAqqDK8bB5WOV9FvZL4Pt6cK1ckaZgHwoFUZ06EREyLmAS/w9x1Pi2O
K45o2uky/6DB3LNRddhCSVLrx/drPMT5Kt6kEbc9p4j0Cml+0ueNEXf/vLtpUTGqM0+d+/0Rwo63
q0IAuD9zrAK6ieUq6AwBaOzp3VU4F1VRcknFC1ALbs48/PsiprLnKjK9Htku3cvnFytzL2zBkws6
U2Lt6FwA977aIqBjjgUP0sKWl5YuRAQLTk0MFjy+YNcWDkBRVJ4QExvAIDP8bHzBvoiJo9zmjgg4
ERoqquh5xpop00VR2i8kGLowOMEGgqUegqUIgbmsUpR1fPSsooQHgnWqQj1w6TX0iCUiW6wio36c
jfjCY2dOxEpRQZkDInQUo4kotx5F4es62SAjofO9yP1NW4sLgoM8+CrYTGv0+bmAAt6fOc4FGAwy
KA0DhJwDd94cGZqYIvCyUoFRWWgokdizr6twU5j5Lu3OcyQNSXEKeC+KIsItkcuCB2mAWTRyL1Yh
I1CHQRpk+dPwQFhcAs5cqh5iTYOHaLTDR5UddYnIq7j6yBWTTldhdlAh9RGRkQHQ1Qw16XAgUxN/
bFoiMgcEjKo/syc8qOZ+U0tPu03kTHBh34GUSRoepMj4fVcecJ4x7j19IOLVmV8i4NkmRICkWlbx
6mkjQjcdknbgx/NakqM3NDHMHeeElRiyqCN+rqiC5GS8NbAIK0Ac9fiCfVvM+3+sQpB2gROoqB19
SVrzbk08RYDNpfbSi46jVwBtinqft4q56z+ODbevqJJOEoFqZxRIeJwdaLOsuCjKe5ZhymsmabGF
vr+FCF3wbGHLtkSDhaQR8jQ6cBqs9Iqd41F5OWWxitgACplutxE97Jt7cXcHeVS80CKW8Qr3F2yL
0Cpy/41xLjA4RTl8YGhe49hsi3jwox8i+PC8RC6/Pw4PTF8vpUPmtqFMCxbbJsu4F7m9ike++FgF
coZ8Ml2/DWHzo/z4EJG3eZxukw86zF2qkxSF/3iNd3IqGsJmj7/cyp6rEEGlJykjamdCe2CLhQOJ
iNC8cNVm5n8gol6seQlB+hJ+Vs+5WCgK2AyKkgB0vH9hpGcN/uMFRf0Kh9oXxiK3FaVtrpo7eQW+
jIj2cWwORCzMrX8WWY2m0AOGC9sXUVplLSCIVKJz7J/zopvIeHzmPBeCD1P64qQ6kmJgx8IWJkQQ
Lp3sqBQbAb0SAe/KI78t7ZlC5CIiDNTc3AqgDci/C6MqKtAH2Jwj76iIPXk9w9wIOaaBoDW1cNWI
qDsqEyKwo2xZIMg4mfvnYl5rj1VcmL9BOaLO8QUHImqWhAoXhhdAWJ1ymOpAxGpHiZ/sp9ADOk73
Aj2QhgWQl7hqYmiwRRmtIMxMiynQC522oehmR43PnObOACmt3cY7dbxkqv2vnu68gqbKimsi1bh/
3jd3gYKjKCxOQJGT31Cu0vq02LRBDC++Gi7F8aYlYmELj62lkc6gXc1Jp4rCvhl/Y5pbZg+p0tgD
Rz0+3aH+3p/5FAHQFujgpB7HtKKxmaMMEXnaK/Bjmu2Pg5wEfGNXDhFUJOVO27LC/amisoqqKIUR
uWq6PyHBYzfsngtQ8PjMuQoUbdme3ipA8TiZmyKiqCICY1Bt9YOaFabosQgHuObdRGQMD2JR8r3T
VUREORdEaPYVzipUs/y9pzcVFRHDnrctiNAddk00Bx6Mn/dFlKLbJ2383xVY4wdb0GbI062JuQr0
DIXwUOU7BtBpeaki0nMIoEgzXwOIqrNwIUKNVb2NORpYXsw9duVU1NVgarBT3oQfG27f3NNbP0QY
nm0ADJpDx+AUWd1CUbgTqepJZBqiwUcU81hFuoaAB+kWG/5lW1FKUotVBAbOu9HqYh1Hb2FutQvO
yaQ+V9PYcNurkL3XVcgrOPO8lsQX3j/vi6hBjjkF+esBszs4OYoUCwcCr8M+SPjPVzWsomSsVsF1
IFfa0OzdIGK1Ci+Y4S9huqDtnosoPcWcue1kKlL+f4cbfARK8+jpNfjhsnD2Hpy/7R2FGnNr4iFC
QyMzpHrYkIiZ0rAQkaltONQZ5nVubmPmFiL0v4XkpUmiodCjg7GIUNTDCKAksHbDuVhE5mapON15
NbqlF0Y2WRUlyjHsE0wrrG3wtKrmC0W5khSKTbrriKM+1gKorNtc2oxNzKMFY8Ptn4tKDHgXAWF5
P+f3IvdF/BiudBy9rCIEEee7o37hRrg/8yEiNI20YHT0sRpPVKPBTOn2yFH6SBqSYt+6EiFE40MU
YloUVYjHei5kZ+pI2pZbrqSPpS/pEvFOU3PvzXh0f0fN0PthbuXJ3EhyjAYk59F49LOIFLyFBx33
RRlwHUVlniFgDZ5znncjhNZQTVoROr7r1ZS782jQbNJ69Pxp1Un/3tHHypmPz5y24JzoKEPPOprp
YEKLVah3p+gmeO7YtKUbl7kzqQOhL6qaSdT2uQD6LlZhtk26WOV8czdsi8DEWIjI27h5rDiRyP3z
tgiRwP03HubWcujdLI8UdpBdUUoWIjLrR0CbOsz5KhbsxzSQZK6arNg/41LcVpTRY4tVmAWoymrQ
VkNbgTe21iLcd2JRhdAGRZUGrpwL5RedwJoXOsYiPWogc0dZG0sbiiqWGsfmwBaLcxHnYWQREmTH
udCgUM0dEei6SLstp3uBcFJTWmGM+VIubjB3JQbo+pToyewlBh2VYhWEhaIM+YwtvvNgDeauVfus
Qs0eDVV1oeNinR7isWmxDhiDrXtWsQg4LQD3IHXiltR+guKPVZiSI51M6b7DFpX9yBbiWT0kusQa
mulszLFl5iqwH/PamlV0gKgPFsZDhGZ7Ea25xx08EABgPRc+H1SkuJDJAffP+26wDE7hzPHkr9ca
IYQNItRz7s8cisqjsoaBk9IkojoQpWgN5KLNbK0ORVVbaOz2gB9TdyViKxEZSaDn9wta8NDjvrlL
G5oWG4SizCMGUjR0kcSi1dwZPwcclC61ZEllxl1WYSIB/AW54YGI7Stqbvy5afNAuF49fR4dPkoG
URWFfJXpCgDhFh+1wMyRfUDyyAHedJ6m2lfUrEdNRcEFtQR6DA3trmHTlm5c5nbqwjoIv2GaansV
UtNqC4z/xCAq1S3If2VQOHf+pdUm/awzFTxYRb31HG121o+LN9MQ5Dzo8MPcXoMBG8CBZfgNMMuj
FPwUkef7lIpbJsxQeTG3MZxwC9e25L6h0KP+vxCRh+/ykJi36cYXbJv7kWk9FBWqmjUoezecC+zi
uoqQ8T+Lo3AcGiAvTnUhwolTOhSL4GDdP+8ralHoEffLkDLk2iy98QUHIurRe8PPhgRLvPnzoccD
ETXIkYYhaYO7bN6O011eCeRh82iEN1+x8jtQNcSe255z0wabMOczlmhI7dHFqoi8I0ZH+Pgdt554
ZiVCjpROWfyAsRv2zb24khSqUoq+WtHmsdkXsSgu4E1IMOSS9NXAp5XSVUXlRVmFJPFgA29QoDSU
PXeUYaWZLiNFami+1jtZ82788kxEzXTrB2XnwBY1bA6GIwDBz3Y8xiL3RSwSMRTwC/RyAHtEjM8c
thDRAv71E+c1oLEb9ldRRlQhiIo0QzPJDMsOZ76IzI3AZXAAhWuvQ8RM5oaioNnXTBO0okcMtK0o
BMRy9HQU6GsEN+f2O7/1JL5VhBrr+5Stljd6cAAWIuCzZOTaaIhAJENVxGc9aJRknHpHridkWojw
otsnVzeAYiZR2+YWxyxEyPT8dczjDgxEXW0hwo2OgMWny8Tunw9WMTzEPBe4S6IozwmkStkgYmz8
h4i80Zm3KcyqGqY6WMVKUWlVuV7X7pikoVR8a2KuIk0LQYLlFw22kPguROgqduzy0F5DkKOl5lVE
SmESJESNTCUeP2/bAil3ISJhlPwlo2bOd9THeSHctuBhjeLx1jmDd6QwHyupjwjOSRkJdtARR0lT
qqIiIs/b9NwXi7YCqwg38XorpMMNfqwTZuKeoiQ9v5KZhh1VkRzMpYzh0WnqVaMGH4UWU22hhutc
A5wZY3jJ7XPhBn0VoaYg+M8wDSWGBq6auterCBPhoPISDKFURzQIIygiCAjhR1SuieT8dC86erg/
cFQaYXo6o2WmZRWZfwWKEvpncun98765K2YuxxMva+420qsDuOOP7s+83WBeKch017yw0ZGIGY5S
RCBoeDSCudFdZ7a5r6hJ+x2rCLQJZXEz9cygqAAFmkmKVc7fVQK9F7lcxT/8+e//+J+//M8//9ev
v/3Hv/z377/+/usvf/3TP63+23/92y9/+d9/++Wvf/vt9//3f/DHn/jzb7/8+1/+9H8AAAD//w==
</cx:binary>
              </cx:geoCache>
            </cx:geography>
          </cx:layoutPr>
        </cx:series>
      </cx:plotAreaRegion>
    </cx:plotArea>
    <cx:legend pos="r" align="min" overlay="0"/>
  </cx:chart>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olorStr">
        <cx:f>_xlchart.v5.7</cx:f>
        <cx:nf>_xlchart.v5.6</cx:nf>
      </cx:strDim>
      <cx:strDim type="cat">
        <cx:f>_xlchart.v5.5</cx:f>
        <cx:nf>_xlchart.v5.4</cx:nf>
      </cx:strDim>
    </cx:data>
  </cx:chartData>
  <cx:chart>
    <cx:title pos="t" align="ctr" overlay="0">
      <cx:tx>
        <cx:txData>
          <cx:v>Average Response Time by County</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Average Response Time by County</a:t>
          </a:r>
        </a:p>
      </cx:txPr>
    </cx:title>
    <cx:plotArea>
      <cx:plotAreaRegion>
        <cx:series layoutId="regionMap" uniqueId="{EBDB4F17-5B1E-4FFF-AD01-33D8A4BA65FF}">
          <cx:tx>
            <cx:txData>
              <cx:f>_xlchart.v5.6</cx:f>
              <cx:v>Avg. Response Time</cx:v>
            </cx:txData>
          </cx:tx>
          <cx:dataId val="0"/>
          <cx:layoutPr>
            <cx:geography cultureLanguage="en-US" cultureRegion="US" attribution="Powered by Bing">
              <cx:geoCache provider="{E9337A44-BEBE-4D9F-B70C-5C5E7DAFC167}">
                <cx:binary>7H1Zb9vItu5fCfJ86WaxyCrWxu4DXFKjLQ+x40wvhNpWOM8zf/35aFmORTlpRa37cIUGNnrDoVZx
kR/XqjXXfx+a/zwEq2X2rgmDKP/PQ/Pne6cokv/88Uf+4KzCZX4Wug9ZnMffi7OHOPwj/v7dfVj9
8Zgtazey/1Bkov7x4CyzYtW8/5//YjV7FS/ih2XhxtGHcpW1t6u8DIr8F9fevPRu+Ri60cjNi8x9
KMif7ydBnLmPy/fbF5Q/398t3ah4tygf3NX7d6uocIv2Y5us/ny/tYLy/t0fwxvtMPUuAN9F+Qhi
hZ+pKidE55ogmqZw+v5dEEf282VJl88o5QpVVcFlLlOC6+ubXy1D0N8VZ2ue3plxGRXt5uqbrD0x
tnx8zFZ5jud7+v+3lth6IrySxRtvY+e+D/39exxsQPLn+/vILVaP7+6KZbHK379z8/iJwaw14/65
7++eXtQf20j+z38H/4BXN/iXV2AP3/PfXdqG9FdYT8vg+y/f5G+CLM50WWiarjNdlXVFHoKsnVFZ
0WRNFZQwVWYDkHt2Dsd3i3oPaLd+f0qo/t9g+eCUEO3jSa84YxoRXGOUcEJ1xgfSq5xR4EqETpmq
aFwnm5uvpfeZo8OxHS6wB7xDklNCeJw/LMO/3GNCTOUzCKQuGPQz0ZmmDGWXnykEHwBXVaqrnGls
G+INS4djvLPCHiDv0JwSyp/ioMyPCrIizmQFKppSqstEYUIbyDE5U4RQuMwUoeuKPtyFnzk6HOPh
AntAPCQ5JYRncRD2VsPRFDWkmAsqU02TuSIrRNUHAGtnjAumMJWpuko58F/fe62n1/wcDu+Afg90
BxSnBK6x9FfZ5v2+aaf+nnUFbCG7MJognESTqcAmu2VCK2eEMOzNMtNURTAd2L8G94mfw7HdJt8D
2m2C00L21/7Hb+NKdE0h2HafjGJlqJS1M05lnaqCQXMPRdZYtv8E0x/EeyH64+cnhWe2fPweZ48b
eTmCsGKnFaqQ4dNSTnSFkV2LmcgwlxUOecYvdmB9ZukfYDtcYR+AhzSnhLLpFll5zM1W0c902MKK
wrmmMF3ThoILr0hVdEQ0KFFVbSemsWbocIQH9HvgO6A4KXQRNAviolgdU4jZmdAhm7CEse0KmEy7
O65MZK4quwJsbvj5B/juLLEPxDtEp4Ty5fIREbboiBj3fi9kV5cVVRMc9tMAYnqmElnWYFRxnUNl
q5t7ry3mZ4YOB3m4wB4QD0lOCeBJtoz8wD0mwtiKuaIJDQgTWUdscrgVq5BySoTyk8jGhqXDMd5Z
YQ+Qd2hOCWUjW1XL49pb+hmsY6LrMgeYVOiQ0y3nSEZoGrkHOEbPsedtOX7m6HCMhwvsAfGQ5JQQ
NpeBg0TJ5iUfwaLuFbWq6URRFI2qhIuhGGtnMrJHTEbYQ3BlJ0D5zNHhCA8X2APhIckpIXztr1YP
TvzX6qgWF6LMVBe6JjP4wohiDbdjiLGC7BIR+BRkeSfR8IOpw3F+Y409oH6D6pTQnkFdHxtprQ9T
IVEow8IWMvIJWwqb9Aob/pOmiD6YNXSQ1wwdjvKAfg+EBxSnhO6orJbBcXU18oGCcQ5zC+FmXeyA
C/3MGeKVQqUU2/Lm5mur+omfw7HdJt8D2m2CU0LWyOL6yJYWOyOwpJFD4BRGNdnJIclnRKUaIpoy
khDYrxEV2QpDrzk6HN3nR3pZYA98hySnhLAZLI8Zje4Dl7oOfBGVRFhLDNPA5IyhsAOZYkjtTjC6
5+UFl18ktd4u0Nmi3gPVrd+fEqQ3ZREtw43YHMF2BqhMRUIQ5VWaSlVtaDoDVA2+kyZ0RpH1HYrs
mp/DgR3Q7wHtgOKUwDXjIHCPmhhUoJFVrmoEphQqNFCDs7PbcqGpqo7EMLynXc9ozdHh+D4/0ssC
ewA8JDklhOfRo7uM3t261XFh5meMIn4FxSszoSsqajC3LGaUUMKO5kyhSBDLZFih85qtF6h+W0m/
ucoegL9Jd0qoz1bRY3bUnZidITmoQ6DhHxFO9d2tuLedCSSfoaRyJ9+/ZuhwpAf0e2A8oDgldKGv
yuNX3GHPRaWdDJD7HNLQSVIg75wgLfFm4n/D0eEA76ywB8Q7NKcE8jWSD/ZRw1n6mQa5pU+Rqp26
DnJG4R9zjVPo8t0M4pqbw+Ed0O8B7oDipKD1l0Ec50eumOWIN6PKQ+W6hu12qJ/ZmQYvWVO0dXxr
aFVfP7P0DxAerrAPxkOaU0L5apnny/KIjhOSDgy2lqComOQcAY1hPJqc9XZ3b3ehohYO1CCQtWbo
cIQH9HvgO6A4JXRHq3d3cREfEV50JaGonSHKjDIOVegyYlVbJjWC0Gh5YAw100/9LIO+htGqZ+hw
eAf0e8A7oDgleBeolz0mtqjOkjUC01hR1L5ycld0sfFSVNIC/76fAer7dZyyZ+dwZLeo98B16/en
hOrIbY7bSIhQFiqgVQQ0FIX24aqByFKEp2VZRfxZQQXmk1X9GtYnfg7HdZt8D2C3CU4J2c9LvwyC
I1tUBCmjvncBGy5j8jDCocJiRvsgVVGQhZLa3mN6je0zR4ejO1xgD3yHJKeEcN90ex47Ub55zccJ
RaPJTJb7Zt91VexAfuEVEeQeyLqPcGg0v7B0OMi7S+wB8y7RKQF9nT+s4qOKMmqjoX6R3RUonny7
00xFKzASErq6TjpsvrF1BviZo8NRHi6wB8ZDklNCeBIs7eC44WiBwlmURAPFNcBD9xe9hAwVlwwa
W31qJtxG+JmjwxEeLrAHwkOSU0J45gZB/lecxaXtbN70MfQ1RyMLopNUoAGJvtEXrMAD1rFrU3SL
vtEX/Jqtw7F+c5U9AH+T7pRQny4f88fVkessMcCBMLQuoYgDFZW7RhiqMBGVlpFLfiPN9MzR4VgP
F9gD5iHJSSHsBg9OhsEtxxRqOFGQVlVDsv8pkzjEWHmqliaw0tAUsesbTzc8/QOUd5bYB+cdolNC
+m6FET1xcPQgCEriEQCBsS2rb+zRaE5DVwtlaBrfSRlvODoc5p0V9kB5h+aUQJ4Gy8ejtvyj+gO9
wWgv1PR1M+lQlskZGk1VNCgi2/jGBr1m6HCEB/R74DugOCV0Z8vQDYpjN6ihNguVO6iGFryPZA4c
ZgUGmsZhgWHwAwzyvpD6dVBkw9LhCO+ssAfGOzSnhPJidWyEoZs5glq6hobw3aEd6pkC+1qBGic6
sKaDLETPzuHoblHvgezW708J1dkqi5bR41HzS8j/a6qOWDXyS7Is+LDwEh3iSA6jc1wR6xzyQHaf
WToc3c1DvaywB8I7NCeFsms7AWA+akwTww0FGtIYCiz7ZmF9twBT7csvCWJdm5jnlore8PSC0vrq
m+7727XTs50l9gF6h+iUkL6JA38jTm++yd8b04JcMWKZou8RX89HG3aYIles9qUAqJnHfowvYXPz
dUSzZ+dwfLeo94B26/cnhaobrZB1OrL4Cox3wNw7VMGjJ4kOvSQFQ7WE0LjCNYra22FO4uaZpX+A
7nCFfRAe0pwSyufLB//ocx4wpkWjmLbD+mp5BvHcKvXQ0HkqkKv4iZv0zNHhGA8X2APiIckpIXyJ
GcfHHfPAzwiElGF+cD/3Dop4ADDGp8EW40AYmzTqpQfJ4zVDh+M7oN8D3gHFKaF7vvr+fZUdXYLR
vIS5dxTFsgK+0HADpijWQpiDEWjqvssFavy1lfXC0+EY7y6xB8y7RKeE9GL5fdmujjt3CVWXKPJA
RR4amp6Ks4b2NGp8MCUcBT5Q5W+MG37h6XCkd5fYA+ldolNC+m4ZFct3t0cvokYNFyq2CIrg1Tc6
xTmmemByGsYSoyN1d6jlD6YOx/qNNfYA+w2qU0J7cdxpDwwJJ2hsgTpMhkDW0MKG7wQ5RqkA5Brj
P9RBGTWYORze18R74Pr656cFaNVuNsRjuMMo/1B1lGCiUgvCy/gw7dB3LxFkEPus0tBjWqyqf9An
vkW9F6Kv7nZKkMKAxBkUxwUVplUfw0K7IRpX6G6ugVBkGmBkYUD87vzoNUOHi+qAfg9sBxSnhO7C
/WuV/c1JJ78XwupHaCEIifnQDJ2jcIKG7Q6YhId2tF5T001H4msL+pmjw/EdLrAHwEOSU0L4chnh
1Jij5vsRidZRX4uuFooQh9jxkZS+Jw2havi//TEewwrqZ44OR3i4wB4ID0lOCWGcDnRUBd17Rgp6
keD8YHftRwEMghxIKFGZo7YaAUu5P05pszusg9BP/ByO7jb5HthuE5wSspcuUv3SI4o5Nm/4GEYV
Rr2jXBa4ItPLZbIzNRyzlVCN+RzgGo5EW7M0AkuHI/zGGnvA/AbVKWF9swzCd8YKpyodE2uMd0Ay
EOEsoWx8nq2AdB8EUVG5tY51IRCyuflzPumFqcPR/vFgL2vsgfYbVKeE9mUcZfFRpVrtqwBwFsBL
BcdAaRPkl2BMo5AeHcQ7Q7XW/LwA9Nup4QH9HgAPKE4J3LuyXkbRUW0u7Mn9oUn9IABU6bC3bC7M
1UJKGCN71mcbbgvyhqXDEd5ZYQ+Md2hOC+WwOG6zC8ZLo7pDUA294M8lWFvKuj97B/4UMoxIP+za
XXdlz9A/QXiLfi98tyhOCd2bZf5w5CotHF6IpmHU3jGZoZZ2oJ+R/0eQC4XSOnkL3Cd+Dsd2m3wP
aLcJTgnZu2W2zOPimD3FKNtBzh9xZZx5h8Dy0+46kFyM6IFYawh8YZsepoU3LB2O784Ke0C8Q3NK
KH9ctjh8eLMJHsFtwg4MVwmyCSFGCkFow/QCPcPuCwMMRxD3ieFhOHrN0OEID+j3wHdAcUrofl4e
vwAe6he1G5TjaErM8hhW7vQDiVFaidq7df37wFFaM3Q4ugP6PdAdUJwWurmDg8qP3uIA4xgF0Cpy
RXB5d6KW2pn2NL72+RSmYVTr83LD1D9BeWeNvZDeofr/AO1fs7j12P3p4TgW/adO5+8eA4+CeBwQ
TvpSuz5p+MbMQ5Ro9aembXT15t7roMfLqfU/Z+jt+ugXwq2nWz/cr1/H/5sT3X9+2juOgl8fFj9a
FstxVLhF++rA919f/Qnpz+FD0nb9JuePf75H2g/Z2j7O9MfrhZ5/sQZgUJi5TbZa5sWf7yVdPcOB
WugfxoSH5yRhvVpfgSCjghrnDgtFeZqZ9/5dFGeF8+d7ija1vrwaztV6uDgi13lcPl2SkbRAwurl
VHnyfsMfypxbO45e3srz3++iMryJ3ajI/3zfnxOTrH/Wc4uQWj89SPTBFhwygrJ9WPvJw/IWWg2/
Jv9HKfLWtZjczdSM6CZV6nnr8XtVdyqD66FlyAW/anO+qJkSGYXKF5USOmJc0LJrJrkf2K0hOUVm
Rn6YXFlNahl+ZjejpODyNKoKOpcTmc4Jy8Wk7pi38Hk81wpPuy/LQFn4Wa6O88ouxkLyHopM+xLW
bmj4keOaacS4YTshH7l4iAtZOIkRNu6j39jWzCqShask4cTi5Dqt6ee6bu9DlrqGncWVYTP8J6au
a9Y8U8dyK8vj3I+nvtzkZqQ7xX3Z1Hwm+04xrqsgnnR5+yFI7fRcL4NoREO7NtOatCZGVpZmnNrV
qHTScORKxHBFQatRUsL5/ZKqbRFfB54b6mZepanZkiD/zKMgMFS1LQ0uibEl6WTsZIo9CuJmXmT5
Zd2GleEymptVIVUj0tFsJFl280VzU+0iDt3cEHkUXhYip6ZVWrWRRNVlFUmVaTec5PMsCqULzVXp
TC4obYy6rSvrpo198VBlXJ92mrjSsyDvYuPp836Wv63v5yFO2gwtEcX6c3r5838+xiH+99+e5sc/
9lL646/pKu4FJB/+aIsG6z7ft5ftrT92BH3zhb+pBX5y8bfkvB8n/HM539S07+qHnm4j6Mgmot8Q
faX92Yhr32oj6egg752uvivm6YBEJKqeJR2jYXABITN0LELRw25/kXQ4a4zI/bnkKkMaBD/4HUnv
BXlL0HFUEIRcoKBf9O03YPy1oHcKPn1V+PaMt7pjdCydxoTc1VZz8+rNvKFR3rwPAvUoO0XtEu2H
CL6+j6K7gZ7EQppGfM7ZlOfpImw4dtWX13/ATVDd/PomqtdJqZJa0jSn8o0WVn9VfjHyIvY3t+mX
2XlnP56lx+b1bZwoyotSk6QpZZ7R6e6Yka+OvAiqZGRbc012Zr/1WDg/BO8Mx1mryFX33a3YkF7f
TyrKPBQNkaZubo+dNjr3y2Kel+r817dBwejrx8JtcIIyR2QHWh8lS4q8fZvSElaRSYqY5t2106wi
eUrpud96a2Wx3o/fAAl71C9vM3h7WlL7ompwG5snZmw/JNnfwDPYu3aeY/BJu0Hs8RCyNS2rziiq
81K+UKhkNI0+yqpvv35ng8965179w77aJ7Uo5F0V9O9MCUa+5RhW2RgyNodf3+bv3tlAekLHT7JC
xm3kPDY9RzHS1v0bWAYf9fBJ+s6s108SpLkStcjETW05v+o8dqHX3jyQ4mTk6MQ3pbipDOEntwc8
GIbioGsIyg7+6fZdQyHlnBSymCo8P1c06Xsg0cdf34L03+0rcV0/2at7DMQH3rLHvRgvT3jfSt0e
2XpiSu5F7txFvB5FYTSxupUW/c1X+OaX8equg6+wtYVrxRqeLAuDr0plnTcpm5eKvfz1070ptK9u
M/gAaZSodYIDiKZh8im0grFjM8Ovv5OW/s0n+HfPM/gEO9vKmc86MXWKj20oj5x4ymk1+fXTIB/w
BlgYI6sTdHnDxu0b+V9/hnLFA95UlZjyxgkdo2qq1ih8u5gERfNYFX45skoWqONO5dpl2wbJbRSI
rJtXVmVPbKKeJ2FHJnIitWYTqtQsWOCPiNuW/kjNSX6VxrbyiWW5dp5kkT4rXKn5xlwnjA0/toru
oihkuTQqm+b6ZSfiTxEtL5ncZoatxLIRNPYdK4vcwKwQ1xCK80lm6SpQvXuw/FBVwVddsh3Dk9S5
nQXqSHK0G61UbdNPqdmW3bhq/PtAs6/cQroMbcHOaaQnk1Lq8rFeec0oUO16UlrM1NLyWnW60Oi6
NDNkOb4rmOTBhFNGTasKQ+Ky901IGhm7auh8UCvdFGEzUlN+KYdFYrQOf9CdcpF7zqRF4MA1aMC8
qzrAj2mn59MWb/WqrFvp0aadHRnEacI5CTpp2tq6BktdbyeCpWKVq1lmOEqtz1Lu+jPJzaVLyQ3E
SMkr03L188LylzmRXAO2fjFJvFwz6wKwiY7pRqEFnwuLzTgnZuQ1V34UXZGY3ZdqsFBFNdY6/Svp
yotWy5tRWFneyJeyqU3r6dOX9a+J2lc3vdhIvSG85Yq+tDzv2qg94cZGlTEeA3FBuHoILMhP8f2N
jUp6v1JGo9AP83Vjo8IQxXS73j1EUfrTKVjPzihMVMzigADLOIcUxh4mgm+s8WcD4VfOKEYR7ygF
nGOJUYnoGFYQmO6PGH+tFJJMEUnQymTqkAiSmNmF0drq94hyC2Iu+9Vfssid1sgy2NpG7Oq5ZzBf
ycm45W4mvrEiri9rld9lVLvS3EweUx7NizS4VePkShT6ZydyPjT4w8jD8KYt1HGaRMSgqVsuXOKe
dxlR4WVa3ywZPpkW3rKcTbDoKC/DZpIo+qxtyX1TcsOJ0wvqMiPM/e+J64yVWDfTpvgaxzozVNma
FJaembVtNUbA0y+KlEmmrfhw1ppmQh155MvpPJO0B7gMIzdwv+qZNvUz/plnVmI4kmSGUTLWlMJs
VPaBJMmkJfSvJJIWnNePdkfsse2348ZpJlakX4ZdmY5b28oMN3IvAj+bJ7ZvG1blnMdZ9FkW8QWU
TG/4+395cjnDpKtFQJJPCAuMgradp2XSGrrfXAeZN249+1OpVmKUyY0p0rwyms7+7lt1N/Kbclwl
ZWqywLvPhG7WnVQatl19j8qsHeFhHktmj+ScXoeWbKqS8A1bt8/9prhGsGPsu8lNg+yE4cbOVFec
i4pbE4+VE1WPZ8zPRtSp5qWmT6u0u6gq5z7WynFN+H3MGxPbyCSVcZ6UFHpGY3tkpNiuY2hhd6m1
pDAUuNtU2IHhd8k4COhF0HEjdNknO7Q/KJ40pl0TGSVh39IgS0cY93VRdJFrkLQyWUlnQVqMhFzf
oLChNFIRjkpdfKsy5UMpS4hhlJJheeXHSA4+1Q75wmxuWpryKaizj5lNsQfUMytQg2nqMrPU7JHl
ZCNkyGe1295LeT6zSH1Fs2ASaVFlalz6opXlB+7jXiyoI6NhNR4lPtddOrWrzKRJemnH+ZjBcIks
9hdNMmZEnjPKM2/O2+wm4O0HpfAnXutNaF3LBmoyzutS+6J1wU1ae5FhV9aqSePEJKX7gScw8Wvd
mnSSZBsYsjbSymgcZ/QSOys36yqfyapHJlYrj5OUfLS7KjSU2pu2Fj9Po6gWpo34Q5OatdcFmUE1
q7U/1qXOpnZdsZwabZ3KH/KsMgLVsb6o7aJKG8Vdm3n/KngK/+bnCn5wduWPWGNP9kO9I7yAc1Sg
pzcRxY16x1nB/XHRcPmeq6o2yp2dIdOL5oZXjaQb7a6doYUYgw8RIcSMw/68h9/Q7n3L8bZ5rvTz
T5GYUpG6QgPbwDy3uZ36IiTFNJUdhY3COqWjJiexd9nGif4oVK+60sq4nDCHyME4DdRzzaErDK2f
koawwIjzoNVMhyRlaJRSbC2o5X6wvKBSzThm+UiWxK2UuDddJHOj0NmS1kTSjbjzg9xoNLuR507V
dPM67Wi5tBwrtxKz0Hhw3mk1DEUdEbHiC/Y7OnZJnsxZhUim68dq8jHShH9OSJYptwnzpPriX6Pl
KX7eH7v28296+xzlH5/002Ftz+Hz3ixZj1LtE9Wbr1lBOSjGfGE6+tPp532dwuZ7XhsrsFKQ4e7P
ioKNsfmen6ofeD+2BMbMU3vlb3zPpHfstt3NfmgzMrA4KxJzTpSBB9Pldqfbta5O9YDMCcLeemfE
rfA8s3Kd9Lyqu6a+ozTRCqNSbCdPTGZrHV1oXSenqzr143CsWZETXCZNy9jazf9XTaq/tIMHo51/
fFM92UZNkjOMaoUGwkljm7MBNx8WPjfoSKg8VD89d9huPiyMCeXwVNFWjxAdOu8Rwth8WALTnQkm
SyIdgPLl3zSD2cA1xtErvX2OpXDWGUcSePBhMWzCIgw0a9rkDre/xnaFBEuNWvhikWu5ZCpxXhhQ
53dQ3F1mlNiw8R/heNeO0O3YaJxKpQYOtIXh4Hs2rMA4dsZBGHEzz2trqrrSx5L4i5K0S55G88xJ
b+RMmiUV4mg05Ius4rPK518lJfmQeWxeC2lhKWQS+Mh/6Hltw/otry0UiZnEIdWIF/mVUivtNA1J
iORLVd04lhD118ZNnXAiOVLxUe2aOz+GuWq0OWkeapVmiyDLtFHDLTbBMckfglrTR3AdrZFaucJo
U1k6t+GeGglvv8UBbNe2gkGtp/allcIz+FcFP6ngfmTxz1XwpvJ1123s6TYCg5o/VIThgOsfBZ0b
gaEYJIKWdBzM+FIO+CwwKERSVfSx/xhD8lpg+iHoMpKYGkWlIVV/x7JQlEEkuJ83JjBMDMl0RJMQ
Q++DZ6+isyKMqBclaTSjLbtostAxWy35mKU0Nlnrf/ZT/aasSjhgcQhvItdds/Pq29ilitH6Tj4r
uN2MaSMKQ82lpZ7rF0rZfUayxjJDNafTtJK1e+K1dORaRDNJRqtPyEPSaJnbdv0IU0aOp0lk3dBM
sw29pksnSrtRo7tXcqLd5k5lm6WaXcID/aiINkFCz/1SlOk1JC6ZRDzODTfRTdkRi9CXFUOUTWAo
QVYbmWqNnES5wSPcct27C0U2kxAfQlnBqNbKSyoXuclRozJJ9egy14Q0anlhOgxRnKg13SAxE0Xc
sLL7EBHvggb8lnjKNNajG1UgdqgGzQUSKa3hyHwM/7QwwmhBsgWN1WksTRxh3+dhtSJeN02c9Eo4
SDUjvt4o7bwNUm7IQX7uFfE0k+KpFARjV+fTyK8vND02O10s8yr0jY5y79KB00yr5FqyFN1sWpEY
WRh7V05uT7LWvQq8RjKIL991WlybOG99phclMUo7vkWG1jeI4urIpToIYGneVzuTyEJv9GXawv30
m+SL0pXCyEXIxnbQXGdK+jHKBd5oXRhxFUy9tlw5TVSbpVA/s4oFSKWy88BPbgIVvnflfYvU4isO
2GFGnoTNIo6beOIAbTg1hTMKyvybF4fXaZQi7JpJwQwJ4GTc1PW0oa1vZk7dGHoT51Po5micK6Fu
kLxNLy2nqwzLLtuRIOF1XYaPiWg+8gJc1wgIdn5y5Svlh9CtFpmb/FWl7nVA3HSed67/rXXqct4K
YJjJQTiri/h7HjTSqLND6aYr8mJhWx7pw6aN4aQZ9LRTTy0lqS+jNisNtU3tUdWU2bjKuT/V/Sww
ogoOaMyiaBbG/lfHai6c3CpGeWt3ZkgImVt6l+HTYYpRxYkwUhLlj41bKqZm28RQsqi8knxZ/+TI
TWPWqcgmrVO4ppSye18JEGggjqHaPEZBgdRcR1WkjArFqRGmSaNRWlnc4MJ6dNJYNZrAVUdFIL4o
Yf4dLZorVnqxiaKMaZrWvhFJ+l9Fi0IE2+1mKFYNRwjuuyZz9PrcLurrPI+XcQRzvuhu46b5/u9+
8LQf8F+a5OsT83Z3g55qsxvgmD+lP2WXYwbv88CZzW7Q2+UwfzB3ChmPflb6i12O3QABwv40Kh3x
R5ScYHt5Np9wCVsASloo4ciA9yb7b9jlqEXfNsyfpk/CGOtLmAkS0X3f4OvdoFA9EdlKFcysUio1
RNbj1lNQpdEpD1ro218tXa3GXpqxO6uJ7GnQKVA4VqQYDY8l+JfOCop4qmjNzNPUS9sWc8w3vLBh
tSBof+la+QXsw4dWzsYRcUZ66EwLnXxlsTBzHt8WQTVRnHLq187cyasPjMQfmya+rny/t8Fugji/
DUt7por4pguV1pQjzzMCJb9UbH0i+emk8BPkHGLvU21li8iRkHa2FnYW3naSsoDR5Rp1lt47Ijun
hZMbQQ6jy3G1887Rx5Q4n2wnuygZhEKtbMTOypXUeddq5N5psXAMYZVXKWGOEaeabwDpC03rPgQO
cQ38xjbaFhU/rWSNdIIaICsPx2nlVWZY8YXu8POWqL7JfUszWzd94F1AJ7EmOSNeBovSIszwiJ9P
iCa+Z0K9LlqeTGnsXid6K00lvGVTifTYsNB5byYJubctjjcgxYqRxOwTIq2fg1hpoTGLwsgtoU9J
2UUTx7aiuSg6bZImnTMVIq/HFiJRhtsgY0OqRPUMKynUKQ+10shJfi752VUnyzBVeSjcz2pYQ/ug
7F0Zt7Gj3jaleyG1smsST1zUTQ47IGbWnGtFjqBnWS+Csk3umauzia3xx47VklFL9rWVYsUwhNma
B/pMdbTERBr/g1WmX5BvX1guapbqVMr7sLI9zmv1Iu4qB08SPigJ+Wx7MJmx691akkuNsFZl1Dop
zLAtQYw6Kb7IXe4YbiVPXaauLD8aWZGfYZMuvsR2fONrBa6qVmDKTXpnx1KMlfWZHvnjNPRSo7Lo
fZBkeHrBFqRhn6Jcrs0298+dtLvzaOIZsexyQ7iwgIo4t82q1juT1TwwO8fTEbWUlUnXqdNUE9dB
6AfjkNmu0bgRarg4YqdBYqumrFfzIOAUln5+JxcxG3m5c82UODOaRLmL5UhcIJD5lSMSzSxHnpYe
0nlNYj1imAb0euDzkaPlyzimjhHpaWmGgatNdDtwDeYFKhJ63agsxI3HunO38D8kddyaVVbCFRD2
VOIO3CEVxhqpMgR9vWDuCXeC72pO/eqjVlvuWAT+wpbcJQR6Trtqzl13GifqBypZE5b5t1nZngc1
t82GJN2COMrXwk4umBZ8Qkzhpkn1Brt8/UkjMuwn1aEjq66o4VkKrLFARdzZEV9qrV2mNJpLsIvs
yvvoZeE1BvuMSRNOZcWbIVw+wwE190qlfymShI7SWltEXJ/FjduN8kQLRmHHb726O8chYKO2xhPZ
sXZVsfA2S/gcpk+JLIJ13zohTKPMnwVx8TUMCmLKlbYoOmcWqwVsDWfi29HcTtrIcDzkG3xVmUte
NGPUv04CiuoO75NbOSMtr1ZtVX9WeTLP6iw3JJk0BrOtm0KJZlVdfIbbjNcVj+vSdWE2+V9F6Y8b
SYWyaOTS5Cw5lyRmJHl5q+bRlzauJlbgnyuFuCoC61tAkxuml6NOVPMsC0a6LPmmW0KzyGlxjnh2
Mm7b6rrMs2uPad/iMJkmSDvUWbBKrGCE1NA3yvSR58SXJKlNzRVz3cnNQvXHfkO/x6V8XlBtHlft
FznNZ5okz7LAGwkmTRmvp63Mzgs7v+JlOG3bJDAkHYoLZU9GSNVLF5ZbVic3knBGjcU/EhFdxvAC
MsuaJ62SGZ1brTQax2bG48vGgh62qjs1zFDrQYOZJxXXvLNvu5SOJVosZZ1045zUK3zpqhnUyEw4
0h21k9tGIJ0haepNGEojouWTsuEr0uoTv8EO0ZRXTtL+1apVPKYaNUtkdvIwXkhxNdNY8amRk1mm
xx9yrftf9r5kSVZc2faLMAPRT+mJPvtmgmVLI0D0Ar7+LfY59+4odlbEe1XTNyorS6vykONyudzX
WnqchNjc6Nl4EuPhQVD1+yoa3ahJw7TL9rE47bq69yItOzKTbnsJqMKcAs7k/v9K6FclpKDx8vc3
Yzvtmr79sxJa/qv/qYRAdNRMgpaQ/EsfaHlt4HclpC9gP8jkoiLSAdz430qImCiSUEABIwim1UKg
/N9KCGhAcK8wgsUbUrKEFqb2/1IJwfp5gxJ9JAL1R3TucQSB1rX0T8/roNbo2lI1aBbMbReS1txn
RRdQnDlKJnpnrvnvKPccR/wLCnfWDP2PLQPPBy8dUeOPZqjYR4JWo5AJIobM0RKbZI+N8mmQgzkf
K/OmVHBtztGxyq/AVRY6xJ+r/G1ZXrppZ3f/BJVChtFthgSmBtlwIw67Okoc0mWW2FZWzO8b/mDE
M1CyR2nY4x4dy/F/mkf/t1C39erXmComiWk+m/gNvazdDlN1yyKyuezhP4ra5WOeLRPl8/kyGzPi
dSXEWdDoszPzb0pGqyUHFDFo2d1etrUExoWPucaKVuLcsaJOsqBNp1vaDmjDjW9lapwum/n5y2Hz
oEekLPvhr0vqdYWPaF0gZjTjJBe935TkP4OVv/0wfxOXv22s9oAqddMglFEacKMAGEy0WgWz/+a+
MB7RiLFEOltFpFlT9SiqVyCD15a3bM+zwCxajPyTVkgDA/P/qG/CiRRflz14dXmrq84oy2yodLjQ
lONjUtIdoOs4r4zEQVH3IAjie98U6KLkmp1w09cynl3Zfz/FpYY3LeHi5ZnS5VGl81V2Fau6alTT
oJyML45xm9jQPWZouEio9SvNlCte/SmpLYq2IFTgIb5fql3n9mq1FgRF7dJAV1tguYppV9WCRYHF
pan2ftm9P63t3NbqC/ISkKhe79OgKPKDOfBNrughjRpbT6twnIzjvzO3+pgsq6NcF7C0xOT3Moag
lpwasdVz3alGEsxy7F42eM2XK7jNEAmFKkZYX1t992Zpq33qpOyTVM2V/LhG+/1KkGee/DXyONsL
iRiBHMOHNBjb/Wx8k/I775aL1ISuKfpFwMaIuJHq5b/7gAtZ8jxYBI56yNDgUXn87lsKwOSNnJs2
Ol8x0a+s8aekeb5EsrIlzHwmFZaoik8Dug5TdBx4dGW3XTOySplpHSvIzvhiGloEbCjsSnxrq96/
HBfXrKzjvq4rsR1gJddCYZatOQ5R5Vzx14+569xhq3CnwGdlowYrcmME0cy8Li9vowTgIXP20EYM
0HxyOwCgBr0EplPfX17kleBfT9nEYsbAY1mkbORepQu3uVQ7ica+VKk2rny29ax4Hf/6qkiRkrwy
pB6BmEbDvmH1OyllWxDVW6M2902rv05j+qqZDbX6Ib2vZnYbC02YVI13edHXnK6vdgSlsSQA7JYG
inBHQVOi9LkcXwxpw4vO0vXWQk0aCAAuTXVyxQkr/McfPlhvkGJGPhdgmqRfdfshg88V9/eN+jTU
3zgwrli7krt1+a/bsU/yqU0ingY9/UbbwWqkN9z+nDZ1I1pfCeUr+8VYfV3dmMdWbWArmVufi9TH
QXkEH49csSMtLloXZmdbxlh9PV1tjAqcNRy28daIGyfB/ToCAo6SO0PIrap7lbRnU9pOZJOjqXg5
dq58P2P5cWc5fNAzCdQ+GI8wi0X30W41IaT6vhJUTBnQDRqvIOt/EVEuLXf1DSMNrZW6gkVWqDdj
LdijqXppCfZdyUO0/tzaUE4Vy26YIrnqVDhszhy9qb5KDO76MikAxESvbE62ZoQO6KDsFb1l7mW3
XAm0dRWrxaLQdAx5PytHgPOJReTKL2S615kSNGp/paJdhv9/+gQ3S1TNhqiIqxNgEuRSkutlAxsD
5omqrTXzZuJyZI3KaM9AAVgjH8KKti+X1/lzvvxteJWuxz6XVY5nLAKDfbJJ9Hm+4yPAneLHZTs/
bybMmsGHg+7fIl9xHmZojJAUJJE0EORHVT3KildP35dN/BzJv02sfGiylkndEsmc3Eta4ctz5CnD
oQdglsidVfXhZXvXlrT8/WznZEqvdbIBe2IL8LzWWJVw14NO+u+sLB/wzIpo5CWRGayYtHX0urNZ
m7hJ9l+gxN9fqX5OQr+9twqEKq2bLJcbFDrGhF717Sw+CPOp6ktPFE4COtTFsKVyg2bybqqvVZLL
p/kz/H8bX5WsfQIabJljkeosblS9P2Y1u3It/Zsz8reNFf4GxORCz9FmC5h5krQvsxDsKT8lbAsa
smAchGIIpsIvxyuJ5EqUrGvkwWiLMe4R+HpXWzUm8bm2Vfsr16e/qcT/d3HrkjiuiRlXCqxI/ahZ
QPUfk4FjNiyGeqzvktFkVpzjshGV2yST7Msh+nMO+W18dYToKjX6Hiz/gAhum3Q+GU101l/VRv2X
hlZJRM3R85bjpdYgwCXUT4W5L+TMVcQr3+zH5C9DPRj6DeDpgqL7lz0nKxXJsgHeNFm0TTlGjmiT
g63wjoHV/SRw77L/rphbIDrnW5zQGmTxXwcim4FCYXda1oRRM9ipWIUCp1dK5J/NAVmDwwbjWXW1
05NmQAgsFfrUFc9SpxwhLLRTDHD+qwhDC3H+ury8H8MDzc//sbfa3KMw1Vm0HDGT0XnAJYToe2/N
Xt0C6Xl72dS1pa0+XM7QgW11mGJCH3bGkainoascqAIAn/b0r2ytN3ZKWKXFS/on0k1cvZnxO+9e
MtZZfXPF0o8H228Hrjc3OiZDlZBfDqzdWQPXYTiSobebtrepEmM80N5cXtuP+fjM4ioiBzb3c60g
RLKksGUtclRQUC6b+PnypMjoYQMgANLQ6riedEJBI0c+HshtbJSWzELKvvuOWL2+TZPvpjz1s0/N
CJjHwZrHl8v2f1zimfklb5+dq70iKDzTluOgN29iQk5jNV1p7v6iv/5xrJ3ZWJ3dkp7GQBnDxqTF
dk49MOfLprIkbTOleyaH5nBklNpsepSZj2HfrLzrkdulTjvsZy1sJR9X9bysAyn3Wf+c9AdRBwoB
fQ9v5o9Tu+Faa2VzgFGipUauFHs5kSwN3EaVWXocJCXYI9O93v9XMeLvq4XlSnJpZascUjdAdU4J
MqRm9k6aCdvG+DCEkDfv4mBYRSJYhZD4+XSLweGVwPkxnZw5dZVOuqhtx4nUaGOQXc9v65w4qtSj
PL7Wlflx250ZWiUTDUSYSIoqBChGcDz+0gxfzAMhfukbEbyOh8vx+GPq+m1NXV0CxWxGX8CER0U2
70dS7WQgvFRsvXnu7TGar5VDy1l54Quqqy0uNv046NpSMZSiLWbUZ8RwFM7CcdZ8Q1GtWhDDQhg+
oqo55qKwVeLR09v++fKyl2126WesjvS8nkYDIAe0EDFiAX4vjw6s/UcFyplvV6kGrR9qVBGMgHiX
2KPQ7YZS3ea4WgKCcHd5QT/f5s+MrTa92qqT2XXY9H3yPLfbET3zEqIxmhlbaVxber7vwA1sVY92
gi1J/Mr2+NmhywQSgHYRrKC/5rWsVNvKFGFehE5ML3y1fAv6vnd5kZhY/vTZfltZeZSOAh+1HNHT
uvQQB6aXe+1esN5vP3bEesktdGNtwYqtHRCSNhZuSVa8Me3UNizVLjdiANIiRhrog5vB5Z92bf3L
38/yemxikBDrWL8uZLcqgcaRnuzwHszjZTM/OkDDu11QTF0epF/+fmambaqsQFWTYqr/qbdvEb9P
eWKL3ddlMz+fkmd2Vol2joc+aSYkobHzZ+WNdSIkS3wcj4w3NvRSLGI21qAbtppHboGLWSJea3P+
eFKe/YRVwh3MaMAL3/jWxQTUHX/V5IfLi/wx9Z0ZWCfaSZhMLcX2VMTUk7IjJ48k/mTxaLcdty/b
+jE8fttat2wrDPYppbBVx6WdNPNLVYDGWiVXjv5rZlbZnDeKJIwdzJhNtO1H5SiBEKvT+UovbdGS
+zN9ni1nlcWnvI2EsUUYJjS25UhwBsn0KiGxB3UKk46e8mH0lSGypVlw86qwI/TXDI4OQis5Uw7q
aBkX266ebKKMnlpNzmV3X9km+ipPNDUkr2IR4cvM1i7EBzMa7UwTbWNor+S9a55YvsjZhhyBKy+y
Hp5gQu2w1ouqTZn4aQdkeaQ4qc7QZkyvfOVru3OB0/7FaDKrUzfC6Dzc8WSjK7eyTJ0RuLgpRU33
2WrARg2gi5lo5u7i8XDZu1c2jr5KDnzu84RTXAxGkTm6ntiZ+jwIQT6Hhqj/uy+57oYPcdzXwAJi
49DUyufRGubbCkTyuv9HE4XfMb1uh6ealMpGA0ttkR6EJuaWKM1BZ6rhkGVeU0LQTpY//4knIb9n
Qh4b4+7VqRnNRFaFYokeetfnfkI8WgF+27xD0O0fBepvU6st0ZWMgdpfpkEX3bf1Yym9CMZr3uDm
X9+r7WNlfF9e2s8b47e9VYzOUDLpBeB3grw4xvITnfIFjmkJ7V3GKkDub6Xo8bLFHwvn5e2l/zpz
FZZ6QwHtBOcBzPvCVpIvRWo9MYLQYFvYeedF47UZxpUlrmWI6nEmU9vDYCmmvp714UjAQBuz7SxN
94vgX06BUDakazX04ro/itffC1VW2VeLzUQse7i2ryAGKPceM/vNLBK3y4YPOZ8A3c2PEY2dGdx9
K50hssK0LDAyczMp6nPe6EGpCv/IG7oi6XhnEnTA5YG786TUKwoKTC1Pg7j7mEvBkkcQhPYJfVdQ
EUrM2PT8Soj96IffFhcs3blFQCzR4IRCRQD8KbhDuLXOqHnBGVT9y5F1zdDqWJXykasxh8OHaLYh
FOK2AkZzcusZtLi5bOpHBJp+tqhVSpA6We8SXqAqoVBF4DfGuG2yyh6pCjmduyo+jNOzVAICpLgK
pHjKXacN/6RYOfsJizvOzjTsF2hzyviSE2/dKfnq5cSFYNSVhLQknD+i+MzKaruS3mw1FVoluNqW
D5Mk7KdUunJQ/VgOnZlYlZB4FVdIMrDjAmkob80+eSpKdSel8ZXz+NpKVpFfKENesRpmKB+25Vzt
qXKtsPsxt/1eiboKdUj+9npZwVlFjxzKTKvi0GYqNgLDdYe9aMaVMLxmb5ViEjMf57JEFEpp9Mgy
kNFNJj0zjPH1NPchP2UrJb2CWPp5VHK2yNURRSIQDEQVRluDWzQLTYpR/gPgppXgU/XTkN+i7g2k
iys7blnLhUBcnm48D/fSzGPclrG7gaYv2kMiffBhsLJ+FzPqadW9iWKujJ/VJkhEMbhifEkdF4wv
EsHnxhUqiuCDInYGYQOSjjGfoO8iMmoZgJ3mQu6kcsj7O/XaAHbZXZfsrnydAq6V8xkBxWITyWXy
KkWzB41ggFMHsUGufdsre0RbObkiXR4rCpyczBJgIYBOQr2oztoXcLQhZbSo8Q4gbhtOXGmeATJO
Lpq2Lhh2x9ntFZ8vPr209lV+K1v08cyWIs6aT6gqGMpBjff5nFqghsv616wB1BltoRiS9egA69cS
389Ts99xrq0yX4NR9aj2iPOq2WdZmPFDRRnEeJ4bBthc8W7oiSWVb5dXfe0DrHKhmhCTchNGmfkk
SYdRL66cGr8kKi65dZUGZyboTONwK4Oo5XSTVt9pfNelrsothd4N3E7akxFtcsmjNJwSLxoULDMs
5XtcFMvWp23YUX/QPFEBqwMkDbvv/CpzpuiB8q/L3vg51xiSiKelIBEGxuBf9x2TdbGe5+XHDsQe
6/pRkl/rWgjqSbez/NPQIpvqJFDmyafFtYHij9/izPhq88WtqHUqaEpBhuZmmUCVC3LZlxf4YwI/
M7Hab6MmqG0DDlRQjXQ3psQFstaaO7qJCDuqEYrklP2TKunM5GpbcYPpfdTDpZwWvq4gcT8XhFtM
+QezbQ2qthoeTAYDGOCVv3473ADUmAH9EBj0CSWgNdZbqb2SsBYG6TpJQHkZ0sbotEHBY301S6EF
WXRpjMTssTfpOdn1myrMj6YHslTYbc1X5a4KZn/+ru/qo+E1D9MVbA5i8Ie6E8q6mqlBwGNBRK8W
mmYqeuUCi4M0QVcn0IHMgtqX6JIeSt9s4NzLc/Kccv2QsPHQ1MwA/amt/BrC4HaiN+9mKdShoeX3
ZWnutNy8K8RWtKQY5DD0ij4IpZ/JvFAw+/QxY2gKQzPzUWDQJgOFVNj2ZnyLbk3sAd4YQeYxLy1t
HLlVllMWEJZ+ynWdWHWsFq7RVLlPMNwCry29HYbyCLGGHeTcdEsS4+m1mmm5KfvUV/o4tqckRftQ
6cipGKBYJk3iLRpihdUkkeyTKhJ2oyLd8Cq1qRobtt4xHZwpeorzorGjTGttSUO+NiGeVhf96Aiy
susp6xzAfY5KN4IDCLwIARq4AYkjqpttHGt2IUd3MWWBHBkn9JgxyZmwiraBfJr5Anz9M48ir9Dr
Exsy3apGtgdoNMhBWgXd68Hoclcz8rBKqOJoUe+JEujkKnoEmoKibDbou9bpRzwfezfU/GiMuSv1
xmMdxZNdpM0OJPXvIdVFq1LGh6wsNDAOVX+kSdiD3ZlqyQu4BU4q6W95Rk54QzxIZOLnkGkby/au
R0tHwjiknoxNnmYeiwWoUIAeI0jVFMiUYKASf5dqmtnUbGtLrUgcQm0OhPk5qywiNpEtDM03KMuO
kg+byShdZZrc2WChUmP6UddeoYjQShSdKP4QwSgd6/6kd5/Q3Ag5MKQlKSwGbQd0ukH8jDZNWtra
UId9OvkSKeyBdTYZNTsCHAN0Wp8Qe4aep5HId0RlTwZqRjJFm6xNbVPSBUvVhG1rgHYsMTfnEbTj
asdUQJibYofPKoTuTlLpSBlzSK86aq2DWgoNCn24VUvFxgnqmm220wGzkgqIXAwUP0+r94bcPhGl
fuFzt1XSNDRH7kj5E5RgPN7EjWUaLAEw61EA3rkURVsua7dg3zk0YBZqYgffFdqeCREmmRDGqbRA
woePtN4xk+ZToMRNK0m2oZCKic5rgdFqe0u5ag2Qb+Sz4lJ9sjS1cYGZApzNQKMeSoFtZkdy+iF2
nd3Wpt1LCpjNjdVOToI4oBBEqJLBMVliQ2zbmnrD7cftmE12NR6nvrE0RkIR+7Rb4pK0lpoOm0za
ZIPiQ2bQYqR1GPiBPJMtaLk6ejRA66N2BSDUhcY21MESU9XqKsgoPjSpZEkVqNvjBzUUe6rCQpat
CCJpRH2rDcES4sGTJ7i83JVy6ZT1lwQShjFtpPJpKo9U2w8mCzKWQe7sfeAhH0o/SzAvT7cQ4nSG
rnamdrS7CtPYEgK65C0X99hmltA8SlPt0kmzook5SvQxasDKifgtxDdbA/SqGX/pwXyv7EwWAqrV
1lzfjMsuepuTTz2+7+Vvwp8VbGhpp6R3LAIOQb1V9b2k7FvoF8X8pWOpnQC+yKavSIydrDbdqcXr
C4LgKF2A+bFdmw+9lNtadC9EOWR7TSuPi91IU2EPPGguqp/mLBOHKGK71yoHkrumH2UcGzE5JMM0
PhTSdJpzPdnmHE9WMLSzh6OkcHR8pcg4dBXaL/jPcgms9EMup3bevuPJFjsWZt8wE28oIXkAfz2K
s4bVx+iHg3hrRdI7LRqnyO6NDo1HcG9rJaj5CzELexzvRYRnTh/lTt00kNUmk2APRbPlqtcXyD9N
bHMkaJnEtpkpCNCPsvoQMfc36SkCO5sMAuowDRNBAbXmQ4pO4LCVMwgu4QgVobQ511B6OcyQUTEH
xc0HBvHfh04S7LY4ycnnACQq5DzzfCMOH/FgOD3FNx/2avbWa0dTOHXoPJXCtInM74wMm25onCZW
LV3LnWTA4xl9hhcwKquH3icKXaub7ntG3Jq+61wGzR4qqC20bFpIkHDTKUug1/HPkQECBVeoyYGJ
xwmnECVOr8qqq3WJR6RDCUwiieTBnhroGCd2gtsawbcS1RC6XJZhelAfAc4jeupmzEOmE5/tClEj
9tSq09Gqmso283eqb+PCbYFrMPwaCsQ47zpwfWPdUcYXqJWgl9da5WeSHMV5LwlHk+8N5blbNj51
O3WysCt57I76pmnDwbRxq0kSp8LFpk28RA/I7KiFbcxhl/oV0pcSQGeWay4X9z09jmKoxY+zhMc4
wn7Y8mjfGo9F+tkwB8eqoJ6m+CGluBCadq4wi8sN9GpDie+nfM/F2OOQWlCTtyTZQt7GGjK34ttS
fRKjkxAVlq7aWeTzyW3rl1aQkb0PYvM8lkELGYPCjZQnAb8L9UxzSsmjWb6bseFoaeWWH5Lq6pKr
zL4S78f0FA0PJjJ8fZ/U30VNAdh8bMGaN8vCSju8GRJbo+bS4UUkW0grAJkKkhMgxAm1WsOWIq9E
aVAyJxpCabY0bFPtlcy2Mnk925mTi03LC1ebXVGzld4qXtsZpYI3ZN95DexubeHfIfXDdDuXd4nu
QoMIXKoUS0aWm6jDyx0eVwFqWi0x6kG073NjJ3Y25Ba7zDfHmwxRxHNLr7wEj8sMaVhVqAYOpXYj
q/aoPVG18SX2UKjbrMQTEO9m+l30t3luKynwM9FtaaoOFJ76obRanJBT8Zjym0bcCYaXSl5suhl1
AAErutHSh5uhRzL04hrRm6Uun3b8m1S3WulOyHMinIX514gksBxI7DZ6ZdF9qn5lJa6eR4atrEhI
EDEUb1OnV3A4iv6iIdlyVA7wQmpC6EOy53aniNCuUKAerB2JBB3cAOdTN/ldveWZa8gb6EoQaONI
o43zrpQ97IbxTlJ8sTmgeQy+ODwKyeFjG9+2VW2XiFZsknnKbDY86EPApJdcuK2mk9zuxTq3ZHrg
utvUdgWRXm2yG3k7xEE323CDGIWF4U36BgBJHWpxtXmSMQyXKOSajmm5AQBB1lxMq8DoLyorqx4S
sktqi0M8ttxCPVnjTqx4ouo30CwvHgfhNBiexB0dR3V9kMagQdTmJgq7D8Ru2m5ZWjt484bIuTWS
O00J9GFLIghy6LacPbdiYkf649x86vIeI5aO3nP1vs3CTgjHOGS4nkqPiRmS+luFSsn4jIFZ3R3l
2Wfarqygw1tYOU8sjuK4TpYdU77Hxls1OETYzHEA4r0guVrkG/xuZhvslFGAsNO3JntVwa00fdTL
UNE/5RJQE6g6ZaFkfjG6zaoR2iA3BVmwzpZKQ408RPUmeTSFbay7hWLXmj/ldo/E3bgahcq5aFPN
qylUBICLu+fDPo96R6qeAFVr5wB7oTcOZuZpOtQfXlLhTYVCU9dDaEK9V7MD8HupthWGGzZ7VeWb
3Blk/L+NzaK0UZO9pnjImpXkzWRvGGGlu0O613DICt+q/FpIz5l+3+Gr9L8yj9lbiXqr6a4GLZra
r4Y3yt3pY2LhoAUj26EAMepQZl8MG0c3DjlFyrAz3YaasVmexGmryA/xuBHIO1QntAhnEQBoNoZf
QxIKpTVBut+0Uv1oyM9U2uoiEBvDhpNNCwEPcz9Ofk4h3YBw2pN6l7dhPCKh5K7Y+G3kEg4ZtGcR
yOdJCVsGLBGEGjYizupM3CyahrWLAlaAJDM5seK50J6FGDI8t40SQN2faHYzbmYIqeQ36uhB7VnS
90OxVbVNMbqUPEyCO/NNyd7Ezs3hbXxnoXOgfdPJmVNJPpgsURPKrdV/5rgmUHCFoYtSuPrgxvU9
NG462Y5xUJQ2L+/qaqOPd7lyEKcQaiU19U3cBgZnVA5KdNOWgcIfZQCUIHWYPffDCTUj4Vu9uePx
R00eY+E45hg43cTSqeu9SYC4WbvNPyTmQTo5xinK4dkJPCWn7m6ha4G195NVAHDVwsWuZPiNcgLo
Vx93qRigqYvL+wBKc3aQ+CuRvmtUmppo8eI2huZoAQGPXWfulOyWyzvoonN0KPObkeIZE9ThOBAQ
kfZQ3Yp0D/3HLrMblLtsk1UeTTyhxiUUp6+jdcGYI5sGGaGW2rrzECTmvizdeXTzbJsYp0pxmvY1
zVFDb2pxPzbuRFzcZpopUFEhku611YKK7KuF9On3yabOUYVFh1E4TMmmzMNSsUjhlhBlEdwys8Vq
U/U72to4b8qPmnuEQiPyODalNTRhox/zHPo36g0qiCHz88LuUE5NB9U4FeBCicojfBCNOwRJkjnS
+FLnOJmDrEN57KWFo9G9kh17VAv0o2XbBiO3hJ70L+SGFBotkBHKbZTzBXFm5blu3mj0BdkkfFK/
Nnc9Q7mu25ASqecAEiSRaGk9KhjcoXU8VHEqWjuLfbDBUj1oNF+QHNYdSLyTjWc4rk685l4WtsP0
3eK1M+3YyyElh6gJkF8l4VNLXB1XMAi+9McaN5kHTh4o3df8y1TcbvSBGqAASBXhiEHaDH4kKsst
nZH5rDFCmgW+M0xIUGko8EJqAIwepBxs4hFa6aoFPr82oqw/ahmg8RnkCmNrNu2J7aHJ1g1QdkG3
4pDV4fywdAkATMNpEzlp77blQyXiIRUftSnIyFH2obGwYX7KP+lc41tu9WmrNa8GyvY+kDOPQ3Co
v81qt4QiY+KCqD21fpkHVA+oGWrUQ9e6MB4E/alRP3H8SuYx43sJL7M1KJ9DuX5tPpLxEXhDQXZj
FE0d2pSvbX2HKjTSvyPEZIET4MCTz1z0BVxxZEj/uYniaYOKa69lNiGYaXW/FbJQGB6zeZeVtl5X
eFYD5aRLmxtzCkroIeZbkzg83nAJTQiUtnaEdzYMsKGXpNAS3K6cOQK01iHLaxkW0LTjKEKu/aAL
j/rDwD0lRiMSeu27wbxROghbe6ZyJw6o259UdFQY0iHvXCnFsCKolKOMU6XwmuoE1cG8CfreERuL
KKEmhsDnsBkDakcvfDxxxc2j0Yf98rCehfv3lDoD6jc99sT+OaMEn/s4zUez2reyh81OidfMQZ35
mfyQFhtT9CCPjSlrk29BGhxPnWItJDrcqFJbGXcFxJtGH++GWISeRIrWboAhaUptRYKilica7+V4
U3e+WHqmeqSZg7KnaN2euAVOUhRpxraqXDT+q8Ruh4NQ4xbzEHf7uUD6zyFe43d6b/cT2i6gPimu
irlUEvm4ICd4a0j5lrOtMn938acy7+i8N4EPzB5yBBP085EQpxJ1lDc2+54EQrRPB6/mTpT6meig
KEPGIaVLtFOmQGDnI+U70CIa3PTRSpPx7o9Tmx4rnJxvRurGg90Cnj46SfzFGy/qd83S0TildDMY
wVwGA9660YOqxX3PBSxoHD5LRbGTaKvGOKfv53SHzngHRVAJaoT+MPilYZXmYXiN+HYuHQEPPeBJ
F0ybW3tGpwMSKP0Njnwt3eFxACrsFm3DKSzxnkSJBywsYbxRjLDjSymjQW6pzp9wtzHNA9XsmEPM
S9ow6N0qIfnoNDRKaFDooQgvGlrtkBzPBJiQNnfxCMKIINUcufaBj09UD9E34f0KCK05dbar0/0U
B+1bzTZxhph0U3riNJCTx34M27izDXkbTz6eueg59j0uFQBbpkuF1BsOxfEkg9EamCC05/FBizd4
x7BLPR2PC3C8oPA40o0W3Y6a3817ZkRWLt/IKCuelSGIdcTRNlZuGnoEud8U91OGO8oeTPKmdtvi
iTGMUCo/agNMr60K2BbFgypVyTwJchWlTyJLzg5l9X/YO4/luLVsTT8RKuA3ME0ACabPpJcmCBoJ
3ns8fX/JE9UlUWopqqf3TlgkVYdIuL3X+tdvdllxxqnPKYrbqVpTnyvCVZdk1Qw3eXYyktccUE1E
Z2PajsXR1s+2SgLGJmcXHddaeDDQRSp+D58tjV5SdOXsGFXnNCHP1jXOEYtPL5OPPJARpYG+F/1a
RQ09apfc3s/atrM1ahyESk7O2ht5c+Ml8brXv5mSYwTfcKES4Z3Wv5IQUvQQddfYKLQZr9w73YJm
+tV8l073Je6pyT3FB7CYyO9YPabwMGg3Yb6eXum11FMXrEJ9Jfpv9dK6YeoL2e1M9qyNHO9725ek
6lpqWcUmVt285AVmSfArwCLF05JtPXlmf2JEQE9TptZqmF3cDOlmR3Otl8eGBlkws2PxApNs5Vec
RykwyUAS12SgdVp4WfRWsT8INvcE2zxIfge1etdLb0gei+g1Tr0ZWCGh03/OxVbRdkrisw0Yj3Ox
sUgAst2cTZjhWwSTWbbImXi0ru5xwZNo32o2Jw1/Z4qdzEnzeyv06X9MbsNEVX+jmK8Fa93sDqaj
LefC8ox6j6WgJu2zwB2bB2zgGK8WiTveJfF9Qu9v3Nj2QYnfZ/NedBz6+1Csm/i2+0ac6ACxscye
ZfvSlPso8YLyaFsej0bZ3lg0M6wj012drtVyndfrAEPR7C3M6bsZc+Y4taXbnBCo7DiWroz1qf6k
cYWM74u8LrUHQ/8yjG6jlE5MR1ipx+U5C0ELt5gKqtUF8F+WD7RUVrefmJGhyAWWRCs5yT5HjaRn
XtK8rRFIrouEMpcQp34jhm+BgkDCG3kXVHQZyZGHvY89Mqdy49TLtduNG614m4N74JmA5sRwJYFi
6UZE3mD5ee1NwXvYenHALnLGhq0f75lOdtJTEn0p6hP4yBKqvtb6ibSt0/fcdvRwS/kXKyebFVwa
fLMIsVJhFweqAcq7nUov7bf2uAlCtvBLjzhw6f1O867u4fExX3Za4djfRObW+AbS6rS4lGzaicbp
YhCtStXQkBTjswVYxZ4V2xKXIn6Zp32Y3lTdTQ5Y8NSaDqLsUqEQ20/FsVG3zXKbFLQY6/Y9GDgB
ryCI9guWwKyrTbmVH5PRGangxVeGsJRM2TPWtKw48LqEcuWrlfhe1n60OGp6EvkzlmjkBzE1SJDM
F0xFsD1YJapbdKdZuJn5lbZm7nxQ8dHkGaTsI++EjWRtt6/Gqw5aJxjyHizjXTX28rmGs2RCnwZ5
Bqr0rOKhNd/Dzu1bWCuunXxTCOwBQcMmWT/U9aEa7/PquS6OSUPJCarn2/m73DzNrWvnZNLgQMqE
xE9xxOx9mwqqv24mZb6uQUft0iUeGpGMn5YnpTua6rHrvzbKuoxdTClD1Y2NG1PaW/0taliyLlZ5
vxsZSneUtEegnCSlzNjxzThR4HiWtJ3Vgy2TLggzs6AH8ofqrE10ACsrvyva51jZhK+LBVSzMdq3
xODNBrYE9xbb0PJ5QrRmnRh+uNxpNilGmyB+GJQDroSpRrvrVc1Tlu2r0Ku6nVr4rfIqlEvRXyq6
mJJhxZr8L0adBDutG/O2KHB+WVv6WkQujXNmrBf5GFsUWGstuLeCdGUq2CzvQxvHRE/V2GBPpAti
1erMD1rIC3M/tvumddPhMqfrRXvQ1G9temIFW7K1aDAGdBgukZZkA/rhgh86wEhQNTvlUCU+2jhT
Y25xn8w7xbr0/Vaz10nAyCTbB9e3nJfXTrY9mcCCUYlDh2tIYC2ASQKg/qSAyuq71PIa43nWjnOD
lQaA6C5jJJOxnI+HctzmI93SaqLxKFybqdjoKLOPrUrJaXRbEUTswTe5dh9ZZCRjWW2ssvI5qV+D
4kQOcUKNqnhqsDVf0gWPfsgtvo1RJquVInkNcSnKOQk8q6SlPI7GV7tylfeeEYX+RJwSBoiM0cqE
qU7nNpO7VC7c7nhyiMxL5NUANJzifcoLsbkWncM9AXLWQIrbsaJonGGsVQw5MILZNcaR1nbMqUxq
B51diKUn3bl+MKdvFLhN7gbsfLe94WizB2zQ8EBQFlqbaVzj1MT216klZw5Ae5Iek8Zb+r3ar2PT
b7/05OBJx3F+n4ZNrt7R80i5H1Vr+n1quY7dXVHBtN1IB5vdz7o7K0zK1nnqL9Zb3T3owtNfrqDY
cCuz4jTEG4XUM7tQxY3NMzqcVDzcTF21IerFsbpdN6+jxeufq3JjNado3g3c3ge52KX6hSAjHR2X
Yuya9Fw0bpd6SnNkKSBYahnvwxYOwCaJTz2UiHwVSCvwPFgvSeoZ8MmmvdHhiHvMYEvUQJ/bBt34
6Bu0DRbd6kpMO0M9Z9Nx6bd6sQ+mzNWmr3l+nBcvUl4sJqbzdgz9SuOzfBuVF5wlMhKdQKG9Unft
ws9HfNnbDc25XDMxuRXlM30RfvCFysu30VNWG3klVSlPrpMs5Eixha7Qk0eUMrTcMv3ShNlx9Vhz
tes1brPS/Abl3TZ8m9yd4ELZwnM/aw8L0CHLpkTgYKGAl1QXU6tXEU06aFIrY6uxM0kzK57o+inV
C90r2ge1or557VG/6eul3kqaI6IbPWAx+DLMqMwvs36jhNuAlUQtPUHLwNhB7Wh/IfqdR7VbyeFD
wFtZbYpiAmDyGv00Vf6oAuysO+s+xTbTCBw18uR3KYPnfcrVtRE92dW6buiaVkbtIk2zpec6xhdY
pYZzI9WRlcdR7IPy0FEb8qkHw6ENCepjERVMeHkvbqaEiKt1Zd9FSbNKRq/Kb4X9iJ1o0Ph99Whj
3RBaM2AdKGnr9uUmG+9lgIzYmfDSafSL0npasdfouCo/zna5tG8nbJXXdudFZDliztrKzE/u1QXX
YV+bN2wJQB1j/EAbPaV3i7VG8mz0eym8CdR7WX5YmodGeyvbja0vfKSVimEdz6rp2cmGBDnEnrX0
pVquHXYyrJP23ozvmuHhw5rlLU1OXQumv4MUIcjHXLRLcs15A+Lo1xbTrfqcB66Uru1pKxtEpB8t
LHm1+Yb4MUu7q8WNVmKiMt8EDMfKznKHTFpVJCPQB+Q7S3qY1I1Qt8UQ0yw+2PI9NrPeoPEkPZXS
nZ5+17vXsvS6EmcWx7AfM/rOpDiO6iqaLl34pESHyX7JWNNCPweZULF0qFc82XjL9/pZaZ405d4m
7VK/69IbO8AXgbVc+EvtxSow++C1At3ceS5INFgTO5Jka7VzA2ltiLUFtjMWh4X3HCCg2tgFFi0Y
HIFYd6EnFZcwOCwsiVH4VSgPefidxDdQHGM1jncz2VPNPT7mqyR7w4aqx65/Yl3hZt0VyxbuTx09
Muc3G5m6KfNlYKoyfY3bcZWnZyYqY8NRjNjpWXUakP0ye6gsD/dlnhLUSok4Dxi6osWN3qQ4CqgR
DLp5wkoHNHBBNa8xadgPsx0QZRwei3LEPdtGYh1kC/WZXMqukgcHK+rPxWBjfTstTCe7YthEZppv
mqAkzAEVnSyYt0AlsgxKKrlyzch28nl+Lq7Wa/msyW5T19pq7M3ntCNPNciIululyhIq7GdqcyET
OExXH0Sn/40mIsbkD4ayq5f5VzfZ63/ybzdZ41+apcuKIJ9d09BjQhD7t5ssSWy2YSsWjCMILNjJ
/l83WczzrxltOO5rKsb6sgIj6T+xRDYDb9T5yA4xg0V18F/46v9CPyX3yEYmaig2HsKoBX6mcGHL
XthzM81Qas9JUgFJa5sKzHOGopPq+V+YaThifWZzmZp85YuZqomDrmF9Ot6oaAYTZjHh4r+wCysW
tL8vgWpHX8sSmeNFxUI9BCTNU8aLZJMgnCpj0cMyaLRaphTQgYeJ+i0ulpFFTirF0Gly2vdWbsKN
oYa6m7fWSZqj50rgeIiJbOSGitUweobo0U9NtCFs6CHvmeUnudlBd0k3vU5jnFuE+pZMX6Q0cwyt
YYxpiDjZmkYLfUQrBiYzUyb15c0UdMrDYhXRObSGl07PwPDtziUZZWMpNR23/lIH6XyfpIr2bFZB
lzt5nUgrNZzjnTX3HXi8WDZNG+W3ZR2MntHI1RvgWnqN8C2cMJgPitbd1HII5z/YRrKpu4WWwze5
WniTPHmcSCZpbShVkfHW1/VmgOLkSSH9fmtSt9mVDn3W3k9VBGcq0XagBLDL5CvHRjaPWfEASU3z
Z1F/k41Q80udknwabHo9FX2KoXn51INldBBB82wYNh3O9XKSbyTs+JGkZis9Hl5ziS3ewPIxrTvw
hMJ6jTSYA5EUeHUPiGm02jGtMrZVIZZVVcWyO2BnTsg6zbOAehSpg7Yxl0RZ1eRsO7WuHdopWgt5
OY045GflfOh1TTAZ4JqVg2BOZH7JtHIGQiGCU0TWceroNDU0kHgeTOTx9OX9TIZoiD6t2eThcDuJ
rqfUbIJ43ehFflEm0lO1oJhpJdg0EhOJTHwlZFr2uSqK9qD3igj/Ry6OPy10iqzxcv+/nbbXGWrA
d8jR37D+6eaPzLZ//pt/r4wyMcOop2UCPQwcpv+zLop/mSx7BvmUKrkhmuCf/p0+pfwLk28Le0/i
xWVMqeE2/3td1Al5w6/HItz2urzYxn+zLn4OLSYQQDMItVSuIZqsWR8y/x+0N+E4yYtVlWTqplkH
O6OJTxJUqx2D+VM3DYprZhH60lxK93EgK06v1qVT1qmbgP7DuSBrikydDrKKVTWjg8lfQQ+hOnWG
7t3uCzjWcHZao4aZxmvp2xFMnh+u9/kfxveP9t1XnvcPPHBSHXTiuBSN8Dq2EhK0fl7b6zrEsn9B
OC5zq5y2j9epBENPCmBJFqo6OEuN2Yot3kWJvuHPx1auQphfDm4T5Uh2KZZ25qeDNxCaFCU3Or9h
LmYNpV9nGuAp8yI8SkaS7cJTZcJMI0DoSsnrnf+P43PbbOhcPGP6B6X3h/u3KFNazbre+bnVnnGp
JUYe6oDTgvHkIpQcVv06Hl05Zu5hGcQF/+X47Pi/nL/G2bNT81ga1qfzn4aOItHg4hvEe9DuD7dh
Aw0WPp/CFDOy0F50oSus+K0ZrIwR5wwcROqk7BU5wyligaW/XJLff6Jr6iYvl2JfU3x+VLh0UxQE
2Ex1TNTAaJVkiki60eu/SdKvhPafb7yh8roQmohBPcYAnw7ThpbWDnXQ+9OilO5slYnXTGbyWIG0
p2YXbuWQ8fDSlo6lDspNP0rjWTQNKIyo1X2l6fjGTKa5S2Ld+kv5cb3mnz8auZ6yqinE1JmfLYeM
elAxYO56v63fRRBqTN6iNx1x9gz8GuuQcswgqf7yJPx62Q1VJUgUHzFFV1i1fr7sQZQmo6WVPdMt
A++LwGbwTnC39+fn7XdXnVKQwDyo+Dq0u5+PIlutSkRPyqmFBLktFqfRkJ7L5Eap//Ic/e4q/nio
TzcYN4wQpnnW+9bMsKrPBjfsk/cqoWLD3ruldIzcOJr/4lqmfapUWc0M1cLTlcwD0hkwJ//5DOco
Na1x5IXGwgHSi9QVN3Yu77qY0m2pVH012KeIQLhDBTLbCZ3A83pgLKCj0ZNESpNLVTMmdFyjqd6k
mQj43Op6MFl3rX6g5EWgURsT8FlvD4TSxd/J/158ku0OwTwNTtGE31vo7jdzeibLY3bC1EigzKvx
3mKM1l2UXvqq18BFf761n9UH1zPXZF3QBBiWUH95bK02JIWn48XNrrngyhRftK7QVlHIWUnRcOkY
MtfjIMFrse9bssrB76BXFtRL02QMnlncZS0cHFkij6gHS6+scnS1OWEeBXmuGHhY1GFACtZAPc2M
8mgJMEl4BXVNR4o2fm+oenKY2rc4L8hbtJgdBs+z2SYwPEE11OTpz6esfDa2+Oec2buuixXRGR/b
8w/Ld2JnZroYWeeXtchp1EFW6uTbVAJqtuPDkpSps/SW5IyGMWFSz+WQjO+z3R5l5pjVkkiIBt+L
lP+V5S9qbJZuUykk4y2AJCRXOTREa1CB0tE6wqAIULy3++DGll8TyYoe8qnD8onwq5VUwwlXWc26
IZ8dPZDlldzlu9xuMXqT+Dc9yS/TYF3ssnro+r2SJiBDc72yNHFQO5J3CoOJ/C5ZkPdpkVBX8VgT
5z7gGUeABZ6aE567BFjGbgmzgEBK+pq7JjGYg5kSRJ+i97rBCpyyINcQOKjRJbFeBMFDpcq0pNfj
x9hpLAWcv8MWzAoftCQ+92I4NcjnsniACjKPbzMMWEeqihkWCar8pV9lgogf68xs1Mylm6Hq73XZ
6JyRRJxwjHdpqzPCrB7qmNJ91jOAbWBlGI4djmMd6LLRqKtskG6VUjCytt+ixngrRXM29HuzBBLN
awPakklErP4s8ihcSfa0yRUikQOhmSR580eaoX/ARG9wE1zSfJKDtBXrVbwqmu6URfNfnqpfFy6L
uHOiRA2iKUwhPq0gUxsavTHyHvV6Bylw8q0hxYIpnu6DqUHwGMkAMUXxl/X/t0c12HVpd8V1I/h5
3bKhiFv2krLtyo8tOvK+zL73jXmcFumh0Ykxtc3nv7w9v9Ze1wxkQvdsunoT/+2fD9mGNn6qGaK9
Rh+6VYEgY56Su0bqWq95McSweLa8k7urt7SxnP988F+Lzmtu9rU8B1fAVvy6Hf7w4oa9MSQjEhQC
vcrnqlHXyaxKG31JpXXVqVu5w5jpXRrBc/983A8N1s+b+1UeZlrUuWjFuNQ/HziXyT3ocENB2CSO
Nm+Yp+X54GThPG1SxpM5PYNjDCTQZdFybFk8AQ2zFxP+kNErf/s0v+76fBrCc8nnEYpg6/r506Bg
WBSzslt/mqiC5OuyEVapZ4d4BefWzJs5tsqxFXCJQr08pUHgZpmVeHnEeNdkwmYwbPrzFfqsC2VN
tcCfzGvgjIGI7bNNQ43wCasG0foqiahOlklehbxvPUAer8L5+3AlNLd1CX/QVAlkC7KnXCtvZxHI
+zZTvqQTXfVNq3fbyEJ+lF7FM2SHJSvuq9vJ4T0RtIcOcPJIKTL4yNOCLsgP9RJ9j3QiroyUP/3n
U/ooaz7fdJtUJTpCoruNzzVtqEuSFEQMv4W+2H7hdmF/xGqJUcZArlympCUswphZhKbngL5TSmoS
9PXMuL74EOfdVjZfVPJaV+ZQtA4Wy2NVda5pt7a3QBkQY5bBgYa2lYaBBk5k3csqJO3QjAgC1meW
MHtvAzHcgD6M3MpNqLGtMje4CblGZQy4++dT/mwq+c9dtNEgavi3spxdhew/vGCB0tj5bI2tP4BO
d1F0EwmI9JE03yy1skf044RGpG+iUYK0zKhlVUbfk1hyjYiCf8D38obyHLFMMJkuDeC44tosKxRi
qjMm5XOO2owpOs1sF0Fqyl4la3xoogy1W8EcpCf+bk5Nzc2rRlupxgBtVK00BGgAKCGT6Cpo4YLF
88vSgv1nqQ6ME7Saq8rt3Via73++Gh9V3y8PwA9X49N7NnbZqIcl/MOQ7HMMnecGYilAXyny0a1S
K4dgzDY6foych8SxVVKshDAehqT7i1LV+N1KTwHOJs0qRGjWp6XPmgd9nI2+hQggBn/ULcjVavpE
iLtn1sq8j1GROlUM6a8JQxaETDnlUwmX4TrG0LObhQ/OJIvRrVHZCNSKeSfsXFs1i8R46FrjJEXt
THr6aqj8kbguXzqlHzY28SFMvMjY42Lc82fvG6tP3EUQKRkNKHwUC1wwt+LvWdHNsPAhJRFEvzbg
W+eVATRqd/MKu/QrD4qRHzrDSGWJsjQLhruMcmeyeyjF8pOmBy+KKB+I9GVvr2wPU+unnqxqrY7i
fVyTPN2E75aSZH9x9vi1vQEnkhVdpwYGDb8iTz8+9NfOIA0SllNLT1/CgNGTtCDYKhdq+j8/Ub/Z
v3CAMnSbRpm/Kl9v8g+vV5ulZtGUSutXYfE9qWonF9UNS+cZ1zQcodDrFbke4bqh3//5wL8peTlH
Ys6RwYPEy58bZ/SpfSUCg+W5YDQ1JNDWrUnfpF37pmpiQtgauEIFCDUL1GNGKMdePtPJB9T1Tpqh
UBLWuw5C7C8V8s85gjJcxiQJkt3854/6mwcdfy7SujWN4oLG9udr1IVxrQaJDOk3QrI31ruyTV4G
OTtPkoHENv5OYu7fwKzPsRHXdQ/ET7UtYqk0w/y8o9qD1E5xzNulDPjgMuNi7XeFiBkKi31oBYhe
zRZyga3dgDLcqoFFOh4qwtGGEU/w+XnSms6Nog57i4BCc4nn+1gZdx0293++PNcG+NOaxCdl6xTc
F13+XH7FfTcYqBNbHyV+58qVMFkHsZIwZfjdRpR8//PhfvvE0iJZTJIIJfy8B5p2koZor1vcYA5j
px50naOqhXlkcdZWGc+vYy8QEqS/PbC/duQWoxyKaVK8OV3r03qXtEpYKjrU2nzpnsaZObmgOwwi
AeVywjQW0y0lpP9Mp0hyzBAiZGK0SBBhfY9BiAgvv0L38gAfOd0uuH38ZatUfrdq4Dp+nZbpApn7
p1VjnHtjidqUN0rSX1hVBhqZLsHarT3QN36LYqrjQbcQJtKvifmu0kM30JfKEw0DeVax76TA/83/
Tf/d/aJC5k7R3eKk++lTdeFAbFaBQGbu4e7K+XwV2hibrCXmZJopXtvORrcYhzKsAXSzFI4bbFsi
p0+s/HzNKFCN+E6bIOgk0XjXK+ElwhT5GBY7W9KWXW1Fx4WVZl/bdY9A3ij8mELzWLAv2AmcLktB
gmSj81gqtolioISL5dn0ItMentr6UFR0CPEEwrNpu+4lm4xnnAbLjaQl4lGtw/eljhEXKpE/FtF0
yBS2Na1Zqn1JEg9Ryv/9imzZDEFZjAW19HUU+uOKHElWPBuFCRE6hIW0QKbs9WXwxgLnwbI37uOo
v5hS8z1BAvPnN0u51lKf3mQcnXRhy0KRsX74tNDFiQLc34jaN6cMipfc6zexFARwmLXUsUpTwfG6
2Q5DTohcAL6pabWxjWbtLwvKb54YeimDee91GvHLzlAV1dJVll77aTyfmiuNqcauyIvHooSFo7xM
zDaPc1nsE139m6/mb4B8i4OD5tLE4If2GTRVlyBMSmSPfidmY9WHka9a5WtSheE+J3fCiyUy5sJl
2SQDJJsIFvafb8JvVhlbBvLTTcVUdMP+dPuplIrOjozaz/qFZDR7owVOYrXtKk5Q8TTyX8+YVkj7
zX1XGD3ZwhbX/PpPr6iV6mUfLgrHHHL7tVQFZJ6qM88ToM067pq7rBgy1Ee1fS8ZlsxjGLxrAtWv
IGHYD6eAlGvppUjkyOvzGY1IDEUmHbXw3KvdvlVqBM2Ye0CrjmKXzG3pwQpap5obA4OINt1L6SQe
WyCmVg6qOzXKntp5QDnfNslLN9lrbW6zS5uhdyMq0mAHlGl7iyl+KLpqxBcBFUeuTpg96vrrYEaG
N6oTRC56okOoXP+QrgQvqZB8iISKKsu3oDnSvR5QRorReIxtTL+Av4JDEDO9LUtdOhvy0FwWFZl+
D4WewUb90H3XSuzd42kwnyztsV+U5NsArt/ABGr6GP52ZF7K0ZAOYwPjt8oLem4rCuzbRJDSGYbz
Lurj87LMymNbKCRezZr9HLRJ4WuiBCJSdf2EK9gjlUy/aZJwOU6qvDOqXtl2nf2VJig9VMqU7K0l
QwilWsXjNCf3MAF6Nx8Xm7y5bv4SUbfl2LS+6KWRsXaoKVYc6MJSOSNGfe5LqOfiTY2q5U1OIbVa
2Zcuj6V1oeqoLHBkOfRT917NLcZJ/YgCwMrL3sureKHfw8EjLgs6sC5bGjdOG8iTSg5VKB4mR2Ra
u13Kiqq+z546KekRNfPTx69EtFjOEiAi1WQRH9nZ42NXlh2cZZUUDn5SrMpAioP3SIEIJrl+KWV9
+Oe7j98FKTLkoQn8eLLWSaqRRD7X5v7ju/98GRmDI0QHk7OMKl/PsWDbU8v4EIxzfAh1PAzGED+I
MEjLXTTJBNDbUlfuatF8ncyS7mUJum0cjv3247uF4EzsB1Ri7odwOUlls0CbhPYX1KeP3zD5m09x
lug31pLelI2574rAOP/nS42iIqZWOYocPY+BBZlfAL/ftHMxUeNW+sOUatFNh1Zq7Hrkizg6QHak
pdraQ/04cwfWkRChlylGcKdbaEvmQnmSorJEIEQvI1Emy1Ul3XaVIkF4ry9DJjqSwQvprDRgx3bc
+cEkaa4RouENoxTJb4sA7uPHnBL/MC8Z3O9p0wxSLsFMTsczZUIzzpDlyCbuz22KFjrZqQTSXerM
hugmTdlmqGrclmuzXCeymVx0LGwuAEyDN83kwy+zCfxuDtFOk+NhFywV5h2agEM3J5lP6qrwukIN
Hs2klZxC73JqKwsZz0RsuI6sMwmH5VBIwfIIRWYrYc50yeWmecy/Ztdf6m0EF6Un9kGrhF/TvjyE
gT3fmVdxklDqh3rG3KUlWB6MHGG4WfaM6GiJTyQBaKeP7yhdR3oNxMItbtxjR42UzFqzF/Ui1qJO
v2qZZWyF1aHCjTKT51tf6R1SjGHKQ4fxWuMbcG5yzuXhilEiQbOwlDAwM0kKTbmT8SJZScO5L6vW
sxdO2x4C+2GICtOVJ0v4WsqBh7jP3EkZq4M0Q6ucqnbdqjulGbGZAam/dMPQQ/DXnwcIwQoWiSdz
VDWyA3hOSDLAiajJu0M7livdrKL3yMxxhtBDAwxCrjHtQQM5tMg0k6LL75a8v8zWZH7JE9x42qGa
NtIktc/GRFaZyB+1WPe0SgI4LpLBD/La+nIVuqqz+ZX574SSbeluWtg3z4bJoP36e1Ojys0qtPjD
xLKqWWX7YOoSPtsNZkd9FON3sSDAmeOvLCTZ10IL+L+ndwkq8LOlpOZjlKByivPHqR/7i2bFh2h+
rPRaubcauzxZ+fQQ9k3wYMRLekw66e3jpwynnUPR4lmQByXSx0LiboC9XthkUBeawZ19/TJ38H1K
HKd2GSNQt0rUBoJTD4UJcAk1rzLj1A3nKI4rjXlbOT9kupGisZZfIR7lTl0mOCFNkXKw9fi2aYf2
rrt+USbwg6m0VAi3KVFlgwHsXNgjCi6VGdX1x6TvkrsYQb85yl/tvBn82prEzWjaz5NWpPRrJu8i
hli4AAkYxWn82n7jRo8YM449m4+lnwNT0I8bWBe0xpGxXL4qptTyrbpjTDEiQ2PBM/eGZFUemcKR
O8XhfIL1NZ8+vhsiCpnySvJapGQ9TxrzvKmF4JlX0cnMHu0aunA+GDbQWKju5EFTdrg4yStRk9Jt
Sqa6NRX2Xru2lxt7zsVOA1/DRP4oZlFCVUtRZlS5jItJYqM8SeCLGsWaEW17UWM5hRqui12tWtUu
N3WeUrFEp4/NrtT51yhBYQPouhw/vhjMDZQUzwm5bcK9biNNCRV1owc48cTdzoy63EvqbyVRHWag
sOeAs3ECO3toN/iDNzDUFdstxeTFeoe6Xg5DHIUURNplvlXn5aahjVgZOurAwfY1rXqP0/Q2TQON
2S6M1SX+Js2N31S4Z0jjlQuu8ymo+4ap9UqsOhd1YfgaJPs2ap86pMeB2rwnA9L0wqeBcaYOZVVs
3srSjFY77i+U824xQUnBR409f0AUWlNDSrmO3qV7UufuvIzXqXJ1ygRaiahnshToMEmg1or0yVID
/ACNN1WNfDLP/EndBgNKklT6Dmf5OKvW+9JN06rQCKEIA4pWYY1Og0fHJHeVwyg0hopXDp7oF2jw
c72lGUq2Srk89rN5rs1hwamq2qTNstHm7ILJiI43RJxV42ZK9GKVTAr0+MVvY8mbB9VPQ9M1MkaO
Yv5Gx3mpNOars2h0J690EEgouVw2SlaD06oKamU53Q3dMO7NCgl4PThmYtwmurw4favjCzcEVAUG
eG2QExUSk62jZFiLxKRmLFl3Kezg1pyXGkHRrPhtQmUiyfi11IpwRtA4/OdOWQIhcFnGzinsHAud
YptrJlYshXSKp+klRtdllIviyg2MvERTvhaVfAQqGRwLOZCsumKh97Tb5T0aY4zGBnXTDTxf7EmD
U0v4WTdNg8GIVB/UVEaKzzLh1JV2lhucbVojS5xBSRxs8VTsMPB9Anw2eFTTPEPxkyatV0c19iUS
AYOT0sDNGwZkF0PqhqV6NCT6CLKS4nU7qPZuNlkS/g9r57EkN5Nm2XfpPdoAOKTZdC9C6xRMMklu
YBRJOLTDAYd6+jkRf9X8U2WzmDGbTVhGMJlMhnB84t5zPVz8/YBiPRJ/rFoQIuA3YlUseGuH5cXu
Yjpkx3dXSRBsPddq1kXdp4ciwWjC4N9ep7JFFZhZZjuHLC2C5RrKwZwmKbM1Kdz7dmwurpN97pel
B1zjn5gE/qkZJadQdTpTfUR5/kd0IGHHpW5XhsoCuIzeFRWvsTd0X4IBdKWjEBhgBPZfvafMYhmd
xgNnHTatyY71KnMtnmCcHNLyrbXKARhGu6bo1MYeTXkdknS3uMEPVBzpqm99XF6Bj37SDFx2nQAK
2xhBq+kvIvfKTW5PX33HsvbhOD5pNYhNxuZz5bTj2TRcl9QQYrzJ9D6pgcWk9nLsWvOr5gKIXyB7
6Wf9NOTEvpoMi2zdqulcjPN0fnzVIdbUaWyO5OBdGed4+3FJ1VlNojlnIW0uc0bfUdh4I89CCkIa
a902q9YO9TbO4nrT2MyMI/A9Q5Xqc2RSjcqgw6/d+IzgHw+aXLRn1QNQmMZoz+4GfqSlmSgqfJF2
XLRnl/4Ge+uo3L2xzTW8/4OtN6tzGIScnsDn+JRGq2YCgjM1XrR+/O6ymuqdCPNfrAayM2zP7BzQ
u6/qrIMEpAeX4yq14YsV3dlvcw953132oacF1kp0I5Pr4KaaMMOk+jmkqgagU0CjG0xzNvcnochZ
LsQ1IUlWYpmz9MP50Mz+XrJsryZ3hLyTMsvhmrmyaAJPkcaTK4LO2kSxOcwK2cg44uUWodudHzfs
BXdh58YHbfnbieCDo+59D4laVdbrUrL/b3VUnzPfetdWgvXqfu/xEC34JavDfLvo6pxBvz4vlazP
0bR8j3yKJWEQljGIQtodBC3S6aVvVvn9WW67rgESstRnfj3CxxI+830ljnnEhV/a5bknOuBc3L9y
RrlffIl7tDZfoyFpdtxLcF1x0yxhv/Nq50sNu43jBP/D4/G8jDkqH1+OPgwiUogObT2n57ko5Pnx
VSyXgwWIZklGb9d5znjI1LAPdQtaa9Dtu1QdmVOPuxYk7DNvKYPFzcf9JOnyIiQRVpafHzez5Wcw
Ld7LJq3+ejjqPaz8Ae7QcVFlves90dFrJAgAjbFOGuCZQ2OKvzqPTsLg9yjS4SYKXDMy7K5tto9q
HbFDs0c2nlzXnJC3T9nDw3N4xVeqyoqDQwcH5sYL10tpbbLIjq4lE6trOeHUymMb85KlXD7kBYKN
LtS7VH4skZOcGfLpbVlofG31MQ9ae+cnPs21iE6zFS/rscB87bF7sFp61bKwf43GwmOI12s92/Hv
2e13UyTh4CQowsceZyvp6su6s9r6FFVMvelH+HLJvKY78yGuT8Hj0Ti1ogIf+VKfHo+a+3f5rZNv
RcKowpqd7WLb8vB4XMja4UNx/9t2YCKB4OT+7Y+bx49/fGWPeKPyGHv64+5f/85ft4+/2lhOva4M
bLC/Hnx8l3r8uo8v/7qvwwCiDtEUf/9u0+OXf/zxX7+JP5fvvrvARLr/Sn9/o0xksJ0m771xh4ya
+/6nheUfOn/iMp2q/lS7uDIfX5X3r/6++/jq8di/fR9SjnJHsOnnx+OPmzHV7l07+88fFaZgtNpJ
Pj0eWrJy2eqq+dn1Na1ylGBjjkNv87j7982S00g3S8ur/fiSMx3TYIzxOyrFqXGoxWXb+et4bPEJ
Ne1lsC3vioYSasDid+SG5dV+qpxko6YwWtn3XSCISg+qRP9nyh0oxqnjr7Mq+MWFSOHZn+W+wPcg
qnrZhKkRz/1MJEeZ1NOVfL51plhyVxXDGd3Fzt5TfbkaEVi50J5Le7L3i6ywB8D4yDGnG7a9mf0z
onV5kow66LM/VeE3Kja50Rzkq7ZaQmydAk+ix9kTFOVHN/U37buQYLDXR1OG010m7w0T+5UVLNbO
XsLvcfjsOzjxJyyyU1qekrk129CFT9cn/ecyp6UzGqrtEGR70BBHqXED2rH/qe4RF9VLe6C1el5m
scticKddmiSrkeGJcPpLqUuQGMae1zFqPxFAxSq8aSVGlsBZE+PGqjXAHZi2Vdn+zD6NQ/uSeYm7
UkJQP6XPopme3bz503v+tqos+ABz9jEMTrKXPY1HJCDednDKsVau/ZwtwoTCgsaOYREzFiZimgqp
pym1hq3TNNGlEurbZAAA1K8k1497TVIkNmI8COHQ/BzqXG6LqP2tUvNm9e28Nfao1lk9ndNc/qhy
PLQa1k10lyUaDwes1NuqNfuwqeNzqtEmZNRGTj1aB+N+BHXiHOTwWSLfek0dyhmVJRcLfcrZmY/z
0KBGEvYljnu1LeI8W2cGH7rdVnBasszh8nzL1e+GBMBtRwu8c+Awrgq/KddLBjxpsIcQWJbucMnB
V5hTDMEdyWSdLhhrOcXNIsXn0CXLBxrH4hZ6Cj6bjs7VMGXoyIbxRSA8yyr1bpW4rEPP4BPMDdWO
1zbXMlMHf/Ds4wzRmtHTF4tf4ewz+iCvFrqLl0TTdvGgjDRhnhw6V+HIoY9khwM1I3Sh3QHHMJR8
tcVaXhmAUvUU6s3AehNBestGsQppCBt6d0ZgGFOZDvAH2RsNzUzWWkYIAXvZczK8oGOKqUyoDZAa
nAMdfB7cqFsV82q2SiQu9iY3lXUEwV5ix669YxXU6lJniitRpaiDC0a2CfruhUkiqij5LcSAsi4X
kW1ErjUhIs6qi1BmeVWk18pPUaeP0dfJUbBhfhaN0U9tsid5LgdH495MyoShmywsynZzsx3UH4MP
46+TcgJ4MFQ73EvxHu1rvAGX/H0sbYA5XgCeM6PeNyxwaSsAqWTvYkJcmtUgfvOGxkk2FKk6rSGe
teXOssqO6UemNmEzjoyxasyPyjz7bqm3kh8SM+c6GgCmoFpH3jVltJ1rAgjLyL2VLmvhAmzuJg0C
f500HMyl/eOuAVMWFi2LZ4e+jol+ufypWSVbTfbNatQfM07eyTgLnNQ+DfZVgFyrWtQu9SEsoDus
YOf2LlQb+UtmyW6qfVC7fdZsZBaHVzlKOK0iw15aI+f076EGzP0u6JyijUKwzaXTA3t7d7/ppln2
eZ8Vm8Qdf2dZM79wAiKEGfCI6nYyp6zI2908DsVaL1VwtOjmHBTf54rePQ3a5uwMFGDCdr94VgW9
Gl/LsXGMTwlkxYd5SM6tyUEqxrn81E/id+JfG3XrcvY41oD1mToif14aJ77KRqyrxac20xUf7fun
aBTteGwn5ylMNU1cPFTsKMN9IOY7RDQGIna/gSogPUZzdR+eevyIe6vVly5WxfWvG5ezsRfxn6SV
FFgsISA8QUak32SWug9beWlqZCp3dHXIOjBkBchwsIWKOBbm3CGcP9NQThs3Yn9RpYkGTFtnDNc5
qe7VpLv38eDFmsmKm1XoESxYSn06buswPARzbQFyaY99YjQA3x+eQxC5EipjTS7dzZduAKJUIsJi
tJWsjYzkLm2g+TQup7UFZIgR0XjwbPNjrhd5BK3Mz4Lol8TdluuKu+XRbaSgpSoDejfq4mxth315
zsQ91EFmuyBLu19jNfxyyS3LCood8qLoYydsYHUwfzSuOM4BrjjAyMxCo9WkLXVB5bwfqGCfHbzJ
Ob0MJkLeka4BBsg16CuWZTyDWf2+9PlVAhk/p2OV79nlWLzdMHpUOAZTpl47lFd6fusSTtlS9j6g
q/Qbw0Z/TXGLdsetoUctgOmCWJ9r8IPa3de9yxll+GTG/EzB8fjU8vTN8okyddwpA4AMN1S+rgon
3AHpYuSN+SjemVo8xRgSUdbCcQndrFyHaryNaQNjGJHFdqzuPVZUzqe4tGAym+lZdhAUSO50Sc4u
qADT0tIvWqhfWRHzpvOG4joV3deizbP9zPBl15hh5zM121InA+1oEMaRVRnBxnSu0qMLaVJww81Y
nEOW6duSQ3uTpt4CAHw4DXJytzOTeiAsJnvqYi4uYnjFpIx+Lgdnr+6WmEFlznaGYyuq14EF0iYv
gI6HNYSRhpHXrgF0P5ArfpnQiB+HtPg9OvARhRN4Kz4TLHhK8bMs4Vp7o+aMZdZ1cPRCynKI3Z+F
2pG5zHz0jS7OHey/oVfJ0aoWGC3R9NNCT3lu+xwjZRyTroymEjWWy7JtApoTovu7MQqwL0XZrh2T
5M+tRw+bzO6TEzdTtMIsmj+/2BlMzIL16iH180Fy2toLjLLJPeDc0s8ieR20qD5hlNyUeeo+o1Go
P6GNB6RX9/3GMd+0SRTs0NxcJ5l94+PWvvWRoaz3gRzEyR93yKuvmRnas60s6LL3uyjjqk0fuMVJ
DM10lCUzhhbA3DiNzh8LjEGk+q3Ghj+0fvi1mjt4gawGUxnSq87N9BThycPegL3TYpTkJzlRAy6g
ttAZlyfB0wzNyKvIp6aEnPlBoBnK3dzK7z68jzKPhhcVSGKyUnXrJ1W9ZSX0wGAAeh6Vf3q/H9bC
APTwKvtP0T/liPgv7fiTgUR3LXJsWn2JtFLW8SmvjLf2jXABdE1H2+kMny4b+4ZlhnPOMmtEAbOv
EPWw26LsnFubBNphZElC81KnhGwIBbk1oUzxeeOebPdXFpmtPw8CFV4KVzlLaHCT/rsrGlg8VXPz
HcaFCfxgaDnLcczr3ZRhVirmZWcpGTwPsHK8WQRHlraHoR9ffc/vb3OuQcS4zrBTDcDBFFxelvjh
Ee2e3Avbji9lSw071l+1C6jHZXiJqjI+VMr9Gfa2OMa5uE6CMYKYxDYYjd7bsxlOJfumlejgnZjI
u1RT+oG1joFoGI7bIl+CbVmP+9JugmMvs3qXlr1B4h+YdZh6XHCTuWSeMHlwH3bhkBBqo8f8aeDU
dTLHf8ky31/ZSRVCXcq9nVszEbFYgSE0ARmVwZSxx84cFl0mR6Q8x0WSuV1G4EcEJ8Wog51gVLXx
G1sddQGCO0jmL7IFtSJwLKwqFymznKp4V0e6XE9dpj45JYzvgJEyBEW1V0GFITiBf5Oid3yKGY+v
3BbAKhbhybG7IyfShPQjGBh8DPI1gmZnI6vu/PjD8YBYD3iE/U5A1p/vqLQxV6DkIi4v4KJ3acRl
1K48a+t65uoU1ryrDF7ye/95JkKX8acLhGzys+8uI9ajF8Xf0zEZrtrfOjLH5D1hFilNRJ0U2OBq
spCJiqK7o6PVBxuxtpja+jIC5g9cGr+8KxDk+novMuIIkxLFeTAdk0Lj/uzCeTfWMd7yAr99GxIW
EqwRn0yf7Q5clLbenYmtTKhf8rlNdpaYfs3Uipe6ofFkuHaJ8mQB31XC5/REctDee9KQ/Y4P3voe
jL+TsA7enfyXmqtkG/vTfPGiIQJnvrCHSxMu6oW8yhoHjOPVn6t66q5JXzivw/imChcDBLKEq8yj
4lb1nCSM8vcFgpOXShrGQ2UWXIcSGCu9XBqhmo6qFLRf1fUvCRXMn7nU4c3KZibYPuLVQKAajSze
v4rxwuAnGgDdgpvoftN5ab/T4RKuKBvjW2y/sPa6VLN9SDVYRL0sb0r2+YUVxfyqPaDWi0WvYXLW
T773te2W6OVxw9juADLzQzWC5Z1dhohQQ5Dm3YwZKJ3fliSfrlwPhldvsE/Sld9HxsRMrQlw6SSq
tNCKu+tiEnIoJhztqIF4WkX90ojCWVuhGRkNG3bsSynAz6F9jtQYgXycFVO5RD+DlAf6FqNd3Ho1
mKQwgKtpZJVfhOy2fREt55pBMXATmzAPm5mnDZXN7nzWza0v986cjC8FupGRJWWbT9EF7+h0ilPE
25kaP7IWKKOYyLRoVT2dfBrWJsu6zSBbbLVV6myMdNOdEzFWdM5FmapP5I/wLK0FpqXLXOL/EDV0
Wl8lQOh86vcEYkhvJekli+rnQgriwFgwMAGdIWepryzfOUW8OttNeQ5UF3/3E677HuRnkO9ceNfb
2uR6LWeWQY7/Ey2qdfSlivaTk53QG5CGcL+x9AgsauKJUU1WvVRzsyU01Hkb+MQTmtEZXAQ2GShZ
9K1OUiC9UfRcCmA1dE1HxFTNak7ESMlYq+1SVBWMHmE2jXbZHLdBCt+dkGhdtek+XEx78O9hfEnA
5G6eJ2av8r7jBwDs+7s+T7p9P1Idthm03m65lqZB9i5GfZ7CTLEUqb9ijO15S8TZVlrOz9mzqX9n
OKM9PfE+d6J2kwfVi7sYfauGbHpKkuY8z44LeVpA/eMU2tdjAeQggFPmtBIWnEXIWl/CD7IQ8CVR
TimUj2SHMJF48tMfsfunDQfxHjcjur6g/NZY+EMnb8q/MVdX64S32OgFRxrrgNMbw98oRYtkAFqb
rCDQOaCGSCtZSOvbm6APiFRP4iMWGKYD+6IHM4XH/q2WUm2S2BXrMQR57/dRAMWzN8e8gAXVx3Z7
M2e7Cj8i4yLebBN/4/rzmxdU3tH0ZhXZHWIFFxFyRYDRWvU9fUeETsAgeENq0/urzArgPabL78BD
hduwHKd7VA3XuLndNxZESDUgfMcM0qeN2iU5fNyFiJRypCsq+gJRDiI85lqLy6sPE0ho+GxF5oDS
2Hb3XBucHgevV/G+VO60SuCXKY/0kqqRZq3Qme7LZDkMtVKbSSF6L9RmjFK2n2ofeET+jPYR/8iq
YNJP7JZ4thxnOCUkjTUkrhQki67cifkPgUJXXVnfpmr6lbrMQiqTmnW9zCRULJ5zJHnnaRnC+Kqs
ArTVHZ+EmqpiockStQUTWgs323K9v39063UxVXonpq9541KmhKe2rzjvCRHQAQzBSUCa8OKc8APK
qQxiaTPW06EXOOQDAsKOFiMZagn0dWpc9w3b3IoQSDIZ5dfWQHNdmPHTpKLnUTOt3ATgXS/zSdnF
vkjmO05z5zjAqhYLYH5YM/xy/bg/WHHmrvqmFiCwyKUgprY/NX7/m3m4vY9E2xHMI8ftyJKtLJof
rMmC/QzvFsUM1hqqIDhEUqyywD5XfkGKgTDJa8twaZ7Y1xrcCwDue7jVdf/aFhLKQJEihzAWxKf6
R+h65QkZ7LDqq9nZtFL5B3Pv6y0Ga0OficOMvXdtZbgWfEbheG5zxugtlWMVvksrjhgvAhtvbTlt
WgKtEDtM4Y7T8MyLRYx5pelN7FY8DbVzwn4H7syzR2pZROIakxRRaAsMYNmJi4cq51iN1XNMttWl
rnMmP53WtzCk5gx6kJY1xfuUFPFTmTEHyZitZXnrr6auf6OCgt5cC8QyoNtE5OYbDy8/y890m/Y6
3i92hZyCtIG2CTdW1eqbCZc3h03ZfSIVnhy3rIBqwzNxI564Uc20/wGRR33ivLXF0p844U7eHBSY
bsYfZnSddZ4DgO0E4z259ZJYbt2W8i1tnJ+y7Eu2HPXvjqZ9P6kaNE7zURfA9ZDYRbvQz3+P/n3U
5aYg07Hc+xEoVBcX4c6Lkp+uWz8l+WNuyyB7dtmTdRLzr+FdHVt2cHRqSTpHzP6laspunfYK5qyf
U8hiLVwvae1xzlYf7HlpsirKl2SBVGcNDIsiK2ewoKar6L8zwyCBICvew/E49zo8FQ6cScfPeXWi
lq2ohHqKgf9E+M8PHeb2LrNlcZpUQA5UAzWRvOFjW+eGBp2jhDrypU7+OKFuXmzPB1PYRnpbqzzf
BymfzDAmBMTj3IjpNlR8z/kR9wtrFR+LkpSiUmfntJ9fVA06Tbdw9XAWkFIPjatc6IejDhnW6Aue
Y+qBrGQYNBfer8RhROMVPa/y6B+acBxWgT8BIR1icfIj62eJkdjG07pj5Mj1YJgjoGb897wpIlWl
bqHbJp7epKwcn+JZHkSIpIsJLblgLelrIcuWQgantIoImpkdmIZWUO5zxn67wftmz1Z0bqc+xsA6
ZsfQuxHNhuqIE8eyCCHwYUq4Me8At+ODXMJcC5PxhLGv2auFWJeG9dPkBSz0RatQkYAHkl4fnx83
5ej/VszWmP1l7Y7hRXZkX/ScRMq7SC1+UlPav0rIeH5ik8Q0tySDyOwaDuSctNnggGWMhl2d0P/g
OOMF7pKSXjM4MG/J3vO4uS2jgazNECxX9/VYn771yFkpmMr85NbVsS268pTaqT7Wk/8i6nuOWcuh
tRQt6701lwyZDuTQ99OvnnLN6Og9KaFVylEUIPeI6Kpia6IOEJ/zsCatt/tBwlzxphgJ7VmXofAY
iDGpjH6jqJqPkw2yf6nLLzU10ix7cRxigOwYwUHSF7RpSnacSKO3HgoGpnOEwb6FKCp7V570PYzF
TAm9YetjMO8KWoEFF4aTQnAGaHBBMre7C9m39ZRGL51shrU1KXs3z/H3EOEauNQU4/iE9wDrloF8
BP3JbcR5mlOQ9/Rifc74rQCLwKBhdHZa0NMsjX2Nlzt5PlR7YvuIpiiIE2c0Fl6DuNh3TUyrg7+c
1zh5vZVJGezyGMq71/Ip75TLhEbWybWyp4M9efGppJY+DnC18I536J3ckpit0jpM6Y7fg77cyl/n
JqzR28zyFmMZlDn+CTd1yn3FnpIV1NQdF+XRKlvXvOlAOtpevhHOoo59Dbg7wuK1iWwgqj19WzsF
X0s+K8/keGlKBXmsUVA9Vcq6VbMejiYoulucpqAPlCRhic+lFJNz8qsGscmUAEJACyeLm+w90spK
P7sUCWGF89C7e12XnFa1nYMn5eCPBrrJ0FLlquld98i145bNlIp2q56bNH8SLkPfxSN2zMqHMy9m
yFsIpGCqlH1QhbkylScwq9XBJ0Logo3U7qempkZJRsRHQ8FmaMicnzU5189Z2G2HpvW+RQxaoOwS
tTfj79jWbSW+2MOhHz561XtvrbD75yjv3+oO/RT9sAtuNy2/+KX8aIJg+GhAUQf+HJMqhh7Wt2iF
s2W+DFYAkNmdiit8uP0STwpYZEGOFCiGbRE08mSEZjpuZhIpCzQlSdoQXUYOUuq05dFilZ5k7luX
xa+yWngT2XTncyPUGoP0jGSxErdec/1I8t5/GtQyQG4324ZR3lN7v5ltcF1Fp6dnbxqBcI6293lB
Nb6S4xd8cvG9xwWrMZbPsxLToZvUn0oV7TrKwzag6UdQ5M3T8xg76U3bdsW64bVO6HwZ3YRnnznn
JsLMwPhegla2a7m1UsCPtNb+se10hgkAb9uiqPs1WtqcohYdHEBKr6epc0ci+FRafHd85wl3srXH
til3rkbkxnEPGBLktLCa/pg14518r4vt4hYBDipCpTy8Tp+KavmjeH9n0VC/ebERh5Y+elXwWV7s
wX4aJ46fPCzQrC4j/sesaK6VvgtbvMiwWl2Sc6UVWxYCBjA0FjfXuaSa5XbTiwoBSfxCDnPzNAaN
PhUD7zocQ92ZtFv7Onh1d3M7APFt80n4FuNnnDkQbTUFTe+v3ZCKy4lT8Xma41eG/f1piOTGwyIA
8zclWnNACTxG48ou2uLcBkn54nZ84BsRZ5tQQE+dmeZd47xh+Odi0J2kW4E07emx1HCoYoccsLx3
X5rpYQr2N60pg8sUpN3NAEF3ODM23T0zrrxfRayS0W2QZijv0DaNLLD8cgGiip70NbUa+yWWpy7Y
Y7YqfxWMp9bBZHfP3fDc9CClS8wFNJ6F8xVhIgZuR/d4wZbxnX5xGK+J8qJvIu8btj9cFB3GP1SH
Idule3ppl5of9USmF7tM71Q53Xc6Avvsaq4JcSa2NnbwcJybc4+enFeFw6koB/k8TuKtiaj1PEcy
IbnfRCyoQG6Yl5zr9zM2iBdHwGOGEXLyiMo85zmxiqA7AU+3+I06n/TVJB1513KT3qGg1jKOh9IY
QiQK59jGfv6aIIwL7HYbci6Sejos54ABxmEO0pGRTHUaLWyBKhbpF50xdk2rLrnwqtc4GFsG0F5R
fy8TChFgHdlLVRt337Ed/cJuG5neC5O9wCue3ArBXdWfVBSqL5W5d8/QBYhRsLANXb3U/pyw0PzT
iJZLYOg/B4ZJ39DZ/NQkEje2Qi/FSDEU9cm8naFEbRpT3ZplyKifaNGbQtlXm1n/Ki3MJ3DPmue1
zt5ly3injfCLjbPeec4s6GidtU8ROlSDuqqiJEMRVSZ7KJjFTu4nz7oKfkRpADE8GD65VvqkJYJb
U9TTPgk6mraEf0Z75D3NUXRmT9+wCR5z5iRlcqhLwD+DNw8vI+6SEd/B10Az+CyK7MXBbciixA1W
fCZxeSRH3H+7oHOD33AMiyDZFg2zqcdN7jvhzUs9+wqNaZNuLPZBX0uPcNqg5A3vFLX9tddAxIdK
RmcxIu8znQz3pTVUV5XlaLd933yWvLkZ9hZfEFPle8aHtFRLGh5VlzqreIzVz5kV0Zw5NlkFoA9U
FPsnVyyGRi5A39mxqheV+BUhFfrcMcKhGvCBcIfAKm01Tq/zHDRnq08+JsZBr1mSExhWI1SIH/Mq
6LGbWkk4zPe7ge6qSzT/CUNrmjZCoOwEKuOsIdwZYojvroMsF5/9ZZTrDOriqUsG8bl1SGV73A0U
1ztocfNOl4M52A2y8LKequM8zpgFqvT7bET2uVSvsYqbL4ObpARPjWgu8vwlHqX1BPhgr2TyxlRn
vnQilsjz4vClqBP5xXnsIsykTkNCtAC+zzdZLpc+9kPGKZAyi4ZJGyazs74HC9PmiPMYYolKY91+
XRJWWJgLFKlu6MO0ZuYQo2YDLGDiXWFooX1E2PVdXr74etp31RjhLynrmz/jg6wFm9wZqfl2ACy4
Y7uLotLvmpvbVH8YNRA06dooGNxRHKnI+UhQbKymigV/MlscM1S6a7uflp2J6WWpredrQMG/Vs04
UN9ZziF2vP5pWGh5VZG6X8gV/NKbyLzyi/2ZtY43C/KQrSnkeKiRoa10XyQXZN+kKQQxC9ZEB08F
iuKIaNnBJMT4UfBWnfnDy8mAMIWXPmdG7OqquF+KHfFMp+s901YaLD8+SGp/2vZTU2y999mvirc2
tfQb9RuRHVYp976iPhpreuxx6ZebPzEo6+fw3QjbfEZiS4sbVvMLqx3ntiQNkaJhDgxV+Wwg5+86
6J3r48YaHJY9eCCZX/AYa7KDbuNhH2XLmdeKaCDdOq+Jf8qMKV5Ul4hzUk2caQ5tTRCKt8X51MeW
++78Kjtzi6Y4/SItN32CKPI+BVDuSz9s8LfJ8cnobiRHarnggE3iE8ib3CM5HR9JPVOiLhhfWRPX
9q5rdfcgGpztAiR/Lrp+7avMfTZe+SOP0V5OuRLv6KQkIrtP/UBHkgdOSurHoK+yq59Cb7CeaBgQ
AcmBGc+S67OTWqdO8coDTXkPFsccvCEEoRgO3+gsnCPGMXFmZJceponQp3jCM6Oht25jdKAMTgov
mGhVScd006QFle0muM30F8lUnFCl+kfpufLzYp7JT622GP/JE+jMx6D611k50WbymvEKqeI0NMIH
Hpd+TuPWPpt7qo4/W8uG60S0H11v+Mtw+f8b5HyFTNh0SJ7+x/0n/2pYdGWp7B8s4r/v7T+a24/q
o/v3b/qXv9P99+OP049m86P/8S93tg946Iv50PPrR2fKv37+P77z//YP/4EgfZvVx3/9x4/fVUZ8
d9fr7FePsfPjbzypjcmWkvB/86fef59/fMf9v/Ff/7H/8bv7/VH/n//aP8Gm3n+6cH+Ak8ZYliG0
YC/9J/LZ+88YoJlzh4QI1joxnvl/ok3t/wwdwDz4TdGNxKCT/hfaFBo0IMXQjWG/8YpDuvl/Qpva
/+YnBn7lRqHAzBt7juOxC/9XR7XI3IpFJpaaOisdRo79pe2c185ihAFWikOXdAXBPNOWiq1EhcCa
sfb3tqkAJOZy3nRd9aRpN9Kkqp7HtCPG0CyE3LobrioXK8NgQg+/qtv6FxOaS5L5Gw874mrAXDQy
tvC6ERe+CVKAakGzTtJ2k1npd0Yb15788NVkJKIULDfr/8nemSzHjWVb9lfKalyQARf94A3KHXCH
N3Q6e1ITGCVR6PseX18LytQLimJSFa9q8szSLNIyLCIoEO7Aveees/fagJMSaDLpoxHMX7WqIlTH
RHxT6hu57A+Ud8hxJs3mDDYffD+nCrYIXqxkcixNFINISrekfW5bwewfy71PqUv0DOd5jYA1jJvJ
StO0qyCSiVvuXZq5G1VONpVZuNgZvCCcdn4qn2cp25DnewGS0jVTaQe7GGdEubVgxDpJTPBEGXsZ
QGJdxJd5QaKLVbLiJ1uUVF4HlnhlFdkx7uJ5JaUzQWxCuZ5DtHtQUJ2kme40U98p5BNb4bRlWbnF
jUsODWkDeu9zcAVsTf5AWuTPvaXcVJWyGavmqPfxqadtbKiJF5FWyoAfHZYusaDkXkHfUNKrTTIn
rHmRE4t7JY+3OUO/ejZJlq892FPLTODCpIxTh4oUd7ItEyJp5th0Gz308Lnto4gUKDW4LpsUeaJ2
nRNilQXBvjYlB7vJSeoMKLfmVhk6p/TjxymK3NmWkAzC2khld+wJcM3JKdBL/l6cCl+57EnywpYA
c8kW5SrPoea1NeUUKRZUEl7R2xe0ca/SMbpo5ZFP3WKh9/sbxGMXZhrS4ycKRO7SM1h9Dm/xBeXH
hS7bJ3okC2XDPNF82cVAFApT3o4ow/DUOzqtWEXPs3lj2VFtkQ8fcPpeZbNUNxdIijHQmsVOS7ET
j35KXoycCa+X5MfQ7NONjVALjELRbcKRyMlOVMZeSsmTVBtVwbhSq7UH91vhyIrkT1m3eVC6A4yE
B6kWerwGlEDfWZJN+n9RLGJo1aF838ZD5OpGkbttNujbHwvT/+91/L/fCv0xd/p/p89fw+5X7vSP
hX35sZ8rtPgkazZ/LYughmqHFfDnCi0+gdnULUgDGrBN2JP/uUIL+9OCVjUXVr+QBcv0f67Q/KsF
9wLnX2PpF8Iw/tYKrb+BHmhw/QXEBZPtCBibMJcV/BWFKI6jPrWiNvLKUKP0y3qUOC1NCL0mKxi2
3UZKmd2E3dPY52eGrAotVnV0pji6H+iaEss3bAO5OCqWD7TJumslpJlzoxDrR2clhMTSyJ+FRPDl
EKG66XHWmhcdGRiaPHbrqpGefcm6xxZCpJjFuSYSu8JnUpTheF5ZvoExyx/7QsbgJkzA7UNkIV+o
shs8l+cggsLlMzjyUqJ7QtxdR5rPXxNV9imZaYpM6TcVZoDGoZK6PH+CIwt4DSRbpnVHzhAlMZI2
6jyDTK9QMfmPNC6LwnAdt9gwDWVELafCbyzze72IgxXaqw375w3Zsxx+7HwjoOxvsxr9IY9GwusZ
xUdJqT6jKIzc2KYPWU4VBhp7VxT6xUD47tSJo4rNx9UyHTpflz6bUj9gKgqZ5/JYbMch1OkX2N9M
k1+7UegeEHFPYhhCyrWtTpeWUt20s86IfVkR9HiWVzGkIXRkFNSaP9zLCAUCIdZl/xW806kKiwd2
0tX0LIeKvjLKdhcH8QVf20ZMNGk6Uq0ic9pKBhMWA+3GVBTEqEi2G+p8FTljS6UEXppl+zYiQ2Q5
6TTEg+bRd07W2a4b2aXKZIfjeZNxoGriQFsNeLaxarSgkwz9Mu+TByyGnpwaXj3wu869hHmeUXQ0
XdHK2WsSqWDMHnCi1E/UJQchz499LhlrBQHOyi+K6ypOD1PeFfSsmX6UaUR0OIEEfkFozZR+4T27
rhR9V4wgH5rE3Be1/xRr4TXD1DPnEA6mFfiqejxSqDTbsJ0OfslXihclciD3XyYtbl0/nBfPmkzI
TX/Nh/qQyj5i2obRZqqOd2GMDNon4NdW5BepZBfIWkGuXIPH026+2nP1vRXyFVjY0UnogayFMT33
qX2Im1i9TIze1J+UOkRMkHdm+F2ekH+thZ6+kJiCmiWZzLlcp63+veb8jdpZRVBMFV5JBz1cds+I
r6tts13AkV4k40WJJN0oEmYuI1wO4fmg4uvAZAyXr7VAEivac+SnyoZrIeeXOFAvqPR1BZBCmu09
nuyT2RGyZJdH0fb3qKkZeOAx7mnr0vpLryfkVwT38geYc3Pf6ETblkURM8JY8rMUmD0NoXoiPdYJ
8nToLkTcjBs5hgcwWmfsnuRV02BM9IegSb1yijdl3V3TBY5X/96E/rGbsGX86/CDVf3SP9fffj8m
LFX9z01I/rSQs1h++fwXSj3byc9NSP4EGkGHemNSt/Am8lP/PCYI65OJmpnzgKWhRJJVtgbKjjb8
j/8pzE9sG8SqcKyAz4YJ++9sQor+Gz5L4axBCgNUcZB0MOl+3YRARMV1ynmYjstwrSNcPBia1JDr
blQvZk7wakc3y7wKaTkS/FtCUPKkGk0MfbOeFHp0EODnkIkRWaJoIWY8Ga/lVzlUE5fS8XYIG7qT
6l1Pe8qr6d6grYjMMxM14YIZfuoz+Mt2k+gXVtnj9k+0yPoe0bu/tAvSdePUsKx1rZsDOnAzwGAv
ZmwKa1Fm07hvmtIG9inFaXvbGXl0GDTSuoZk2Bj5eE6DytVzkvroW3C+CGDtDUt6OjQCP6tPIYsZ
m2hhXKHGAa2trmszvFSRjAZz8JzSjcAwrG9nzKVN1jwauXxrMf/16poNOyFVvfC3bQStptKvZLs6
jiPRgn3enIEqHKHzPgZm/twGCNWSZudjo6iTgEEoxoe4uBz9gFxMvXqwfcxbQzuwkOMHyeZxa2Bt
CwsTpq11C26ULh0koiR4lEekk3ZAvqhqgp3QJxPnd0tycnZGm9Kvot4+hQikVoOkUI9a6EGy8FFt
k7VR5eV6wr4O0P1rZ8ouK805hQuBZulQ6ONn2fdvCgtiEHCntiX+tRnhYQT9Qx6gljEK7RZy2FWg
JzjxfU8U4fNoFvu56T0UTrsyLjd6WBD0Enbf2Jwviqa6L6rBrVVjqxFqzagBjoKWEegC7V+xlEu/
Ye6mtSczUC7oamGEQetNhgaR0Ezj/BUdQGZGsyiZn+d11303iuqJ4UNRuX3YDuEtAnO4tJrRmm6V
2XR+/r2iKT9WNIuV5F+vaDft/9gzDG5+X9KWn/u5pCmfhCJgDFMI/wjeeLWkKZ8MyzYF7WtV0BNZ
8l7+6nwgfreIe6FjIhQWvr+WNPsTwSXU1JatyRoNEPvvLGk/yuZXPDfKak3Q/TAUWh9kkyytntdl
tT5hBLZlEXh2inLwiSFEfy4zuDrKIKZtX3QnHfqDw3FRXWMeuDQbTAL60tmXhLIJCLZrYmPni/Jq
SMynqjc9+iXH9IfPTwt2EA3OvFEku0zPFMNHsCC3ialiEpSwFvg+SaXgA/zFUDNj2p2ai7xoso2Z
oYdluAL6a9VVeDb8NmD6nipFcl1mfXFS88mJgnzd0TldD9Vk3NhJXtjIniAEIMJDwJthRS+bY9YN
vs2ZNBy2pTmo5UG34lTfSrmRYSZgwR3H9MqADIuMPjRWqhyyiqNOvoDz1X9Nhqa5ln1Z3baSVu/H
OJhO3DyyUrTV18lcBDtEfPm3wQ6BNfpFLh9gajX0guV5q1aa9gzoX/1Sl0UzIgeqciKglPyLFRfF
nTrBpzXlrLikHUFowN8vM/7vGpK3RcZf/33akSrnz3/9Vq6ek5f691dy+aGfr+SPoy5JOGAMqQp+
yZ8Tn6i+Md3wQtKQfJs/x7tiWDqvJDkuyzv+zyqDZiTvNtUFDpTliGqqf+eVtKlkXiMWNRB7FOUy
mE6Sm3gz37ySvh+FsVLNGXu1NdOWI0fE7aETAA01KygruNSgHhr507IPkBltDIW9zyv8vMooPTIZ
Xs8a+faIRFF+mhBeMD7qSr/TFLowomRPBKTpqWg1jbh9gHGMzhKJqZLFHiLCS7VXPkvoItdpXO5C
m8TRaGTKkA8dWashWfJ2SwwozceqDtEbTZPXtCCmmnRK1qpdXfCfn8TQPMkLhbvUu3tNYzBLK0+O
om8WeZ9tXxGwPG2NHvpNnM6XrTzsIr/eR2r9ueuCc474He3B0VB1EtpJRuPof24V5aZougdyIREq
owTLZgjWaZTfG4l/iupgXxi51+ntA04YYn8LGeVvMV5Z+PjpS1WHgPiMo99qwZrOHMiQoAycsYYL
VeZpt+JzyZH9ZmyUrVhSN1NjFeVYbznLJ4MO0cvA0lx/VqO0rS+U5kWCGwFKbEj7G/om+l2n+Oa4
/vvv8Ptv5y/zhf+G/Sr2sw9e4fr52/fi3bMCP/f6LTZAbdNkUhfWL6/Jz7MCbzF7JuhfHAb0pBZA
518b69Le55/RkqL3uLxcP88KNtMG3jebP5KwBP6Dv/MWaz9Qur/urLLKM2EarAxCtc03r3EwKLXS
JUXsJYn1QPeAhkddXvVlQd9JDSxcMlPkdSP5HrKejevWUkkAl3Sd4FctSckfJ5JDR1kGZwCj10Sj
Jbw1W4rRkh3ruxHyNpPFIvDcVM01dBUXNc5Bix5AFAZq81kqsJyhG1iphc/hQYWZIl0XcecgxFlJ
6lVgSJuksdajPp/mVvHUBqRnvfRVWCDqKtuBAkDSCyMtY9Sb3aXj59qkE8FstujbndyfRhnBXX2j
kAmdIWHLY1q4yLWCKeHIAG9veop0A6DDF7JSwD7UroURqiyJQxIaUIgUraJw4sY2VlUpbhSYX27d
a81mHCzwB6XbjN0JYbxXomnykYFRpIfiMhpslOVYGRXzEoAgsZTSnQTHeJBzN0dKAxpBYI7uNln3
EM/pWpOe0Qmy7mmHOAWF1CP0hMvAwGGRcWChanYW0gCmT6QhwCZRyhsLpKcS4CRCHqd0xAH50l5p
7wufXwQnf5MSct5DPcUg2c0YtvwrQ/tqhN3K92tmKinQKHEAzJiFssei8YhcZSv3hNz11Z3o+UxG
PgRkWmulaXZBIbvEdcsTuAJChQMrXOPi2yqSfTHBIm5qtIlZv+0M8xIn0D4trHwlm9GtIYHM8Pc1
PXRLwnFgkedU7PDGIXbcjWDQwJFT9hBvryJFHaaNOYzupGHtl7Hmz+06C81Dq8VbMy9v4QSg17UP
VnUbxldplnpTRPwTyTQdMmaBE2BsYpz72lqh76JiKzTn7NirOv5qGzeltDKi/EuJmgGReLOKLZ0E
n2SKgWouWwR2m0CyvxNy+WDOxcUoB5smTW8MMIwCF64F2zkme0Q1SBi6DqBv1chaOnNjDbgnqZhA
SIwJJuLPVfVkJfbKxm0s0+gD3lpBngdhicjgc8iRcsLGreWxp0ZnlRDtgiePbGt6VDxRiZMbtzMU
/wqzbygek2Lf2XfscKfcZ4JndDxTYCyk+7Y5jtjQovupPufMlsskckr9MUeUPgwn1AMrXzuo1V1b
f0+qLzIFcR7dhfhSw/gUV5elRIroPsXyZvlP6JrWfn9uZdIL+tFppe/zcCiRdkmTq9JPJpBsuUTX
PKbgmJJxSZrIr+z02GXwGArGj+JrZe/YmOkV1E415vs4GdcGL2vvDzstw3syJ4yLbAcX8dg+5Um4
ksihD8uMMIDdpB2LCCwaxIZgLB1sy7wKLplDKJK6XTpKZxT2GL7o1Fp0bLM2OidtuS2gOWJcZniG
prxeOrt0hxnt0OwlOercRNkpKO8RRK5k9Utp9k6bmRA5joP94EtPrS7tpqi6GsU3u5PXRAvAkvgm
2fVe70InkU0PTfWhNknhOEsNon0syxVzVx0JcYMpSG0OnEUkiQb9aNPgDNnx3THPD11/H8rKcWhq
lrERrqc4mgNiphgeAl3rku611Zgws9r7HL/EIKQ7gDTrcEjJkm0/xzrJ8XpxTRjclU7DJKzal3np
hg8h3xJS1FVaW9s6ywLXMDeCrjkkENrnQr4BKrbRlsa6SYcdAOW4BRDuYFLyJHLPhmhA5NQgaJu3
vjSS7y7xRWoTZ3WjvSzMR5taqFja+D3N8wj+fOaTGpbNXovcqMeOusJ9f2Xkj2NmrGz1QaPLMpNc
D5FwywO3aRFQGQnSIMj5Jo+7WpsMa7VvgikCPo1hLZcoiBlj4+KvH4K++lbZGF77cof624mUcAMy
BcFhfjFyKlPT+t+Vyj9aAPaHh43b54mg0N9PG8tP/axT1E8qjUyd4zwqWYZlr+oUlbRroXAgNglB
/Ed06191CgF3CpR3S8gyZQSHhL/qFIMeKaWKqsnq0jn4W3XKb4cNfjX0DgoVikwR86ZKsf15SseW
UW1VyC8FvPhuGL6+Kt7O/yh5XoeuUqO9Oc8sl7A0opZoV8k/JnuvJneDSKUSSDCXGBM3B6cktdkK
xPUf4hDfvQzTJtol2HO0pZvyupMhw6jD5MdlIqn4FkTKXkabmSJl+y/czavLLKe3V3eTg1YTIKdr
z9esQ12kG/J8jgOslP+3y7zh7EPg6Ht6szWSVe2iDND1z2yeqb37+DK/nzX5bl7dDYfa13cjAFC3
lTnWXidQsVnlBp3WhSYRBc263P+jT8hZBPXROw/CbyNcSvJXF1PfhLDVwIPmLkIgh/YUztXsgGoY
4938z2PTv7yOsvxBv5Teby4kfr2rgG3fHBo+PAz7TrE+a6sTrKP18If7efeJ+xFlysFfw8z862Vo
FiTloHS1Z0XyjaGNXxHO3QxBdvXxd/SHy7z92MBvYMdNuMxkHMziEQ4OnoI/vDyciH7/xHQdvYhp
EfJjvxls9Di6FN+uahIdekfxXSXK3I/v4k9XePNAp2YscLZDB1ASM1rJU+x1UXvz8TXee8BIRCAU
gxQehAKswq+fZkwJzZwkLAFT9dUMBgeOC+KUaJ3mX5rw6b9wraVpa3KIpCX05lotvb90UIraG2F+
MeEOPBokUAyg2318ofc+OE6lMs8Xx0g2hV9vKiCUIIizmLeGFCqmTY7o6vuPL/HeE2aYNKllRB6I
P5Z//2pNa42pt2PfrzyzkyhCALgm/Xnq5s3Hl3mb50Rniz1wSS4hAxkl048cmFfX0acabkRkV17p
RKf5WK2raqW5xYWae7WbnO397BYAqi7Mc7e3n6ARfXz9dz5JMo6J0kSMQgyk/OY2UyMbM0Ed65mh
v05BBOXq4eMrvHeHKAh58zUUNDLb6q+fJLWkrDZ41rwQn/dePtUOGIQNLMF97li7+EH5nNzGh/4E
OMsz/v4b9su136x6UA70MKWf7/nDdRo/IFX8w+f3zmPyywXefH52rIdofUXpFerFVCWrnOaDlt1+
/BG+exEmwJbM80EH5c2iClFU0ySjh3A3IP0HW+mRNH9rROHDx9d5Z62gLcfRgw4wE2LzzYongb8l
8LIuPQO8LZAdJqudda+q+zT49vGV3nnsuIhhcI7VyJ1/e0eEUUWGQfa6B5WKkwbsc47wH1/ivZt5
dQnzzc6qtYWCf4lLxJ26Bo+24r5yvWSy+llHq/rxxd77hl5f7M0zbii4OYQSl15vJMB+vlVmsrX6
P8TbvVOY8IZSHAuWPgsl2a8vkhbJllLbEA1CGRjmIhMtOdsa1RVjc/fj+3mvXPjlWm+2JkJrKnLR
pMKD3v6dORdAw2KbXmKxkCZOYbuPL/fe4/D6zt484IY6DVKehgAOwC4CVloJ/w+v0PL7vil/Xt+P
ePM01PiU0QFxhfBIDdc85zcicPvrcvvxjbz30LGIsmnQ4uTpXr7CV6s5qj9IaKZVeBBBLeAlPsPv
ldpurHj98YV+HEJ+v6G/rvTmC6LLqduDwpVGBwjLKl7+x1ckzjQ2ttUGj7NrO52LjnWNsXPd/eGB
Xw5bv3+gitDYPdCZ0FP+9U6DoBkmc+T6+qo8xrvKBY0FhM6xV5cYHjZQGI6XySHcGLtkK18WxQrg
2Cal5nyG77FCoX2sV3ffrbXu/OlXe/dhQg3JAVMlBf7toafnDaECVXh0E+zEleXI2pePP/z33nZb
LCNn8nZ+r3Og0sINnOXCq+x0O6hXMN4Pkf2HJ/ZPF1lu89WjJGOxizNpLjwLlmNZi1XIo6RDIvz4
Xt59MV7dy/JrvLoMA2NFdAX3grRyXz+BZAdajWfm46swwRXvPTCGiS+W6S7/9+Yd7wd4K5nRFJ5A
dL/qu+BQ2bJjaDg1JeDt+XQ/NmVEI91cC8QfzgBVUStGt8rDi7EsP/ugqwjU2gxVBFBB3cw0t40R
FgpYotbOb4dSD8G5GDjoviIFOqB+dNQwJKVGGx6sdnjsGOLpJFrQz3rsCgtDLQ8tGBEACB4Jmduk
LMGgfJ2tOw202SDJoFZgPiT22Z+x/yk3Wa2F2Uqm7chgS7lDi5Rla7kor4U5RNu+Js/Iq42ijZ7I
nWo/I82NTpmSTBmZdAF9L9J3M/Ekj3oWn+Cw7wta0iuzmL8ShuiQve1IA/kCtrHXS/MeIQ7yUJIg
MFSsJx+KDlkxzQo17QnyLIRQ0a6mwNK80Y5fhibqdwxEqA/ROsqtQdfN+JLNk9t0jFYC2cI7bWSX
Y+8/9viIbGAnqZpuawtKogpwjP4n53Y8FLedSR8+w/odVVtV0Zn68YnCVJLN5EiKxSZTGY2O2SmU
kg0BKmshMP4O8bUkL9ba7H6CqwFrtvMdRS62OfDFyPKXtPvKMXsb7iyAHTOPHJEmrBwiJWUkuC3C
ovGUqrjHb/fczUwpe9+4DCZL4VQ0z6tIny/9ufOiSt4GUUiYVAlqkliycTD3smR4pWrvy8B4MVQF
yjxOk4wPHRpdv0ge+narWrkDrP8OzIIz2ZhvJ2S3tIK7MkWrBIi6HunrViet7zHItV/HVvNaCf8w
OMQkyhzcnesuuFcCMopS6WDokWMrtQsWGNl1sKqb5ijVC8QE83p7YByODTS6q0wstwxMQDfsMnNJ
cVQhM/UPI7+xTKOTTGqPVDE8HMVWby4bkE8VEpCZJzcLxDbr7ruGbHJgJWYuXBJPISf4EPrLDb6d
TdSxtInn2OxXaC6crhi28uDDPLfXci7t7Mw+lx2JvtlDhThaGgO3UsW+9rvvWqRec6xZmzZUxCJ/
JMhjQ9DpoWtyXIQ3seI/+IbszJZ5SKPeFUDdEO8tUrdAA1gcOFk0LZpnt5s4GUfzMUwiV2NaZMdY
CS269JaU7UyG39UwrHmB9yKcwIyRItVBXAeyqHTzo8A4Mir6YoiHsqOBA65XPXKxGFi0ESMd1x+r
SLuTzd4Dx7hp1ItS5ZGJNKC0L21bMerQ10z7V8UAxAnOKTlOmwXOm8K7Ha3UCfB3hmO+CuNmn/EK
Q/p1agFjfm7WEYPxcUB2LTFqvzOGs1XpGN4hssXKk4GVhI6yA68PbqqOmwcIUa5dwGB3RDxd+HHo
TGniTOTagfK5bmPOux3zQr9fCesFbSC8qm0BG0m24B+ZuRMwp1BygnMMdHMSURqXonuMgHmUIvFG
i9wZ/j4pvwS0+jWEecXgM62QEQ1VCPITL1FRaSPmJZDNMernyYyW/MCNFAYLDAcTr7Ui+HelGjNh
MPBv+xsr5FMfu22cPbWC1Bfofx3q+zEWDjLTfTUBhrduowbCEfOEFBPQXJi4Vu+CoDv41UNtl8z+
X1Kj3ZohHvlh2uGLOap87iNW80r/kgu0BgYkXj7+xaytFJgOstrVdXAY/L4GsBhLviqnXZi3nlVD
+2nGfWkgnjeQHzKkKho691Z8ypKCpztcM9BGYQklzCpXzYRH2j6D83Ja7Na5arvWHJ2qhAySEoFj
fNuz8gR1fxJBeMTSsFuQlTEsV6MZHfSlO/RdnoiJt5GUC5rH2HsQbM7CBWy8KexpDQoDBZO1mcls
aW6ljBlaJHlWB0+e1zoYpKMvqjUOuO0kE/TcDk6sVR7QAiepb0Cvrzv1OmIe081oo8maTrRtgaua
ITU9DyYWiXQYecG6auZMb/EeQ/IqJSa9+qOEranGEMwu6CiJ5lrJQyoxAWrJM5KDraJfi+CukJUN
/Q1WW7GvsKdKMQzKeF8wEsxi+7otNKcPBAkU/k0mZ9to6i4XqGLK7eXkv4yEUFNWAz1nmVSYTo7Q
G4yBpLQeK3Rcu8pYkgYo73xp2gv5MRAKIEtChuZuA/WM2CzNHbB7tzmPXGozG81RfhQeJNZlPLeu
y+9MdAjyjeE/jq5JrIq0TCSVfTGle0nh6xYIdJLprk+gx+XKVmVRVkoe3g7P0wsa+vtIG78Av37U
zG5Td8R/8LqEFaqw0ViXhN5FwPf0sXaLgK+05XcDO1Kq4thKxsZXF6ifDpHTOvoJUyTGftLI522y
PI7SEvBD9k9yTBgxqm18kshBH28MhUDDPHHbQKw7cZvyBlc9myCLaJmRiaB1Tjfm7BPzQdIqd7DH
XZH1blgvhMQD8YModL8HU7gKuQRhdzxFJBiADYvHZBP7L4okzkUju1Y7g4yDkDGAFp0e9e5hhuBu
z/vRkBab2ioGKTILlmo/cQ1DXpPp5c7TNxX9bRAF5Akeqrm6FKQNJbX0pJJVCfpgM1hXPStzrgPx
n0kXIk3JhtOr344GO2lm4kx4CcvmrFcATuaBaZe26Q0Q6f1uBo6XFGLXa/OVoowAIXjIoYyEtJ3l
gMGxb+0hDK+CNHX6MHJJrHaAUThxPXiB0jvEx17MTUmK37wh34iNY3ZL/Amy/CRrKR+17vqpdMLg
vLbLb7j4V/5YXIK05EDHyHbJ3zRspqw0OZPexZ7oyU1GR+MSJOs+1g1PyBCp8GKQhbPWKuQHQruO
2vCyln6M/10/TDC3wNvVdfBK5JlqqVvyVaoSbeyJZx+/Ic3GusOA0zRO2X4nK3cHXNuN8Z2EHcKG
zHAIxr3QtGDbsDHEPvPACahrrLpqIjh1kv9CxtgoJVuFGBzWdCaLgs3DADeLYrLltBK9yCPIU+Us
Emop5tN5DJq7WuloQ40KnkqdRzub/a4rb0KwwzDQVppOOMsQfA5rys023AnUF4QErBrIpSYattUU
E6SRCswYLdrtCdwXIjY9fmg0SE0IIQ9T2GRO2WMgJQ8uolLV8pIXzLo0E5uyNzE3qh4BXEK7BUJj
l+gVFtECTdp4tJC+V1LQsoD058aW9mnebhuDeJdigACVZceoyfje1YGQKpRlKkxEicl9mZV3ZWR4
WSI8sw5dYMCSjShbrw9xFR1l9rEIlUPBGB9+RttCB0jBPbEpK7xAhHaDU1n39SnW0xuEs2dVg5qH
A6ciz1oD3ciQZT0BcF+Ztc++DVLDJxutZi1NXSbRBxW1gyKLB43DI2ZJpyDsKxKQlLR51U9IBahU
yzI7qwMrN1xqmW2+ixLEG1TrZeswZ3Rb/T4Ln+bEBIdAmTZblwMS8R61QKwT09Aeep8637QlMBbg
+O1dTlldwx1PjJmap9wgfb2CUuDia3tWgycl+wz7t0iXrYbiTUzVcaog947hxseGk8SHnK1YLS/G
riWnbAKgQbxLjwcLEgwLL/408LMLbB1kmqMPLMXGNLtirvGDoXHXLcKstF1ia+uqlSi+w21InrHA
zwq921Hx6abldyPhcma5C2IoAlW1kSEZBYHkxAG4mWw/wkQu0mQBKUMAQy+Tz4c6mL40IORmrSEC
7zkprXU1BviGyk0H0zWI1LUWC7hD4C+IIImQAY2NQBFI0V2zsEZYoqLoYPA5c/h15OheN3JKkniX
E7CA7In1mHh0wqgSWb8lP+IiNZRNOMQrKWudpaTXMAhw7KMiYcdAyunGQbJBabXJS/VmDNq1DIGw
iuRNJ70MSPh1jQwoILdzcyzpOXUMSH3tOLSjoxEpkoCrqJT5xhZPQ1RfaGPnSXzUvTCcDIaqZjT1
ilnhdW4BJC7QPibhtSrOfk/JNxsXsm096dJ8PaQgMBF6VpySJGGSe/OcC8m1JfbAXqwzAgWwPFQs
ysp4X6vM5rr4XpZqty8VdmDkS/AR1UV+k98EHKDDsXFJIVinXeSqarM11YJA5asxkrcliTRALjdC
jk/ATe8Qo2zVAJw61LFYbp9LwO6K37saFWqpl4i2vo9kJMQjJhTRIbipbjIIYUoH7AcHXCk5+PEc
mx2pwjrTTNcRr5I+PxnLQqGmDlFjZEkBNVSlc2fZXuhDnKpzZ7DmZ9+Sbwnk3grKSRuJByGjTovM
LIPeLre8lmS+TBKce2Lahhy5HcEGxIiSSkiBhtoplhp+kadEuzdL+5KET96RhznjcSekw14o0uTO
QLVYq6qO2kKmTvM3g0lGsmG8aD3g8OkBuxxic/ncK08iOVXUpgPASxMsQGaTmQxRSYWUaaXfllvt
S7FJ9Lss5r7Kz615nrIO2tk3u0E6JxmOL83eoHfAy56H8aUjvzGwPWkOIGJUFNR4PzNCZGzDrfQe
7z0JioVBFA7xNb22swbwxMDLAjRuk/xV9hnH8wJ28UUf3Qdtvq3Rb2kyxaep3QowBDU7s6Y8y0m9
1cgdjnLKV+mbOhA4pSO9Qg9vtv3ZSvWVXoegBY5FeKUC0859QHL6fUH4kiJKRynU7ZxGx6Ili5Tt
s+PwKdiWBgiFyTwjdQIjk3wGLOP5c+/lHND97FvB7ZZm5vgUHmU1rfOeQk+1Gk4hMiXNswHLvbIA
yGnqQyvnFxpKMXkg77teOF5f4qTfEITLwnBdjS9Kuzzz8iaWXtp8dmUopHP3lWJio0uV47OWcwYi
MK7b+ID4dLPeKTO7cJ99h03MY4IUkthHPyazjupaVZNdl3zzFWVFRbqGOKMX3a6ZSKswITvGSA4V
1ImDv86xlhZ0EKzxcspux5RHUV+WDM53C/Vcse7ltD2VinKvz/6NpRH/VqjzCbSt97/wVvplW4vK
I96KHUQDB0aDOlWcHz2rfzvj0eJ/oDS+eK5BWvyu31l+6qd+B5cOnVWs7/RTLMx/9Cb/0hnrzEyF
AXPjhyWRn/rpSbQ/0SamKU7hRt9a12ie/9TvWJ9s3TZNakphLJagv2XgQbT8ttcI0NBmVGbSBlbo
0L6ZlKSmERRpqwQeHYsqxbAc21RpljXLDqnWQ3bXa+r4nMkg1VdJSo7iCF4V7/NI2Bh5Jab05E9T
RXVBSpFEV+sqUPHzFpMMgNZQctSe1JxCnrZmZtPAMl+ypZqrFWleR3N421cY1xAcQ5hBgtuep6CO
bsLAMlkuxRivcbnobC5qID0QpMWaVJ1j+IhTQOZ0EZ9sCRtxTwzFZPmHMRy1Rf26n4L8zp8GkPXk
o85IduUlATxJDkVK2FSh7LX/w9539UaOJc3+In6gN6/0ZLF8qWReCEndoveev/4GtTsjiqou3p19
XQwG04BGnTwuT57MyAiAfYD7TCw0le+7wCNk0JdoEajQ8bKpoWbfjsBLoqbH++mREyBc7gFGjvFL
6GkIcwoIChDNkvXgpA3SDmGVeQhogmjLg6IT+uxx8kAjjIeeFvrKwQ5r5VPTP0RWbAIsACXYADxg
jBEZ9zYJnoABibAib5AxAE4ZPAIMckeZUKsk+AU4EjJgqC08+J34yOaFI4KJoJ8oCYI6uoIG7COr
XR2SsPtOlK4Z2GDZClq4LLoO+/hAgNHASxhQF6BPc6I68MGsDmcA+gPB9VF5CCDzSUGnYfAecBHr
mQ8FRjQxU4G48cHHr4MLDxQw4hYyxMixgj85i3NJS9ERHTWFXkwt0lzQXviwQNwx5HCYn43UKHho
fAmuYDw9r8AqOzy6r4MEfYY+KFCQqSOn9mwhLa+Qb3ptPFTu8w5AQwDZM/A/gU44zLgzN3V2M3yi
tGCJpIE459D6zaIFnEMreMyjIxat4T5axHMhtSDUjZ5xVOllHm3k7GdDeRCMFeGESI6CO6QJ3OA6
VrC+CUHM9pSgBQ3ceAQ0IiCiC05gnyHOIE42qoQ1aT7VBdC2cHT3mCD69nn/uU49NLz6Fpn7mxr9
ZAk0BtElSj4ItEvKQyB8pEHpFG08KCSKweSAzVc3e3QDnyHnsh/E6A2VXIA6qdEckT+QC3TPYsZZ
lRNjy5UkjSi8CzgQNDEmzSiIt2kbCrLLVYeOkXS3JPD6l57psYOQWUCaAEuYo+seQEZouiJSw6Bn
BQhn0wY1sLOTUIjIY08hRzBE+zoCfa7LsA7fjQASBy0614BpFyIdqRsbHdUsaMiKVAGlEPhuQH0c
cp6otOB+7VgK2l0E2nOK8bUOGQCIyhrL86866v/ukKmh/M/dKor/WoJ8uP798xqZfvHrGuEm3Mln
SVsENgk1xq9rBDUiHrARCvCbiR3r6xoR/g8EXKhu0iyAoEjiodD01zXC/x+cPQDXHMOilw2t8f8J
DJRelMa4iaYFdxs8AUeh7YxbVOCChhShppTSBt2yNfdA92J7ShuQtT4LUlo+tsiCSLnSFCRUHEsX
Dy0CQRCK1wIxZWmKKT/i45EMJbMEVEutQIp453OSU+eeEdRIXUkCA1ralM0KI47EDSnS8G14uTYs
SEwLSISmXhmN6HUR/T0d0SWPXpEUIJHD/wKdz15lBit6Z5O+xn7W3Ih0pl/7a4veYGL7a4tyoFtD
NoNF79TEv/O9owoIABIQZ1DzgGvhK9CZ2iLRUyyR/2p8Rg/zJxPeF1YUJHd3MJ0/4AbI/yICAwMQ
x0/x0yLOqfvBJxs4bLNKkaomc0pv0NMsswHyjB6yrmzQGVIECaahGfQJUi2HvLuppbyTBQ6M3zlY
vGUehW7ZS7lN4wXvSZifILiJFLOIV1NMplZcVb8kMYHAAjTZlKLNYrVKwPHmpnjncjE0EyvCj60o
p4wY1EeQG8XjPU26fS5BvNoPoUafBLzBSDGqMm6DxgKwmCsVRRVqL6QaC44TMKKSoz5GGQEub/QH
RRXKSyXaX6oI2Y2RIjoorbeBTAsQPCV4DroKEiSoIKVyIBIfrdGj74DXeDeK0E0vwAONLo/6MR/x
qh1YCCxQlMf8ghKHM6b0wZNiJAdTqM5DY+bcE8w+xBVtQXfxLDXdhinRr4VOJ/SQMYlg0y1FGjxd
oinMR4IZrT4i7mKmhwh8gbZJHlLXKFbGl7ZEHpeSoBOUjimKo8FTxniPSdYFqieSkdJQBQpIHZ34
klaxggOG5AexEV+jgdsxboDSjYi7c+DZhxBNakxJiQrDh1HzFomemIHCE0xP5yGtpQc+k0AdDCGs
v7CI/7usJnjZn/2A87sdft5T0+/85QTQO0kywC6iCRIu/1tzNPN/FM+hXYwG8wkwwhNF2Oy5g19A
qwIDEhZ0NHx5AbCzIPkI5wHoIMnif/iPnjs/kDhoICCR6gVIGWhYilk4gb4i0N9EewkS6LwRAyOQ
gcDVq6tXvu1XwCI/MCmfpkA3M8Fu0aKBx90cLMKDE4xyQZ9i5jy2bQvhEaAVJG88z+b/8P/RHbEw
s7h4RanhGreBmV6M7AY84xEU5PiUXQNv/nCfsEMBtgd6Y37izVxgmJCD8YDzdzGc5xHCJ0AnXJMK
vODKfz6cuZkJGTOD2NAgkahpV4xNgkPGOrpwyCxWcGf3rUyT8g0QthjMYm08uPjcRY3Y9JLuBcRm
H77EX+6boBYREYtufkwYwOQIjSjsbZyR+UiqYpiI74TYfNKRi7cjCD5GcrRtdKBe+wfiGa+/F/5U
2bXK/Lpv+tbOm1leAv5BHyMSbgfLg4DnPKOy5O+OWBnebRsCB0QbBQysNI1+tk5iQ0N5q5diE9zH
bJgpYRnKJUrS90fyyVXwc6H+MiOQCygilK9F6D7CzBV6kbqB1jM7ec/0dEuo9y3dHI8AmicQNwA7
zE8/n42Ho/g8j3k2NqGwAVaABg//Cpm3lZWhp431YzwzM5N/mplJAkjGhAnMgPfV3kKjwCBkTu8v
iRnZ1KPhq+g1GaGUIzeX0ubfyi1EBv67gS48IFB4o4CAIEZl0SxQvfJQMZKg+nvfyu2Fmw10sT+S
BPxUSQwz3rXZUWZkgB1VA15VJTfEv0LyP4Z27MqcLg5aFhdkE1UwBaElvRrRB11EK8O5dW1QAovL
icQjDOic78vmen7FjilM+Az6ygtCDodRdsGF6GfJyvpMX/tjh4joC8E9hXh1ulrnO0QCw2KB9HJs
dkpml3vykD0NFvmIWsz9Fbo5a192hMXJCqU4RsGeis2Y/U2g9ah9uf/3UzdP1MzA4sLgshwclNNW
Z7eDj4KVnJvoeVcig3fSTq016JPqEhiM1zb4rYHRyHzgPcx88o1+n8B2EMsWrz9s8BRN2BygOIL4
eH9st4aGrC2gaQDkc7gSv5vwBlYEEXoTg6n9WNACkDsAErLDygpRN0cyM7P0SVwU0mXbwSdpxBm0
yyqEuFRPc03yXTI4BXxB2v1x0bf2+XxgC/fUJSMbEWhlMJl9aZV77rE4ZoqgRYbnHEZlUEONf0xU
yQDcSUmV6xboBpnQhX9woOdfsTgCLkcRoHrEuInwIeVzuQ+uK+O8dchmFpYNS5B3oEYRZHhmqxev
zSuKrdR7msnomtdwtlVRBW7O5s8eaCWfOBu1QFm0gKBBDyBEsnVoS20k9f4nrWwpdjHzLFnX4pD0
OPYeAf0xXwEwImxXuvRAQfLTuczHvXD+JTOSRCpgZgH7UFJ1tCCGtqP2pAZOLk10QIAra4QN0TAl
UAl1MO+PkVrZXhPb79y3uS3I/+gM0w4UrZLAu4VqKxugGLJLWQMTKR7RyKWv+G5q8mRLj4pKiUAB
4Y5HNblwRE3m5T3j1rgfCugFRLgfaN7ge8CHU1Chi1R6AX7cDqSuBuFPvWL99roKiJEY5O9+tCNV
I8oXkFGLTWF4FHsAYwE6GcBXdn9mbwXnNEpB/7aydOYgqCUgDo8h1kOs0eDMqEGL6lPZcaRGmXF/
3bfG3t5Gf5ubqKzm6zhSoeRB4gkBpsIboRUqkHz5gMiV9ZLJT6JWqigM2YUBZKL3AtiI/OxvQvnB
FCx6E6nnQU3ld5B2qxX+kMs5+mqrtZ22Mu3S4nYrk4gnaGg6T+lxOW57JNRTfcxfKuatRltAV1y7
GGQ3AHEOZt0kYHUo9aI/lAS94lLZKTT4ufv+nisIDXybqzYX/CivsDTQFX+JTKBjyaNrSIIcOaw6
6NVzuANQwQbOI33rTYjsbUGB9SZtkCvqjJPMIaEK7JwciXIDFWq5MEljOFUmc+YOvObtQVJBrmym
PxyYr0+eln8WpLZ0TxY0DRZbgB32oKEMZXlXozOGIVYs3fYHX4YWYRUV0y7rTSeTEk6tuM/Jk1C9
xcLKbf2zqRIvsdnpmCqw8/HENGo1XQYzm0bxnxkH7Qy7Wo0v9UHaQGJO8zfRAXz4tAx6jvx4/6x8
dtDcW/9pp84mM+GhWl1FME5ve53QY6tRxJOYKxSgRYara1p4lA7pEaRrCvCxhQOckeWq8U5c2Yg/
m6AWs7C4YaC+x0hZjiORXcuDtM9MVwEMFZKxlCkb8c5TpGNrCzvvAu1nUGVv0Ghyfyqoad/cm4rF
7cONEMUKR+wr1the2jeJlL1Chuj2lkZnwGO24gM+29R+mBPBSSGhr4KlP7f5bOYHsXK7XoCX4qQY
4CkUoSswuBKEyQDlEYBUFgC5nS8A6x6MOldANUPq9ZEASiSAakPQKASUlTKwC3CTeDPawbM4XVmU
21My+8bFCaiHARsEMhFmyH5U/aWAOqJQbiTqEAAtOYZ7oaxUCnlnqBN3Ur3SI3kzvpwZX7jxJE4J
kQlhPICkYgryL29tyacL/c4SfC7RbAkEbuiQnsLmh0TeoSKZS05lDwXYyUS3R9MFp3sjtXLaP99i
92wuHG7iSURcdRhVoVGgf5JpdFUYgRkD96W1KnMAX/iOL+XtBTeTXW7Ey2gzuwJHEczCOqcgCgCs
0Z08gX90V6KB2yH915R/BmizCck9XEwCg49rVdqugJo9JXawLQz/cdTil+AMjJnwLyLPPz6Pb6+B
AMprVFNAN7BY5ZYCbX4DUXITFTkxioArQE9WQgLbFsupCCqy5O3+Ob8ZjIh/GxQXdy8BYCPOHQxS
jQEmSmcAEArCM8OAaLpYWe3bW/jL1mKxPcrryVzMsYU7gBlRxfEEf2XN/uBHvmwsrg+CoXOKqTAe
9yhlUNmUW5Mz471oU4fUiWz+Eu4oMKli42QqyODMX/en8w975sv+4gapAp9EJwrGGEGCDfr2CqVn
R6hQm2yjRE5ikXsykL39fas3r2awooPlVGCQFlsY9Yaw76sMRhsw6YOMSoKQWJROCKDVHN/NNZyZ
WlxMVNGXRDGtoVhCQ1Rir0QV2REa4iio3QzhAGWKCuIu2KpZ6iFZ5VbPkGXTqWx4KBrfuj/um5sX
/Kx4LkBtChWC79d1RiQ54TER3p6bEijHl+5QJdBhWNlTa1YWWyqhGohWQqsTfhElvzCVWASp0SAL
6N3wxe4hkMTf98d1+6aZDWyxoATBsTGdpohDoRxZdW8CVBZY+mlITglwpd2WhBxp+QJRIsiG/1s3
548uaG24089nXq8HtwFUrrLYlADm9GX0sAF2HD2JwkqEcfuozgY5+cKZoSqUxjAsMK+FljrJLnnJ
n1tLEGTRKfB+5w+C4e6qTXVglHobgDR6JXFxM71Lf9lf3ncikyZZ24D+MLR4pYVD+F3umTek/186
o9nKMpo3oEAuDyDuv4TaGbrZG4pZmYRbxwncXziyKFKDOnSKwmZzkI1+QLYVwh7KZcHth267dMXB
30ztzU0s9hK0RcGPVMIjeiFKQawSFdsu2UGOkfBsgQGFMGrQ2Q4wZJJ5icYdLTg8dbq/n5eAk8/y
yuwblpW8EBQF4UBN0Z38MpqxjmwGrlTqiTcaG6V0hdgxJ0DinEHln8qdZHtI3UAZRkHjpbpG5HTz
hTH/mMW+i1y2Ba0QPgbQQwPq4vJboaBllFQKtVHRu+/L10ZWAX9c8VafRaRlsDM3vLjcoyQqBobG
StQYfm+xmmfGVrATDeAgNUKpNbT/jVqnjgpaWjSA1RHhRHitd5iHYiNYazNxM4M4+yB2cfnXDNWG
NBSxzUymZBU0m8qoswaBFOYTJbcyrwZGsI0MiIEqhE2qpUKoOVZm7Ts+U0l3JuYT9To7BaBrp4E2
nE6BjgaAc6L1DhTu7FrPNE5+89VaRiLVplQa+YvcijBX7+MODdCNmqm1Ih3QJKLyOrEdr6Taa43q
7zqd1JH1NM612uqNwhyYlcVkpmNz75sXJ5fpGBZiEfhmQU5OwSm+hJfhgzvjAx32WKq8Icgvqe5a
IPXeA0wlu2eo3+reIXyNnFhGt4Qa6QDz71czaLeCgfmiLi9Ftv33ZCJdZnTaGyX38uk3wkekb9BU
i/VbeTV/0rPcm4rFBdmD8I+vR2yjUt3uIXaCpCzKceBi41XBoJCJ9e3w95rRW5HyfJgLt9bkY8Um
HYzydm6NGcbaO4KebNHBoknHxmpUp1FFHT1Jz/ed2e2VpwFMAmwCcceShqNnW4mKeVzOSKfLeiUn
WrvvN5EWHwpWrm3+wJwSZ1QEY0qkAYAEHhBBPYaGpwKxi19qTCh6bfJtqpj3v+xmHQ8kkXhFT/SL
oL76fptQFbT0aLzYTHeLDhUwPMiuPjVgvadb6oAm6Pvmbp6AmbXFRkvTkQbYNACYQYCwV+6U2S4l
1gLOz/r3j801s7JY57JqxYwLYeX6kmiB/BaqiXJAlm3n/kLmVJZ5WTvHSgynVGJzf2B6MdvhFskj
4/5wb5yrKcpEFQlPMwTai9cLF+GVFGchvDfC2kAGXTMoObxcvW/lxqR+s7KY1HGkBrTqwkradbLf
0nLXoZ2urVZi2jUziyPb0JUbdSlirwoPzFIKoBXjeOjZuz+Y6UJbrN23wSweCyNLeIMn+SigM4Bu
RzqBMM6b/vWsxn91w01HrLyE6GmL3zEpLuav7PKyJD3M32BUICK3AZmLfkOcMzsSj2Awd1g0OG8J
XToMFpK0z5kaoC68jdY+Y7o5733GYn5rtOlFDRTgzRfoFblWZGfb6iXce07hlDtPF0/EL2qLu30f
H73zihu4lTycT7u4ODK9lNRlw+PIbPapymnUpttFr3SmiIdY1szhEeTcam9k+xwB9tq9uLoAizXn
ohgN0xmMd0c/lN0D+u0d0Wg8BXU6vdhnB/aJsqEV4wyOcuT2lR0+3N90t3JK34a/eMBweVWAegVz
j9jSqFDKfh4fsyPaho+x3uyiUB0NtJLscDvg5cG8g2tBr4/lqUT8s6E0327MTBf1Wquvnn7/024l
66FDAkJCGl8I+bLF5BT5wOZoBgE04SBsii2mBFWF8RVljbXC+o1X3DdLi0ko+DKsEwpHL2BbUxxi
hSs7pW5sL0Q7RrxSqrzpTb6GtUzeolUp53Px85yzKlO8d8I1i1bTr9PR/XGmZlYWt5vLjXGUTvcN
sHmhnOQdmkRAiDN0Z6hdqwzjb0mmegsYIEkDhNETojZ1rQCI3vureHuLzz5kEcd3JA62QGEVB1bn
3gNT2tNapgQPrE5vQChjg3J9B+6sR1BUGFMIFOz7bu0bVqZ8+XilhpTKUwbfsA0P/WWKf671W3nI
HQKxcnxtAZFGABzole2/gExmR9n5LtY8feW6WpuLT180C90bL4p6cVoU5oyA3eFkCJzJ1Ucic+fA
ZE70hTnWWlyAdUQZDsCCsTJzIHf3F2TqtLi3Mz4/cvYRIzj+wSqF/QfzHyPGDHhAdfVeITSqlXhE
hFvyBRTtqFuIO/bDu2Zm7vRWYqByMHHRK7wjGewl2AovogflDrvTe8W21yLWlSP5mY+YfSUnZSUT
sViy2unfBD27ugaxj0zu1NvxSXgl9d7IjV9rYct00/w4NeAlA+8lBST9pOc7zzDEQtG5FI0FqonG
A6Ld2xEUar33V+BGMD6Vs/82svBraAgu63IaWhGn52QYKjnoQF7f1IVKlYCYjwRxHWpiJVl+C6JA
ccAZQ6ARTTXo2/w+NjFPsoYd+Mh00+w5Kjs7DrstHbZwp/2eE9wtGt5O1AiuPh9gmALcPFDcgNhZ
9pwIwqGHsLfSimt4lVsnE+x5k3TkhCRdnsx+yjhxPBGZbKmz4S83ex7Zx/98uucmFqHo6DFt6MWY
7mRs5KA6sG0EDiFRlXzvocDki/4a0O3W0wJT/TWqhfPteiZgmCmmGAzyI0NtprChYxNvCrRgnIOV
8GllCqceqfmehahaj3wrjPGs9O7H/dkfoVTOgUTv/jzSt47kbFSfsj6zIzlQsThy3nRxHUunMTy5
N/N9fx7l0Ul1Howtj7+BYVW7t2rTb0HOcoWGjZZqAVQ3VpGRt5zY/FumSZl9C5WwBFiDMGgWfF07
78ViXt4hDMGt1fFvBiFzQ4vDKpBeQvHQ+zRBTBWZ9S/RqoHoKbXxZahXJvhWOWS+baYGpPmgQLvr
kWSLwwCZYROFPHCPPLpWLYNNQIt3oJDYdm/31/RWvnNucpnUkhJPIPoCw9uOquDKwS7ftzbkkXVC
YUCdsecz1X9YuQZvOdnZlC4BYVzhiUzbwCZEyxUh+8i8FYDmzXt2bmERzzVJ14AvHEde2vNK9TtA
b7CaguHBAvGP1hv+1n/JNomueAd2kxrJI9L1/VrCfDrjy6tk/g0LdxsjoEV2Ad8AeCOtol74C37e
zjfiPnDYfW4mBk+p4ltsBDvqjCarclc/rL0vbt00s29YNoZ5UcP4GYMNlVDIpyRbCconfG0FrJHw
b7X/dH8zrU27sNi/bsKjbTyDg6Cy2A7C6LEFOzGX8sAVczbF5HrdhSBMJK2+BjyF9oxGaJ0kSq6+
C76MkobuHWslSWrgolDyKNODvDHqpiunPmx25bRNB/fO+iyLx8lIMUHNuZHZiSTo3Q6FVIBqo0eT
/cP9aVk71suqse+xQwGhJLxjLhQK1LZ7LC3/DBrvY7BNN2WhBPu1OGbFVYuLOyGtoFaUxFgJSXqv
ObsvnLGetJhMyDWszOPU4HhvIsXpIMxccZSReTaK2GRIh2vtBnUptX1mzmDg1CiTlVn50H54WxSv
cw27XoleQPf1lj1EW8GAYNoeDKoP9OZMA3uLFOC2f+p1wZnwRKEd6GsH4lbrytzfLTMedFuNBTEl
WQgT2yq5BgAmnaKte+YD2d1DQcDqTddpnmplQNF25R2ycmmJ00zOZkpi6IwDTBVbDqxwBRIuHQg5
qy2Z7qF577JgXGXWYBk30xszF7BMb+SZ60nFdGnjfX8cbPA37Ui8v4Ds3icWsSWQdmbV1ByVCQKc
bdYgGrfyv98mfHF/DhLYIMDpjfTKUyGTCIVqFUjK4NRpvJ1aKAfIe+vw+P57lA/PhF1YGvp6lBjs
0KRKy+frylFciZXExcVAZoPAtyQSXiHd7zp6gICbAT65gFPYmtSzllAFDtURgtQl0OxECaEhv2lQ
hQ88fPjffszCXbJl1UsejxuisgHvIAEzDR7LB2/Xi7J7qRoD5Aa7zCGslTlYuRSWENe2cese1KZT
JXd78ffNBN18Tx5Ao+bin9hToLx9Jg7FPtDvW/5sHrjjcpfQVYEnshHFK0CEnij1Lc5VyOAFmvhK
bcq98CiYhRFZKVDa7IY3hVdwV77xam37J2TGThM9lZE/mPyue/P2zGXl026lIGfHZIllFUEvm9Yi
Pq1T9D08VGy9jBvpRHdygHXwTfPsb3+h0JlsUuW1AL73OdQIR1L9FW/6k1BdRBv519Phkz975iP4
nEE4n+BDwNBSWpXRmyANAP7YPaLWrtX78IxKqB3vsy0LHuBd9oC+E5Ag2xHAM4f4pVEqswWmD3yi
cg/4Z6JWj6sQ5OkVfG8dF69kJvJoNp9SOkRZXURqkm6XZKHjdwKQlT1YcWvKdgNO9T3wZNKPQDCq
ZW/cX7GVXbxEvpbkCI4b8KDj8CQfpJ09AHnOPqUrVm5hS74tx+KdMbYtX5JTJEm5lgiXLXB2ClLx
MFFE3jeE4pkmG5WoDshhWxz26H83yIXzpN2yo3wSgyToa696TQj+F2uMrkz0mNYrp3MtTFmyJYE/
Lajy6UnF7MUPwaw342bY+aksylQht8fsF7nh1PvjW3t+LHstXWjEZvyAGxFEmHawSSKNBOfAAytX
DkCbb4PDbyQgds37Zm9hC76t6iI2Z7zRY6sSQ30ilUquXjIjMKgNq5Gv0Ra8aUO3AXzIaR5dhdiH
e+jUnBE2CZ3SmPFDlcjhhjZXPmll9pllO6jA55yHu3qqkJOx/AI+ueKIUojjgjMdLZO5zG+KNZtT
ZPbjHFMg6JpU+ChuGRuURVaJQ4nZ57fVR7cbHpJtYJQfnRPK0OVdCYNvHtiZscXVW5fg2k0TGIuu
bKryCiMoynDO1roSbm+pmZ3pO2YOtIUkRluTEtJcL9VHsOFMZkM9ZiijoIyhDG+iHqlrBaybUcXM
5GI7FaVEZGwKk3UAkWwa6AF+k1Hv9zftLeAAxX1ZWd6eYsYzhVeJsKJn8qhTamJWR+8lfyTPrVbK
jJacE2yVjb9Sr7idApkZXjwmhJxJYq/DS6m4Mq3i62BhAj2lXNrpw9q75ba/ndlahMiDS8YeWrIj
s3XKS3T0NNbqj6VGO+QGjBvCyrV/MyCfWVss3NiD9DkLYA385A7YYAODszNUugTrv1o7sOJ935Q+
xZdsDk5DROEA5L+DHMgsHtj9oGeWYDwHRmERFnVYRbdMK/PnAw6yve9mwe+ZcRWNlXNzJSoPns3/
Ks1KNPtr95gBebJyxKfFuWduccQhL4uCXYZRCt2ZgjrF2P2jatLXIQCo5PuIBLqJcog2YsWU2nJR
mw52EaokqFPvRWc0GrWCNLeGs7CnfvkvAAQ43YY/3V/NW1jM2UnkPw/MzMUwlD9KRI+PGPfE3jv5
euLEb55dGZ6WWGjMwpuqruVaYx2E0W+g+bxvf8UTQKD0+yRQLRodMxb22VwB6AHlUDxW+kNtFUa9
aY79id6TldY5eaI2Fr9SP7rvx6Ep+N14ToY1lFqwp9KY2hIQxYA2joE8yq+GHPcs4zl5ma/k0u77
V/7T5c/mG1s4ywpQzEHgZe9nT9BLlLvwv3IF/GfiYGajhcJAT01OrhHUuNAavd4xgwzeYit5vL98
950OZHC+T2DPoejg5xjNeAaB4iXdx4/iU238o2TD376NX1ZWICTQt34BMygE8AoFjWtZvLR2svf/
WRT3ZWqZtwbfNBgGBOzHUnePPR71td46rHbiO7nFcw6q4P5pNTJfmcbPMudswZpa/PelC7jnIL9B
+lpLHoNX8oMzwaHrBBdRzaCQDYoBWr2/gCsXIohQvq+gEBNdAXWUaFJF2xGlGlcGbZGgXIcSy6Ve
eYKsbP4l3JMPwzwmGExugw42vwQXY6MKAIvcH9OaT/tsjJ1Np9gxg8tPMYyg1/vgyKrQ/XEgUK5f
0D/dWAMwKLXBqfHWe2qf79v+9Fd37o3PRtOZbT8D1QxcPU6EJJcOFG82lAM+9lYRdage+dfyuibQ
tuZCP5OaM5NlMvAN1WIJ+RdUkLKryENTSWacSk9HJd910NiypzZezu6stSDnFkpvfn8sO1Bqic/R
hoqjmV0bIzFElT4kRq6NSropoIYiQwvGgYpBiZustRtQUgIoIZmiqwCwoHdmpLon4tBzK9fK7fTM
1zFe1mWonoDiQTvtNJDD7qQzFNK3vckyCqfVpnsA/bTqv7WmaxV2hu5GnVeZTW/2H+6p1OlHtOzq
OZT0StB6m/TJ/weNJd8mbRFcUCn67VoSk8Zus9d2722hf7NyB6wdtcXTQQA5Y1PVMEEwDkt1MiFu
uP5pZbOv+K2l0qsXSTFLj5hl8MnqIZDj58R27QEvzdFMHOTET9QWBI92sW+sdCWUv9WyO59EbuG5
iKzv/KDDCJl9cmQVsZTBE7ZNHHffHTKlQSjTHbgtuGZ/o02QkVMHLDpqa9Tbf5aF/Nps3OJRQYoZ
SxMsDqCAnoJQRyeSHCk8+oNPhWr7tqcfBZXc/bo/+bez4TOr04t4duzjESxl/eTleMO3vLdGa536
CSo90WY8DjqlNK3c6OJ5PLKMzCKihCBIupJn+SyT3/F23CJ660NwEiUMRt6/j0/BLkaE1j3SJip0
xa7ZZg6U0RDGSUp6hgCUwm145W0itUU1WHzOdyTQvMfoQnNaZ96fnJWNueQ5hR5dBWkDfFcQPpGg
W073XLLj3N/+8JsEyfFakXY6rz+ngYVrFzlRggzsYimQb2U9OByzg3xFK1AaIC/q4FLQ3aDtthm0
+6NjV8xNP5+tfBtWI8NM6QepPA7Mrhmu9//+teEs3BOdohG+HTF7UqW5YLcHafIkRmRXo3rf0O3k
FfX3xC0ZMcDlVZGo20+95q2TPqcWc+nf6e2bhMQZjYxR/SEp7jNxRTBikYfUDJBT93xZcqRf4TY5
Syu39+33wNfnLCY2ggAem7nTOo4QHohAqgBuaKqrVb+CAEaYH6FVuDIFU9rzztYRpp/P1rKU2gqa
iZjrEQJs6DQ+CpAxWQN9r41rOi4zI11NBzUNOk+T2HOuHD5Kx8rhoOO6MpZbbUVwyX/P37I6nLbN
2A1TOQZsiyh6O534nIhPZP7ser/ZEsqQ3nNIvrDdto4faCjIiBCTMePEZMcnqT213imA/ORYmj7/
KIBximyvLGCWPbXitv6QV/v6zsWkV/E4SKDpRnRAEeAtChR6fPWABwdtvNCchoiRR99sARPsjhz1
nEQXuFnZdd/u7/7b0KrZdE3LNluWIY7LkZ7W3kV8GkJl+zd3osBh/54e4+1qhnTyxX/aaRL4dRbW
0AsoJq2PQXMtpJ0CSFpSR8gwof8KzFiPIvOr6g5Mg9Y76qmln3tmrdnrD3Hqv2Z9+oDFLsyh9hom
nxmcY36QThAqYMzpYI/gFWIYOd9KDmuicgl93/sT/YcHwd+Wl+9HtgYpDxpnsN4K88ShMczbZXhh
jar/BH3hfXziweDiGd1746yxKa3aXgQHfoJcJy1ikSOZQq4M+k+qn2wzyx9lyaquvhVuJ2xZYfp2
fuz2lZOtOLW72wzzvgTJ1kRRBsHk1VIx23Nesy37bFsS7pbOBGMEjX3SQ2yESI1UamV0Kh7vz/7t
MuC/t/lkfxEkZKLA9lKAGchRLocAoID/AKsQQhExUMJD2OBRECLRrHlnqNCF4J8TtPBMW9K2NVCh
8NTYliwSLZqVTlpAq0FOQH7IV/bIHx4yX3tk4ftHIZOodnoxvFQvUC0L0NwXYjo2uQM4sylC8znX
YpQswys0L4GvZqxSB8oAeqVqgMqqXp9iw7w/c5/v4TtH9jMEnjmILPPZaIynvfPRoZuDvSTbaBMD
lEKdXWN08JF0KUcgkVa7V1xSz5IOik8VRM7YUJwiPpUAg59FdERGFrdtLpVFnvMdJGvZt9XeuHtX
zLTIC5fawJPlbIhPJc7NtbcYPU4UygE8vdfJl/E9vFDq1GxbgxcvsegDqY+dym2HC4BRh95IkM1x
L8ImTeWT1mssKecP0jO7kuxc3YmLwAbNT7ybevhIvI/Bgb1DEcBTq2ttxXr2MFqB7R1bJdy54L/y
FHdPOxGKVdUTrw6ckiDxZP5GllsfUelXIezk7nJlLSM5+cB7K75w0gkfu01cAWKC25NHFyfqlMWR
FSJZEhtgJwPIl6365ZWLYUmB21V11YtTuAexscr0ZEs2NAfage4TjQ6Z+1v6NnL7yxl8HsPZlvZ4
kWebz2RF9Uag9bw9je2lB5I4RtoX/O2lcAExvCIRxyBGZ1/ouO2u4ICaiB/uf8kf3k9/H/gl1hga
tlVSTVnSzZ7cZtvRAdmLJlqGwpvctAnOOTAHmPRGTo21IsrKMi/hxwJGG1EdnI3kMvsuHf4fad+x
HDnPBPlEjCAB2itds71cy8yFIUvQe/v0m5zYHbU4PY3Y7z9oDqMIFQEUCoVCZeaqzBVTVKEuz9q7
Npfvx8QHHX27uj7mf1T7vse8CMWJMIXQUESCJvQMapP3fbmrw6Po76TiKcrvhhC6cX3JqcdxrS5C
a1v4E1qQcABBXcIK4cil8FWDWFC8LWWvZq9yctdCPvb6WHkH7+9urjNPE/QcQikzNME3RugFQTdP
cFtoZpPAJPkp77/AAwgJPygIhZBAV27kCeXldVY/5MLnIN9n3RuDEjONK86H/aNE+L0Ii1CZC22e
pPOrQ7GD9iCUcNE1uYE45itdzY2NZv7B3XWXq0HfJheBrxPE2g/mCkWxQ4vgbbAXXtvYrTa+029a
KLUBIiM+RZwKDc/oIpaphVrlwvy0EzSQz4M4Z0q8Et3B19d5nq2/Iyb46KmOPIouC9iiUEagalZw
RkKuIe52bUrsxm8hDc2r2vEskZ/pujjENC4FFJwYagiszj3opjupVm3QiPd6fVD/yNm+R7XYqCpk
LiSoZs9vg8lDXJoJCvP3IDtjW8F4BKhsy7E3O8C1WVxsUaL2chzMLywlWvXd6AgiVa8+BRtZALB9
snQU8QwIKp5AabjmmL7sJt9DnX9/tk9rQxYKuYJpsmcf2HC4CZvxAaj67fQ1rPzQ7FaxG3CuqtwJ
XmxCWZPbqmOw2oNmEApbuOxt9CMUGh3jxeDBleYc/9rsLnZCKWQKJGwBV0py0TG6jWA8xekhLG4F
BjLV8CmQIEMCXsE6yThp7T9i75/ZXdYm8zTNQSKNcRbMTm6CLbL/rXqE3kiSmqXI2Ytca4st4tNY
g+YZBjrJ2boKsjUoIh7rDCX2YpA91vkfZS6+92PnZqnhcRxprrJdmeVl0U9r0GwBXm4cM5LmpDno
e1ifr3pdWqdUv8uaBjqsIF/JwM8Azpfrxjn7R1kEWMgXK3EmYL/KFdSRbEipvzK0e62uW5l34bUR
LvzIIBAkRbBBWZNJbhbGttBxXJUT45Q5cTnbjG0BbZ5UgIUgtKDDWvnQkDOhUH19HP84Av945bJg
Ooi0B5sWpqt4zh3Ug4uHfCN5wxZAgtGqgNzeMw6L4uWM69vi4hqe6ug5MuauFbFLVdMP1TXpRojA
kUM0lJAwpSu1qt6ZztMX+Uet6dvwYktINFCrdN6AbD25aGy1Q0dwdGB3FJQ9KtD8QBCXM70cN1ki
P6cCT9h+grFm8a8aPLpp+sxZP05AUxfHBWRUKGlVrB9bM/AFbgp3eHtXbtlddUg5kMDLSBywv//f
A15dnA9KAqaibJq3tbMVLXAmAWU0PBse+BUS3QRHxobYwkp+l9fRAUQDbnYL7i7OeOn1jacuToug
DINmmB+6wtRrwREW7FGoDfbjbljNlTr/M+eBHXgHlLqMKF3f93WIKS7hrwn1pOpFAYH9oD+NU2r2
Y26riYH7f+6mBS9F5UQzdRFnoF43jAJFFOhLy+hdNpoDsCW4CvMCASfcLHG83ZRPatpgkHXg1lR0
Uv0IqkNXEDlhjTOgJYVLkRmCgi4SVCe2UgjGZn09vg8xx0s4icys4nceO4sc5ABsgBGqBi90FJ6j
VFyPRHavOyNndy8VixRB76jSzY4x9w5BcbyBXvB1E7yRLLZ3qYWQC5uzzwBS058JOHV5Uh28sAjZ
uB+TFRqQ/E7mzqHa0VfZA5pAFC80cysGGZt67B4htgaxNF6ay0kRlq8ttBcC0S8xsEQ8yMWTgf5+
pds2PXTeNgXYrX3fikLeveEflYY/EWwJXdR8gMqiGGPF84utHX91a8A3k60BprfKS2zhMD73D0AK
rgO72vucqwTP9Rcnet4rrFHmUD0162AGyENvHOptknQsq/vrbsM5Y5eAtCHVmqabX+RrtH7EZrZN
XsHr5wb3vCoZZwsswWcRAfnnMLcP5+VB63yoA0ycI/QfL9t/1mzZTx4bchvGc51KM0sQfQHp5zAQ
UE1evZ97IxvzvbVH+1RZAJ+emAOFb/MWl07rFrVg+4sXWngzuzh/SNMpDdOwiLWTIm/H+SPjRfYQ
EofHVciJyEtUmRGyYaISLOVALxEw7pug5de4UPTrB6q85MPxs3gMOx9mGDiCRCvdGjdoJvYg6sHA
ri4+czzzH8Wg/7eceKj/GW6yoZvSNoLHkFW2Js5kSof0s9xDBhtATsAGccv8VJCgTTdAadzw8nau
+cWB2sRsaMK54ad3Etmatig63UxPFaQljyKY6tKjMkeGtW9Rp37o3wTOkcGJQODN+Dl8VkRCEc6P
G6BEudHuUQjb4PDQLcOOdrWlUtP32EG1SxvaYMIquuNdQy8RPeJl+M/8/744nt0rqJj1SS9jAqLQ
jDeVN21vQmvwwhV4ojzDlYCSRdbvxicKMHljlsdp35x0T3oEr7tTr/KTfqPcTRs8Fj4VoimhVgyS
NMGE1EIrWcNLfOytbG3sqhV6fXir94+a9ffHL+4OdMr8QZ1vKymQS7+Eu9SC3I1MoI2hmzObI9Cu
6FuunfbpejzlXKfl3wiDs1nTOgpgD4Vhskoe8lsgaG5AVbr2t8rHdUvXD3z5933tzFCN5EiGbClS
l8g15LuxNOxm7P63mArlp59eqEuGL3UMXthbnTs6iguBdpe5jQnhHlOyZDO1gk0A9lE06Tnz1BK8
q/nWLL7X2IqJnkELnIq8r+KEomVH9gBCDEOd3wGS3eQO7hEvfdpt6/puEFgzmGoNzqmZIRiMnpv8
Qdy2NzG2DyThXMC5oj29ATWq8SHwUpXr5zbkHH9OVq1GUhzMqXEIqrbWC+9SaJnZ8g2U5bfUSteh
1XmjSzyeIAPP7iJSCgbIC/QOroBKYLD11wGQ1SXnTnfZsYlENANSbaq6xO0aUg5l3BKeoB0ZBM1f
DRdkCpYOnPCrcXPdtS/DcL5tLbFGkzrGZTwjOZ7LR8ElG+g0NLUVfAz7U/TL4xi7uJHOjC1ChZQI
Q6yEMKYcp85kVnDb3vUIr3ZxnzzKOyqbo4egBSFgjuGLXnxmeHH5iP10EMQ5x5xs6NaYa5+Afl4I
zADiX5ac7NstZ6gXU5Izg/MHnYWMZhziVG1+L2F7SPeo1m5kb9yWnH3AM7O4J+QszApjLur5eAN9
72sTKE6Z2kLqlG4ScIpEl+tSZ4NabLqkbSYST9h0itY5gHe/iQG77fVuR6ju6IFkoofmM8u7bZgP
u1CKrbqVV6Mira+vJs+LFntQZJM0tBIGPU77KUutoRihMf103cjlfpyzwS6SAj/oUgDYsYLjBq8n
d4rdPm33aBzfDk/jfvwoAcW29e3wyTF7MXknsiYp0GlUxGWptIz0EBGGAgEjCC5DfV9LgewmmSc0
q7DfV0roQRl+qw+DqcQFeOiDzEP+tpXz+OX6p1z+En1OTBSoEC7bK1rQ6EPwHk9H2fQotx4B/ui6
gYuxlHwbWLiTWCqxPCRyDBKZB6Bgozcy3tBXkEhdNzNnj3+Vhc/MLNwlF41cNyaUa7Rn8ojikLTJ
P8YtjwXoslN+D2aZw9JanEIfs9UzQNTUDD82ASzr+lgug4fPBrPwSqbrg29kmDOy71zFbe/KW/WF
vb2XdvoibqNfGscJOGv0V0PCyKgYSJi8cjK7yS5B1nII5HXMK8peXCSqoP1JE8HIpy5OBlp2Yhhp
2NMamGg1lJvLQwpZpzR5oAGIsmseBOJy1npmcHEi5COTszLA9m7UeCc1ha0M2baeUKyNeqi56fo2
SUdbrgKgwY1VbfReKKmbxojupYxBjjipt0lccxB38+r95apUlxVD1QDSXhZSI5r6rJ233NT4W11m
R8lgm5Kpj0Le3kWxaFU5sZRU5gT2y3xvZ3YXWyToe1keGAK7QRvZrGR2q1WDlbP6IS7Ii9iLqIaI
68T3bwjREosItadJzKm60htD6sRSsiFh9aLLwVZR4oeo6JgpRultFGST25R4JqUTROByEOnTTDKV
yGBmplWce9xlH/qevcXeGNBOnpMKe4Np4dPoMy+XU4/24Y1QjZCoUG5qGVXa6xvyYpCUFQqRW0IV
sqy1TLE+KEyU4EZ525iqELhD/5/w9Gc2FnFySvsmUCqCk8gAVCv212q+itNPLXxpgsGJDZ0TZC6E
MmN+olA0AjZXsrwOyyGG20g4gqJaMSflUe03usGLZH9PHP6wqFNVRF/C31rVsqD3QinCSNC/juhv
TBA2ry/NPC0/N9NPC4tpg46K2goFLMhRs9KEzqR1Zfmo1wQk5MwYz9Ri/7BI9tuYwBSIRjdJLLtV
A00lIM36gZeX/L04P0e1OGdEtQsNMYfDjco2kICNjtZlwIvGf0d9GAGV/8zprhnGEk1eFC1t9aFF
1FdFs5oSt5nWdKrskX6GPDguz9ZimdReqzujhq0shULFOJpx9ClVr0bXWmOmcq6zF0pNGJlK6cxC
isEtITkaE4vQB1GxN96yh32z6x/pU/xr8CaQD8UWnumMVbsuTv0adxCFc9f6Oz7NtlVtJuGQ4faL
M06ivTFNcT734rRPeGjdNpPh0kQED1MfvTaGsR8LxsknL7wP/jS6OOdqvwyLVIDR1gkPfWIWxFZc
Zk0SirX5PnmUoAV8yn71x+YQ3si4DaHHmDPpF7c6klmktNpMhru4C7EuS1QJCqKeXyJflfe6P3G2
+gVoBUapU2POVTGxyzfdCP8jkjGcuxXLz+4NRL5ib2oORJr8l+qIWqZV7gu3uhcd/4UdWOLgyaY4
qdRrJBc1MYlb0bsUe/DOCwU5oonKsmlUmIA/Sxoh8oo29aay2KN3mvNod2FWJVHURZHiwVHU6CLm
SGOhd3msR56ajNuuYwcdz7D/YV6xTWRdUzCzQHbPH3F2jU0yAg01WUbX+UbwHrPd8BKOAO6Wq3IP
wrRjAe+B2iBQCiDQQhN6tBXfsk8C9PDo8bC0F26fkL88+5Y5Mp59yxTlJFR7NfLSL9LbrSPuJQQn
L1gbKxAu3tUfMudyfSHZ/mlxEZoIsFdpmGH0CbqNLe2+hNpOvy9QEr4Bei25i8Fg9xnxGkIvqEL9
NLsI8aosTD4jNPK28kY+KW/BKl+p6xwKi6A4XZUn5Wn4KC3ykB0mYAdXylp76WsrB5cccBJqY3rX
z9EL5XF8j66JkNBT0UW41J7OR5BBB7USea1YMKsr8g1JfQjp5hv873NBaGLroXgaNLrPw9EJYt2O
gmibNMZOa6A2qMYoa2uUHcs8g57y5Il+4vrI0wyZx0ty4XQE5lOUVdWAWKqyfDFnalSzPCQRnr6K
bZ9X2wyayGET3l2fEo6ZJTCvJUUPnms4xhBJD9lIAc+oSieSgv/vHlHM/Pdwlg/z0GrVWBbBE8Yi
XVcDANjNsJWTnuPovOEszgjoneB+U2E4TSuZ4/g8qu8kW1+fsgtFzZ9jWZwCklgZel/CCDX71JEn
dPUGrdVC9fGlW40cn708IiSxuq7jXFgmMCw3kMIIY+TpgSyZ0+SbkwhcV2YknCjMM7QMEbpSoul2
iDwBV+IquRXy0Rw13v3sQn45Q5n/DGcR62ml+VEZTXMg0m/ZKf4qcpOUZvMw2KJiFjY9NszU0chn
CbfKzHVsFpqZ3+jvFNlMdctjVbt49Jx9ziJAtVkx0iDH7MYEGA9SWlT4uu4tvGldXOUmSeoUIZaw
jxW0+Eo3eIJxScGZ1kvDwLVNJYQaRCNLGjxd1UIVywcjw57OOPiRk/hcaONAAZHqRKI6hJHoMvPR
hb6DFgUmqnQA6VJ2dFuiWXk7oLXtMdkUtn/INtkqf7s+eZeyoR9mF6e2pnRRpMrz+hx+9aqVH/Jf
hSMoJr1V7f5ZOUyQ6y0eqzvk2q7/idJxsiYHY03BLBRyvuVCdv/jU+aFPju0JUiRzV2vkccAF5Nb
cOtR0WQKcGsghgVU6PrILwaZ8wlfbEetrfpWYNgoWnpSU8E0GiD9A6hQ1yfRgJBN/Drp4GuKOXWb
S+56bnaxP4Op1BOQIuGEBClVOj4P+VZveeVSrjcttl2mt7Eci/OyygDjIpIW+m1Cd4H/Sci+Dj5z
1KR9/bapYlNs7ov2JsMlp6g5c8wb62JrKsgUi7EWI0/Ro23RyRYZxx0jAWdKL21OAvlPXdFUGVzV
c6/SmePkckRon8JxDMC7AI+09JEnc3BxJGcmFvexKqlKKqpz7O6onaLu3OTvqLxzgsCl2H0+EPJz
INJYopSSwUoSiJZPiD1M4CpMNiX3hOVN2eKErdU6rHyjhRd+iQ6FZORbdBQOAJF+CbdTbfbbiNuo
8nfHGALc2RQuIs3AojgcGwyuTt+74sWYoKYYKmZf3jYg1GXyNgz2hJyu7/LfLw+Lys4Pq/PCnvlG
l6lZFNI+Aplf65B9bybPSu1Mu3qTWIVdfDQehJ2iwwSCEfkGnOiVJW1AguwUex6TBuHN+WLnR5qf
N0KACejc5kELzexGuKOr5FVef7aDOR2Eld+ahaU8CHa28a3KJodtcMwzzqact/7fM6IrBELXgAgu
j7IIKjB5oza4p5HcGTS0CWlaH5tVW0gmjiVXkdJj2FYOZyF4ZhcRSU9IRBXEPED0Ba956R0NPUoA
66/9jXBnOPF6OjTeagjM+EHdEVCtV5b2InjSOr5Pj4QTMS5v5+85WASmLomLPgkxB0m5lg1rUjKT
Zq/XR3zh2QAOr+g6QSEHzxTLu1BfqzKyiRI5g6Mws3X6VbnqT/FtvAJoBNw6NhqWHhurH+3rhi/6
mYqbPmxqOhLBny4/6WmtZwx7Wy5LLwcqPecF3EuVIomcmVjM36TmtdEZmD+yl1dA3RmzMImyllfV
buYbnKCS1FrSQT4qd6mzXoUPjWZpnBLZxTX8/oYlXG3SCiNMRgwTsunmGK+aBhWrkJP3XVA6xiKe
WVmE5CRvk9KQMFJ0Ya6B63TJaKqOvFd2GvKkvfQV37R2uYsOgF/f84b4ewx/7dUz64voFZFQKsqk
Qx0Dz9apHeuWeOg3ORT2NEikkefYBfh6pUOp1A5/SQc0Rzh9YYbYSzq0kae3nVncSifRDm5a9z22
0OBvCjeazXO4i6H97DMXqRSU3QkB/QqyDHs6sp1xX9nSjXRMTXXv3/qb4JV+RKvpXh0d4719REY3
goPvmEAefHwZ3+VnEBIklnxMNMgRp+v3AIRXkJAOURm6vjMuZpgqZF3xYiapKLb93Blj6qvM0LEj
49q3s2k75wpiUZgEYk+1/nLd2MWAd2ZsMSmqEtVtqMDYpOw64UOGejGS2KYNLVDem82kudftXd72
34NbHC8GrkCgV61wj9X6m5BlH0qWc2oMl3PmszEtQkuno91o9HMsNPhL9WDtB8zSKmK2rWyCNNeU
tQc2hnYg3l0f2z8CzvfgFgEHmt8j3oAwOGEL5Zxjs04fBeiCqCd4/2bcK16fWTJUehuvf5kqs3sM
IpPX/8SZ4N+Tc55KlM2UViG8vArQal5/9iXHYy5HtD+D/A1kOTOgGRKT0xQeoyhvdf1uyJsANLbX
Z/Jiivm9gstGyNZXhz6OMQhZri2tPLJoZ4BaPMPr4P9maJFhSrh/JKTGihli4YQjSBObymqhbZK1
nB443rTN63Y2bUKnBXpewJI8nHJ6SIKHmnACB2/pF3sr91Ej0gvMWgAn1xPmdnViX5+vCyI080nz
vfqLvdWzrmJih5OmsvMDGuA3o1d62F+9CW50VEpNdT1oLjD/4HLyfM4G483hcn8FaRZqUwHj8l2b
HCaUKhNOznXpPe18gL9/f7ZOCt6/BzLCvVXVFkeHbN5AnuOVgNFOt3RlrNSdSX+xu9JtVsnJ+Lg+
vZwBLh/USCGk0gi5Fi/1n8Z4GzWa2VOOI3K85PcF4GyANGNxTeaEb2C7QgLpe51yLoi8Ucy/P7Mg
s3QMGw0WSHcSWW9mLHJJ8PgfpgrUqqKBxygqL7llFaGieG2HL2SEmbX84I+SRTpO9nbx5QI9A3+s
LBKrOMxipsYZ4kNmIoPMdtDRIGC8rGyVWeIKbcq7yU7W7lrClWA3PkARS/5IBzPchRDCBpv2W40r
1On60C+e2WcftQhajTTE/kjxUZAD2jOZOAlV3RRwN7OSqFdobF300uq6zYtec2Zz/v3ZmgIfVrGB
pJjujrziGXpTl93tdRMX3ebMxMJtapISFs5zXfqFqTH8oPRcgMP1fzOzzHjEoBOAMEV6lQcmI7LV
op8/73TnuhneIi1iVWg0EF/JYEaNfIcpv8jgxQwrlEGglclmALab6wYvkCsiNH/P35IgNVWaJvIF
pD3bZB07dFfsgjsSAHKWr8lRtrVD3trqi+9CcOephaplYPXARq6hDaJleCJPVvXxvxxIZ1+0qEeF
KvVpG+CLKtpbUhvb0si7+VxM6s9MLPZCPHWEsAnTrMlO2mkmWlTqveLI0MGOVDPCpfa/pD9nBhde
2k4GbSW8XXiN35jVgC0OtiLGjaGc/aYsvDQOei0EnQHycqiUVqrJho7jLxcQxz/9ZZEuZEzvkqrB
1LE4M7sYZEiaYlUtsUSN2bEmWF2HRgL/pit3bc6DHHM2u7LII8ZgYOLMVYG2OzSts1smtPaUcfIF
Oq/+XzfT78VadlGkBStZHcJK9CA0qOXMvF/vI+joVuqHfk+dfN047CkszcGiGwm4BwCLPFwJX4sH
UL6sIW2mPaALLrSTAP9c36+/CYmufdwipLYFWDN9ho+bycrzbefKFrQGnZkVoXP8XX5Kb/s7ELOY
I3p4Ksset9rj6I1r8AvvO8DogrfQjU4iFxFyAUHxwzGWCHzQSA+MjfiwYIIsbQe1FvbAtNqKk/eq
3tW4LA/PWhnbrYTe/Hrg+CXH85cto6OKrohi9nySPnXSA1F/XZ/3i3cLXQWo8XeZd8lgrg8aCyUJ
J1kaQeJLBE2j5LvtmJngaeIM5aeT6zKqarqsomFGIwroipaP9zJYvoyiwA6DsnFgtBuj70y942FX
53367Ud/WVm+3ddlC467PsGBVkmdFUqi24edJ6bGidIyBMmMxnldl9CezbG5iOyqWjYs0mGzTMCj
JSU16D1V1Axo/RQaA+jWwb1hxWN+qnWo1U/Fsx6BeUvVK2ZlGXtXW1DxxaMCzhhyb/iRZrUZu4n7
7m3IIGBXgY2EluWajhA1Tcv6vi3Q4cTUFDkBejxtuSDBuk7AXFbpKaissuALEAIv6obRSxvQJOaI
KD4IP4RtbHTTc5YCUbutVaKw/ZBIY7otlUpWHTaRr2TEjcJCSzj6gMq4OUwRsHCa0gogQxkdTarY
V1hF5S2d1ClbkdqvHKntE7cGw5apFDOfZicaXyPefXRbIs1u7NTAzNt8l2dACeoFy+2xVaA0XSHE
ylSS3REiwjadQI0VxOU2AEFNMI6SWYb0KA3NjsVk0445XhRj0YnGaM2KpPS0jjwYYLrwjWkDSZ5t
S7NtMATvul7uW/2XRB6HdHzrquF2GCI8Wqj5tgn1QyEWmyDKQGFYdsqa0eQ56FjnVgUY1PV0FSs5
MaeuX8WkchJRm9W3tVVb5mbWKVbh94+Cb5horTQ1vXhgorItW1Uym1G3+47ZgxJ/arSwSiqhUkVe
1HbcRSKo/YoILXFKIByKBInOJEaATBPFLuXBQVU2NXMDmWRfTpYotKtJbvHMJ60yDdygWUgPrBB7
m7EJfUKC3DpZHTsV84EENdCdFTmSQk4hS1oLOryngE62mGCATVRvBVqc2r4ZTDmCjg2p12MkoL2r
kH4laRTbeiPeiej5DivUt5I6xBrH4FOXZUfVinUSV5h3cAGP0DOgOlQx2lXJutBk4nMJ99RV3U7l
zzqgVh6MRz2Nb4z4lBCoMKv6Ooy+DBQM0eDmanNLrlFbSViZiZ+tjEBagZDC7ltwwkSSN8XGnuqF
NaidXY0VCB3UlZ+ne2nEewLFIwtjjypI+uo2c9HEtgWfnlvnwi8NvEoDDitR7k5G09kgKLNk0J/5
xVdQh44yJrtCB3gxbdwKCgzoe0LBCcpQHaS1asEu1H04hY7GDgNYi2o8pJBMdFQ62kKR3kvquILa
vBUzHDba/OagA3gFniqx9fBOa8dqsy0nKNwN2Cei76ltv1bD3B3goKHCHKPK7xP4ZznKq4IGqxE0
OCYuDCYrsqcBlxQVp0U6xZ6eKdukndCliAVsVWsa90nCgJKjLk5EtGefirY0e4NuJwV/Xt6XlXaL
ArMz+boZN7IlRqIzIrFtmrqwMhLZkGZDW0X3WYLkoPLT2myZ/kVHcaNlhVVHEI7JxbVWEBP5jjNl
pTsljQO1hE1h+GZcj9ByNuy+rJ16GN9oZZiJ2v8aA82mIehCc9kVx2qVyqGLKLRJEv/XKBCQWULl
Y2pNUVettikc9G/to0F0EBTdGn8jo8Eh0LKtMA2WLw5uEtb3Yiu8iZN2lzBhLdfpc5NVDiWdLUjF
qiWlNzNEaql6o+qi1U213XW6VSS5m6FDr490N61SLxOMdShmttTt4jSyKz0340S5qxE8hFTZZrG8
IohJEn1uJM2VO2ohlKBMrZWnAExrokY2uL7tdfm560ABHEd2IKFsD+nAMsOI2m7dZLgRlOm6xTMX
/pxmjlOxo1Vj2FU72SDRtMY6WWcKfGF6zOLaFtN+r4yxCSiP3WC6OhTTc832Q2bJZWjnKshoqWyG
2OZly6wcbdFKobiDRKw4nUnzdZex0J4CzWqSyFKUaA+lprs67V3aDHbiM4eOJyoDLh+xfZenb3mr
u0amrKXUeOl1YEkJFCBksLSKqYnevo3o17tJJWaKRrZKGdZhltiSIH+EjeR1VetRaXBZZ9yVWQIV
984kIKcOWuJore9KgbFRGbhpBX2F96l1o6ceKQAzN4BCj0ALEaCrOwKzdBpbaVrbQ5O4xUCsKMqs
MtnVrLW0JHlK2INfD/YYi3YBXZayM06p9mlk/ocPT8lLEfi3o0Cqu6geTSF8b1NcQ1VNRuPdc2pU
bqupO3j7bZ6ndhL2dhLVxxgXAb0o7SDonTJEok6+dI2ZHe1mgm87qnwrlSonjnoUt99q6GyKAlvV
ILSPB+wuMDFPwgQy3NSiqNRJKNvJVYYwBB6AWtuMcbhh414D2t6ovkKm7NL0GLeyZQSh3WdPcXzf
lN1GLH27THKrTmIrqqlJkucWcdvwg9WkFOuS+TbJCjPpu0MSfXXlWyfWXh5AJ1r/hdKh1cm1qxnZ
fpJSO8B5EFaBFySV1VTPYfmiSK3tV9om09kqkkVLQNt6HLwqXeKWrWjmuWgaiepITNvJAZQlWWKj
L9nVQH1ctImlx9MBDChWJHz40o0O8p+4mdw2hL53UFnUN+wsz82mQxjCazKJQH9Ovmrqmw0FwBqq
2UM/4Ad6tSEOyck/yeDfFdPoBt3YLlEGm/qQ2cM7ns6AJIlPZaGaFQblT0VmVqWwDpPOoRJSlyFc
FwK2ddpYcm2sUlFw00GyKGjq4lT0Slx7hEI7Ic+2GLut9Pqo5XienNDR3iatqeOxHerXLjNuxuJU
a9DTGIvSwr7ZJMM7EFurMUvdVK6sKK6femncaQPdxMVkg5Df6sE6QfLJDmvBiYbQ7QtAaDPd6uLW
hFiqF0MpWlHrV7QyufLYb5TRX4UjirmIKiQG7F7Md6yUP1Opc1gINFnr1LFgV7Lu1MhU2u6YgQcs
L1ogpuiaYuLbgIAHCVQNZLJS+tgmwNM3o+Unk6lFdC92nZvjXM6F0ByCU5tLq6pTnb4D15CgmqXS
QjnbH8A+NSvixXaNZCoF73dYpbZcNiboCtCGVNtUFhxpnBwt7U0d4gHAxNip+lZCvtao3tKEmABh
mrle2mJW2gWNVn7xEflsgxPfGVK46QD0fpy4UYjXyvKJZsRVyeRMDOxecmq2amaXWoJDCmrwgu4k
IzHVTHcCgVmpARXHDltBmtxSeK373muqcYO2ja0f9eswh1Ch0nhF8hE1b9R/m8rAy4zMS2rdVNEm
V1eNS1m/CSV6HORxDxpcsTvksraCfqpVhY2p5NBObiaTleg9l1R7UkBQj2gsldM6V+gu7qtVPkJX
wZB3OV4tQW0bZjiCmpkcA5MTa86YkHtN3KklOibpTUVQBipD+A6YN/psLSXNpu2+WvIyxaHZxsDF
l6+VdPRZtaYoliQ5tEyoZtesW4sKMAeAPLdpCwVhZkeyagaZbEcIRmNE7kJ9MgeCBu7/w96ZLDeO
Y2v4VTpqz2wSnG909YKTqNGWPHvDsJ025xkgQT79/ekaUqbV1s2qzV10REZF5SBDIA+AgzN8P2nu
hzq61pQ7Rd1rSPNSlrhJ/ZgamKqylRpYM43tAN1+9VS1E8SL0IDtETT/khet5lbbx6CbaXbRJ88C
fSQYKcZtglSjrWgZ5ki+DwT6WtXgcNJ6qShaSQaB6DDztPEhEAa7FcYnOUbuWEUxYkCWWtUuInlr
tg9VnNmh9KYKwQF+qRaK3uRW0TZZdAFb611/HeXca/R03cvwQsr7hOlrlICgU5JaBg7ouLwdJbo1
8jcA2pyOyguuQfJIrWyqgwnSRt5QhzbEDtx+pAmgBuShy0ygGzJzz7Aui6K/kAXdG/NwVxNhLWfE
jpN2GWtApAvilVrJBlDf5Iom8VZp6UNgGJ5Kq0sl4ley3vmcsSshqlIbEkhQFKggCRtCZGfKpyuv
PUGTHtrkmbIeKdt1cYJ/8QpzTOoNl9+GZEvD2tXRo0h71CnKoPfB4REZZEFySLE2l+2kg2G0DmG1
F+f7UU7sKGAbtN0DI+UCSGGnErPKenQ47jWM3fTGd7m94DmxsEFFTlR/L6NLGVVgrQ7HQLqisubn
MiCPSQl4hppdNqp8KZiaVQSxX6v5ldAB3EsaJ8b+rRfGUkpMTxmbZT0kF8hzOwbMWFRA/kDAHfEb
eD3FzRAoTrke7D6PFjllSyVPlwIhfsxTeN7Q5CUxzjP1UtBav2aNI5gI8cSmJ6rjhayXqzEtLmOh
fJCqxNX76LIU80tu5jcFsPQQK9gDV30VtOlNa4o4MkRhIYa4Z4T6ysg1r2Ns0cWIzsApqiSym85Y
3pXLSkXLQkHQ6gdFcauDmwI/YdsWshu1op9UpcviYG/mwaUZ9A9xgHptZhYXQ6WuBam+DPL8aWiK
hRiErlSNSyXQvSHo3SEGbCQewdSS4sDuu3zLS7JsR/WKKSYE3QXT6XoU+GriUsH006qBH8F3jWpu
0nS0S6GxBwoJMGyK92pR2FnZu72YuI2QudRQXCIHTlpD3TCnTiWphzIKcTmIWqcPVS+uGrjuIABD
Q6nDNd2mBUHWvNHcAb0ZgQkuz4C/KZq7tib3uIg+JI25w6m3FgrBK7vCN6U0tfrYVKwUfyJGNcrF
qLImTHYbLi2CIcQT19F4HO/ZyPdGCt/YqOCJmnd1L4Hw2LbLnKOdi1b6Mw1yAzHdJME5DrelGKMN
D8ONwduDUqBpJGxughofCtLcU+pAtWKR4CAHM88quXoRD9rVOBjXg9ovVVwbICjrMtzEEEq4QBP9
RSRJK+CkpxLXDGc+zWw4zT4P83tF6ZaKEq/kSrsNq9xmKl7F2C66FDuCaHpEq5/GERuR0LH1IJdb
VcJlQFdRi0vyvYm7TY6tRcStwqYdVLJy+UoctReeJAOklSI8qdbLAHd1CIeHq5tPqg4XtqydXmjc
RhY3chhAJ2e4yFpxCe0aeAYZWeo5/GjGo9rSOv4dBaTMQZYcdSkdttL6UIWB25Y69DITL1a4LUqQ
LTCAOhj6epVLITaNYD0IxV0edguxanBSJoVrxAB5JLix6ZWn9zDSsY+9rs69UircPgod0wSRaah3
vNAtXSluEgGOpilrTskkaoUJBEfLaNkMysWYiIeyD+w6CXCYKRcpxWmcp8auHdl1GTYVfB7tUpLS
A0+n5yu7ITyZRmU24SLQ9L2nEAQvYiXYjaV2qBoTN8G0wjtrbQklaITUbpXk+EbxKmmLbVbRBS8G
J8ySSyNqvJpEGwGN0hbNlA3PoSnEpRZNIIUHbV93TIWdSOGoocsYx10E4lndVoukHHCMVDJ+csAt
aRQW+JIVriVsVZfNMtRRp6ux8nvemauCmmjDC0esrjRY1cYUVIAgqxNTtkLv712Es0gthtJrELKR
OxU1C2pX2GZeL4yxXFVVaNhZISPeXkn7MKtv4zFcSgKsUw+dMW2eIyZ60KzAtbnp110ebDT4ByOK
kRUdasCReNdn7fc4Ew+VVELdMBv3PNN2QlFuCg1XvYjYpoFq3B5EXab5AFRep5kAfjAYaDV1M1O8
DDia2+ph3XLhlaITthWHZcmGa8EEp7YPritJfCzL4QZi4E4ydl5UIjoh9n6uAtitj3ZfaG6SoqE+
QOd+xJ4D3LfqVFxIqfpSwe0zTAG39uwq7YwDVYy1maoHo0yZnaIwQCftFl7aMlCLM3mZWTH572FQ
HZQpE4EN6CzPEjM17dNInGL9CAwhZo2OARtdJJVl7hZF7lKIgLS6ld3ehF7pvkeU//nC/wc15pe/
xVrbf/8Lv38pq6GJw4jOfvvv6zLHr39Nn/nz33z8xL8Xr+XuKX9t5//ow2fwc38f13miTx9+4xY0
psOevTbD4bVlGX3/+fiG07/8v/7lP17ff8r1UL3++svTd3T74RKAkOgLJb/8/nfL77/+gkZMGcpe
COv+83iU3//FNI1ff7GBczz9mdenlv76i2BI31QDxZ26phooGXmn/vWvv/0V+SYqpoJRiAkJPWMS
MS3Khka//iKL3yRTJmjRxC/dfO9iacEawF8R8xtajfHTFEVHuSPitb/88e0+vKUfb+0fBcsvy7ig
7a+/nIDUiYjJKyJ+HK5v8lyGl4JMo9QkRXbIhOALZXJz4GGlv4Qj1Z76Agp4YsjKC1EDHUJjqXlQ
NaV3mlyqvDxi8VsLbqoH/lNhhSWR0Vo+5DpiwnToqU0wx+cEEZmnVhPHhQoxc0coC3Gdp22ru9gI
er/KB9HmraweaIwkotnXw44JSrMyo6z20rQS75uIVFcItbUIIuJcrwpVWI8xqlkN8iJp/eAFIOnY
KvwCyxiqhdFTGl2xmgnBOhurKrpVOsarJSmCqtjorI+vB5YbZ9K8HzMq08oD8QDN0PivOXV0zVLd
LepbRSZihaXYHJ9vqjZCh+RvWfv/rrGJT/af19gV/ceGvcSvn9fZ9Lk/1tm0YrCMFChRoh0dG98f
q0z8pungHSCrgJi4DKL2n6uM6N9UfEKD3auqiTJspE7/WGX6NyKqGlr6sXB/co29d7X8SE6pKnTn
iInuVfS9EBnBxVmiqAgkRDwKXDmyYlBkK4rrelsQmTkNQhJE1BFcIdtMby+6rrNF3roUNWw+JarQ
uiFqGYtlypmculUaFFcRTUY4AhJWSIgriESXhaLd1HKtrTO4CsxiTWkgZy1yI7hJAWURD2EU02oj
dRKq2vPA7O7zJgiqAy52ze89tD9lotv4pSnb8o3ON/kP58Lpw+L/7zkwoa3/s41un4on+nrCRKeP
/WGi2O/B3FJhiuCjYK/AHvKHkZJvuiYaaMhWYXY4LmAivx8FMFJNgUa5ab7zJSZo77GN6jr+GCFR
mBUAQD9xEpywUtmEjiskCDQMhxML6c6j6iYiZeXAikxdVEmXjitoQ7aiWwu4MlyNGkcFAI6ZVHzq
2mBUkJ/pMi65TMQtDNFMtYDQtCRmrh7E6zEEENwyIRI3CPhYUjco2q4HxrY0IbhC6Cq07AF9kK67
KAzewloJoJ0xats8GHppH9fDkpZTmqkV5GtkTqjTBEWlXw19zrr7/7ot727LVLDwn8118/T2NLxS
esJgpw/+MNh3RoQBZCWy+GiR+WGw8jcwvUwc9kScXJejXRW+C4Ety9jxCDFEMsHa/7BY85tB8Ic4
KKGpMa2En7FYczpTj/ZVNEQZJjZwAJpkUAywf3+02DAqUqRPhdLPeUNuejjsGu7qpFUszUS5ytCG
kHyRawJVj4DvZakS9pLZ3RFxUOygUhzSVhdaE79RRV1X6MPndDyUBHqLbfmESsLFEPebQe2iZZcN
sS3JY+6QcfSKsEkQDQCU2kBA2NZZUuJarL3KefvGMvPeFBEhjOsSIQMpem2AfLb0tC4cXgS4kXcF
WC2NwKFKqZe+hEpyq9SLSwjzrDKVMkdRSOOpZqFZVBrLB7kp2E4LQ6j1UJwWaDpsnvqyMjFFJKQF
A8qxhSRJSzE0BjtuA+rEAV/XQf4ss4otyq7JvDQpM6tvMaNRLBtXkTJA19EvYwlAHmypOYiLPizz
tZ6FyUYMc+Ey1YjghEXz1oqQqgX1BOFw+Id+wiL9KZfietnX8YUgNc9M6Tep3O9DBOuSNt6amFkX
N76GfL+ltRUY97jVI4Bd5bjHpkYc7wAlVG+TWuRugT+VUAku6IEfaHK8GMvqkHcqgtr/Xea/3U5w
hvznZe7E/JTbpOBDP5a4KcqmJklos8Hl5OMSV9B/AwtE6Q6cJCzWP8+kaR2rigTvCO1C+CJYmT+W
ODxgDX+Ij+E/5k9dTz63sWCJYyPRNVxpgc5UZm51Uak12ix46Qd6u5eF9ELX6wMH3Q+4OdXNhGgr
izkSGelaCdUzLj12t0/bC1hS4EopiqpA5vzj9iJFmZSj5Kv0a1jxIF+q4jY0vKP38ft97Pj+dXIM
wO1QsYPrJn59HKMbFIGXRV8iShFaA+sWRtAgwpc4f2+YmQeqjbxoxwbD9Co9EC2+TU3okjbimdl8
rMLCDWt6W0ezga9y7EIoXceUoe5KX27vOWiAtc5tQYCiJjo3TchOfz2pc6PhnDkejeSGiV0Ho0VI
sqU5gAfgjA39ZTU+om30zGDnXtRUsXfkHWEHVtJUZqVvGNk6VXIPG+OzILSLr+eElfjZ5o6e4Mzm
6iFIQdbCnHQEf0NTdTKwR0XIY56pGT43zszZ64tYhCAVxhl7JAVi9U6U5OdIRQa5b+iZUrnP5IrJ
LBD7ICZgYYANzV5UG9aR1KpYSMh/vlFvUj+RUOip+kgYWDgybM0JrefIfuV2tsueEgjvVfthfe5r
TGvpo7uAXYmYBGEVqKIZ7/V8R68QeQgUmwJ0BOxVsCBu9xzekEt+KE3I3TZuYYnWm+nzyoq2xq4P
rX7/9av97K1geLQywsE3wDWb08PgfrCozMvSN01Lzm3FLdbRaA+b6vFcb8TnHjz9w1Dvrv7RTIdG
b2XaYChl0Q+WuDK2ZN+6uqXYqVsvQJzfFmtEd6H7exAW5UO3R9PzmfWCW/Xnh/1jtnOlWdwvKVYn
vgIpXuP2NU53ufwaaI+0fCvOIaw/r82P051tO2WHg2qcxqKajBqtztERykrT+jcn4kOE83ivnpb4
J/s5mtLMjIPG6Kq4wjCBiiTWeJUYt19byOfGsum9odcflEaE/BAwwDc4em8ywSnQt3mJPnQGlXAB
dR47+S4ULH6Ir/kO6hCHxouW5gUyUfTMCzv5EI/GnnaMo7FVPSVtZmJsKRDsXjCWlSkuRDk78xA/
sxWmOZpT2bGMomDQ9D6Oo4R6XtIhLv11sxmJhWQsIDrElSxuvZb3SKO4BiTpGyt+GaB+YLhvBWS9
f3r3+/gdZpu5EAf5EPUZdlmJW3Bn0I1+LZPERgjm6zdKptl8spmj2c7eKCgaYqNnSQkyZY35LNiu
d4N9bV1Y4aYTbea1jrTqHckllp96xSIDZe/rr3DqvYKwJxsIMwOhNu+FTVG8iypjofCTUXLUvDsg
r7PKtfAMMuvzgWLCffkxzMzDCBNTaIMyLAFUDldtpjgUWlZ1DbHY/u3rCZ1ahscjzVZ7UmVipUgR
bn09RFPkWwR7vx7gMxoPJno8wtw8IEfeDzke2f1FAv2j0G1t09tyJ7cEK7Re8sVi8J7Gx8pWfhqq
CS6rgfUvw3sG9/LTrqkKFddZVviSjCxWrLIStZRc/dmlbogGCnUnnJ6k/+bzHy910iO/IwZ64WvB
RkZ6nUmjI1Pv66f46TXNBpntJ2WFMkqlQ+kPJ4eh2w/1OQTPLNkFb3M2wsyHibWu0HFtwAi9idy9
6CoDQZnp/VTfp6H6Dgluq+WlE0SqWxvPCjrPzBSVInnu8Tx3/950p/PwaPtsiqqMepT0+ay+REbR
EmX5zFv7tMKm6U7XBFUGYtmcY8dKheLiXeCtoZEiM6+bFroQ6FeLpTPjfHKr38cBJliSkVeV59D2
SjMZ6q60wlfyK54lEEO9J+UDCUMnE+iZ0+Dz/e59MMPUJwweLkGz+93Yl7la1hBCCMvvEh5Zb95r
SrSjKd914mj1I0TGxNxXw+HMLD9tix8HnrtIcBmkLokw8IDKOg4oR4jKbH5mDXw+0GejzHZFPhph
YXC58CvAMcXuumtSO1IAsaRkF8fiMkFFDeWdUze7VKxtZgLwV1I7S4XFQFGyGHYHg6SemtMzB9PJ
1Qk/A8EzNPZ+cskVjKAwDdNX0xKlZ7mdoJ7i6xXxvll9OPumyU8MPrDiwOKbJ6MZSqG7sB4KP4e2
dcwd4QpVHp31eP2KBgN1p9uBLy86W7tIrO8QhRc21Pt+Q5yitYyXu93V2d7QU68cTfsyApf6lPKc
2Vo1cNYrPSv8FgScC7LiDqTk1ukqu0i3wXV9ry5QMmyDUGM1lmRHh2qFknGP7Noz3seJZ2+qeOjY
g0Ff/UT9UTkRSc0pjEIhlqldx9GZ/v0TKicIh/4YYQ7cAeAlNnW0NeLJi7ZmJ066CBzE3KEs5Vz2
Dgr+vbhc9utzCuMntg6k4DR4daYyhWZn5p5HSdKjwq0A2CSxhwE9MSVguhU6bFU/G85R+k9siB9G
Ix+33FiuuVQEEZRSwmKP2scheRFycxGjLPZrSz430MxlnZj6TRIkhS9qrc2H3mrLyK2Qt+PR5dcj
nSAv4M0dPcG565EL2SAzDFVscje7yq41Ow7toLcFt/XyJYHBLOs16tn86LHZ0pf05/cFUzWnyD7Q
wEg7zd6gWpYSA9kXtim+xSqE8epzM/zkERsTLh03HEnGWYa1+PGtVYSjMqvmuS9EEGoCZ9BCPQHk
UJ3ACbx0445ohkHlN9BImqUvghfNG6w9fJRzJ88pWz3+HrOXKua8Tjs25L6Wu6FmVcvWuuCmR/1w
gfIyh7tJC2i9NaC14Oan3bzZM5i9ZZNUitYoeAbJgIpVDI763K8N6QQN6+NjnjlHWRcloU4xPWST
N7LX2ssAfTKe4myeIhcVcr65HPzSE5bnHuwJEtbHkWeeEK4hEIEwMHJs2LXbriD9ZdiqxT1UuNEl
IPXrZ/Nl7KzeNXARCq0lutRc7kY+66zwEhbOnM6OKhe9cNbgARUmeo2FF2EZ7jmX6gR9HN8VwWUi
E83QP9VL0Yp2NBp7tFuSzSPI14hHiZqP7ge3cEV0O2tnvMSTRnc03rTTHHmJEdRaIEuL8UQkVFCo
qYCeauPAI/lf2LKOJzZ7Cbwb4pFSDNSy3EWe35KMO9ZJVie8fm1on+I8kykfzWh2qEYK1wLe0hxw
xmUeo1FAWufNXmBrRfPRVndmWieO8OPR5pdZ0RxyMeBdjmaZClXbwZLQeg243OHrSX0K1X2c1DtC
/ug15UY88FjBMHFPF6w4tDRy4NtbvbQtUZZYomkyVM/1wp+xjffrztGgMrrg+1iGskBQoRtqHHRf
LNN10aS7LkPZR8aXX0/y5LM0tKkuBrl4RCQ/2mIM9LQQNW3u6/J3CZC8qEftrf+3xpi/r0GIzHLk
GCORpTsqQYBcFL2qCRdfD3OiWx9WiDy0pk9ZLFWfzaVv0DAfplXu36JRwSm8yGnc3iEOhfCF8/VY
p5wBE7KdZCrdk9DQ/PGxMWGsWk3DUJqo7msZ2gFduO0LCd2G6Zmnd2ptHQ81m9UgAEEAoSxcf/qr
3rCpfCPlaxTIs2xDgr+wso7Gmt/66iCqVSmYptW8yOilUOnLmJw5+085vsdjzI5cHc3FqoCiar+J
npN0a6rnHLXP4TYs3OMRZgdrzY0CiRqMAFt2TYQV6z1KoajV3oDmYaPH3EZzlCPZd8yprBvk7ZUQ
x8rXBnJqXR1/h+nvj9ZxxWRVLhs8ycyIrRF3WqP1BeVcRu+MGc4JEUaZsKQnAAUwwty8bQEuBd2S
h7u01s7cV076EsczmvkSQyjwpoTgjC/4aOxEHzbMA60PFl+ri9FtVuVS8yTXXCgvgzNY5AzK8HM4
bvZS5yuuCMcCvc8wG0+9YGjMuh1cbRWs9DUq/LeFH2+Y05dWckAFud3tmpVwZsmfs9vZOow1ETWn
4rQ2UjRJooMPvctn/LVTl+Vjy52HxSWUSmRCjzHW2XW+QwE9szPimJZpDW/xTtsH0INWoAodXWjf
S+K4exWq3cNmuFLQsWS3y+5NK60zL/7MvOc6MWYToYFi+k59JqNG8ZDE56Jm597tVLd5vFg6UQyi
fFosZBvidSrL4iK54OjeoIthmewBeXGUBdp70eU3XrJ1tIq9r1frVD/3MUL/bl1I84tTdTZ5T14e
LdcyTySVKlhIwz7Z9KsIPVQvvUuXo1XaC2rdUcu0I0SBD6+bHTKT1gbdLVa1jhdoaPTi++jM7nHy
BmgaP77PbLHFaYjm1KzE9rGRCGruLIYSBwu6zOErhE98t9miv+4w3KUe7tb8hpf2cC5ROu3Ds8AN
bPHHV5gtuM7Q4pTneCTojXkKGsDeqCNf32eFNT5X6kLs7ZfM2qUPxKJbXEJLO/VAp2/OHOqn99E/
v8U8QlfVFRIX05k+0OekuM/ra/GcLuvnzPTHlz+Pt4eU61WBJmLoaKVr4SJf8WV4iF5i6+CGgaW/
MS9cSMAdhquD2wZW7hXb9K6Trez+jBWe3s5/THay0iMr1EIuJpWQ5z51th5fo5tsFV2AWmYrt+MS
t/G7YFlcDTfp4gFhSoddNk9o9FT8fqNuA0/z0LErMEs7ZK8A196af2n/+/HlZud2KOtDxHU8pcw4
yOYa5ThnnI/PCevZe5h2oqPpK2IMRdL394Bzu4Oa8yNxS9t4WL6oC3X7BMY6OtCtzoXi/PrceX3W
CGYrLtGaEs1QmB5o77KdXWYS9ICRxEKyPLQayLLf9HfJNoH4suLtAIYBTmjz8MSs269t4GTU7mjZ
zWngcYiWBQj/5n75hH7K5CLcxzZfcVcEZ1R/UG1zEd1lbmrpP5u6e3/4iNmh3B1VTvPEgiGz3ihq
2F4Ymy8dzxeyzDw2Fo1VSH9Bv/G9kvnPwWZvugukukTYDjcCXbuELqlNiGATyMMKnXjGqk4fXz/m
NTtbioz1JgtRvxihdWSoKxsgvjOnx/tN8PNW+WOMaV0fGa6WMmIygjEaz5zOsMheo3fS79D67EBN
THsZb88JDp7cF1HFgjiKJmm4Dn8cMgf6IZWNJPel4kIOL6MKGIru7YwtTlG4T/M6GmR2BAxiM6QR
smTQqBq/98TwIAi2R2lQgN5AspFrdP/IkquHnVNW+l/Z+I/Gnrlb6KHUik7AM6UmUDUytfpMWCaV
9Fe8mx/DzAORvGKSIJl4jrQKrvnUmCzL5ypxTuUoUfr058uaa32hAiYZs26ywXSQ3JB3S11Fa3AF
mQuqV1sQUZZCIkOfMYuBxEKkfIhMr8sCYEDiZWt0IISpZzyMySS/eLVTg8KxyZZynVbdNO90FAEO
aUE5qIAnkIXYVzV2zpBO+hJHD2B2dvTIy45yOR1sHnQVaqvcYkupnhWnc7vWKuy2cuXl18b7eYGg
jhIlJgCBysiyvKs9HK1JCpbdIMvTAgFm3er1ftkqySHmpv33xpktxHRUBH2kEZyHlCBUjOQl4nkF
b//mMLOlWCdoeJZIDOoRfjwPli1bssI4s1dO3/WjUXx8ZrM1l4+alMoBBlH4aEGb0u9AaRDZ4MXS
YEtoF/760Z0Zbg6YjpM+LDSa4qjLcZoCvJUYC5MxYHgGXLKuvx5sekBfzO39DnJkDyZLqVZJsIdG
F7YZMXekNt1CCLxWQ3xUq5eDFpy5s54cEshAdG+KCmJSs8eZSZAXL1OYhqREdmNKDje8pEsWugmi
wsBsTXz+eo4nMs1T/fCfI853s1qQ1SbQMWLY3wCf0ywh39hbwUNmlUvFzw7Bi+iJG2hJ8RVbRmem
K+natGt8eshH488TR1FUmhLH+IYGvqMQ7Tqje4go93USAWaIiHffb0B52KeoB6nyEhzcsXBjKVmJ
DDoZOt23QNXJE7JuYtchgetM9hHJdB0nfBO3/aKXREcB7S41gFFkRLd5rN4UYOGVYOIBuXSnt5nb
BwF8+Ux4TPpmk0v0eztyhkpaHfyPYmnooDzI4mWvmg5adxdC0yGZ1y8EfXgT63YbAj6jT2w+ZGfc
FvSZoufQuxDzFRXLHkF0IJxIJFqyhI6KplVviaBuVfMlhgIUUH52DxZg36D3ZEzcjCejJZWAaCXt
tYiUdyiYVg2aYAmqIAOybABqQRTQFDEhB0W5dTuFLzIVMEITVEIhUcHyllEIV+AKFgNaOFBy0MR4
TUSu2JKoP2etDD5t5TYpfQKwxwl0eVEMbDe2434ACJFXt0G1URN9FSugRxCoZxJQEwXQEyu0nUDn
1gck2y7E6DUbwxx0lO4SNfbLPpfcRudWAApYkrQOkuorteg2WoZuDpTZQ89ZsiIgGyOgG5MOm6zW
RWCTcANSw12NNvuJ9ZjSvHT6vE8mwuMm7DtwBTL5Qim0XWwEmauRdNMlYmCVQ9bbva7fJRIeoV4A
j1Smcm5VUe5pINKJElCYZk+iCa0irUIeN15lUgi/Uf5AawGwJRWQDhnVmU7NwKExJRAXmo52Vq6h
tEESw1fSqPsMSvZAOIY9UART1cMovo2C/sSVsnUDJCG1sfaZTC/Cun0G7GdRKRC7V5tuU0zSdgkB
+6xN+VJVMtGJx7RykqrIFl0ZpeCxIdrcF6gXMGs7H0dn7IxbXjDDGjl8wXxIa7fJSP0iQMm1CtAa
1I6KnNd2qyuQjcoVwS5pZ4dEAVUpXIcNTCxRHBnseAk9zq09soNUAtFdAv9SGT46fnwDwL2caKvI
VO8VJNlYMDy2IbuvanYNaK0n8/A+iyFFQyhUW18agEGytHR1jshoQuxKzq4B7vFV3rvobHLlVPYA
Z3QQR/QYNR/JwLZCkKPdOtoqee8qVbnJhRSsKlGzTYZ9O4B7UgMuoCoRKslGBxgex8xlqx7z1wam
Uxp8ZyqxZmfMuKol6RbkpR2XjFszBDGCm7s2yHdhUQJJeTc2wELKcKERTewfFUS7S9KBpwb+IICn
0gAZD57avUjtGrDHOCutKtSWlZi6rTFYtICcTWQgu8WRsTbsQe7ssciBgQAWv7pU296p2gp2eMvo
SyEBzTIBa0AmzfpribTI46dupqKdsQS0ot8o4r0MzQ3Wg68FtJDafC9B0VCixEVwvKoERxmJ3UWX
ozI9UiSQn0NjobYgzKFRPrzCdmRV+dsIXWxVRc0ZAnNjpyxpH67RaG+POfMEwReVQ11xJzAvYnSS
oXDTEdAeX8rmotIBwQs2ktLZQg2InPIsasyiiIKVimi19VNmPNfpLbqtFgpom7WyFbIrsQTt6NZk
tyzHjjKuU/V7Lu9CM11oHLqvWCPRzuyFBdo6HQFU8LaVfSChOjXyKypbSZrZaJVzInlFG8R4xWe0
DgMhuykJgnF6DiQlB+tYdeVYcSoTKVqWWtwcEEBf54pstwx15oFiQ5fcQR+hR1Gw1VAJ3QRXvXwb
xBnipuhzlm9AFLSkfGpHu+ZJuStaEJxQKaoVT3UjOQpFDFeq/AhoPhF0svEQZi1wrKMTqgtNWCk1
8BVoNW3BJILUAUq9RbiuIMTkIKwW5uAUQ7aoi86Dj+tkbe8DYwYmot2pohvmm4kdGwNKBvkiAT3S
AaCP1LgXTQzG1hTE6zi242Ithc9Z5Bjgu5hW0rloKgTPr44hD7SIsXHk9dZk2EMsgOMMfU1RH6r4
eYP/eTOqlx5CccO+xLkyvjBIIbQwNxWUZcL8oHG6wa4ipw29gXlZAT4J4KbLAXp+PWCSvvyo1K4c
ITV8BxfFCF2ILqONpgVqDzU7zBGQIRfcZnATnKNggRkO63wyrBNpUbEXlm3N/n4Q7MCAOMjg8Sqy
htgl4yGKsOsoVtYxO2j3YbHJlGsk5PoKQMHB6XHS9MBiGuk2jqjTIoAevmpZuuCRHzOfoqqy0p3I
7FAWflDENREemaBZvLzMg0UdJw6NyLYeblO2CmpHG5C9T64IXI0iuAK6NMfRQ7H558BhmeAnUZD2
+wGErfKSZ4tYg/wYfOYammTjWuuwxkBiT6vt0Dgt0ncpEhsvknLXoF1eGh7iEVEJedW2Cynwa/5Y
gm6sbBtDhVDVRV8tE2WPA6qRr1sDSejE7um2aw882ZHcJvWyDVejAACxqxuXHVkPkZdA8K0qLpQG
/LqHAbJ+WQUSMd5+tZTLTStfmNlD299E/X2SgcTlJTi4+fhI6vtGEwEFRt2asRtj1KD6GkcctHOg
zuJIxk7DA8+Bq6lEuyhx2IqPOpovSGY37WMk6Hvxf9k7r+W4lSXtPhF2wJvbRhu2ofe8QZAUCe89
nv5fkGYftaA+ROytqz/iRJyZiRmNlF2FrKysqsz1QavtguZs8Fa9cQWDEpDcFTipkULnP2jlt5oe
FI+g7Yn6opZgDQF32salYye+t2yzOyldOU26cBVvIfnKWgq4mOayKD+Pu43rXUiGDcxORkq9Po/0
jWUtxeYmr3aJri5p4FsVOYH6XKSVtWcV0dckbsOSvMpxbBcOUA1mLlwF8iKXbuTmQ7ZuvGRjZC9l
vgJ8tWi9befdxMNO1ld6zVP8VSmsneK2VFepcW66NyFQeTBPNehhjz4Ca0lXDgcLPFK8RsF0yK4A
Gpj9QFstV/uEsdK6SrSl0D6GT33yrOYvQHZtmeBeDq4txJuepM+Sr6vyUIcHrwL2uulAuA5rI3tw
nXdZf2Pr7QagVSD2umChUFMjsgwTQHVqte2SG61Vlo171cuUJC+lZA3LY+GkWzPg3k8UFikq7O5K
kGzBuvXE+7gltzDhJUGd6jkTmVd1fG0K527/2RfbOm8XgvjiBKCuVw6PBrlmQ00jp1kkZs4H+aYb
a0F9l9x31Xymc2zpOtlSFFqCRmynqKYI7iim0mt3Sg0GdJndE95EaaEO68pcaWRqJLu9zUWZVVwC
YfbVl9LYt6Jtid+9wTtUwwbtsEU6HATECZUzKd6U8pqHMPo3WNFCfUm9R2IesuKtqnGlMS/Pn/X+
3ZRuBnqdS8pPbstsn1cvjXNJqxmSwWb2qUF8pSkoW+v1eeq8Rk5jhwH9++03sxtBWhuDRavA27V9
NiXeJyT9PvLeo+KlJDcJDrVyW/DHL5W7sDJeA8ULIb7p2nOfvrJYBYUYp7xhpxcOsMwaXcuU59ks
d9dD0qzCpLysnejMFbMzq9Z2cfM4QONsYGsqJdlV1qe3dddesMddtEN814GbrAfB1ugH9Qokzknf
nWA4uI20Jwm8NVx5GQfeRg6HtRe5Z57qPell8eYXxo0ZUORVO7gYPUrR2KxgsctkyS1b/lbLpPtg
oClMyM7akPMT9Tp6+VkK6YMfAuoC961l1P8PwqEMC0551Ko11qqyvK3mAJQkzNWyulXNxkaxmZBm
kbt2ZAUQAAWq9wSyf62yY11aD4Z7XqjuZdRGD7pXgZ7sVhYQ7JxEVvQUfWEJlUtNXLuOWpzU8cF/
61d+0O863zgTEAlbCEO0KjI61OV4mQjeshIyKopHQh5v3VDEtVo7d5MWeDTREF6pUYhnTvsS1uIq
Mvhobn+jmt3eF8291wKiZeczFG1ZWc1rASdd8vT71D932m/WcNUIN9DKzJy7LHU9hFtDWjARoped
ydKwB1OyFuNhbQX7rrvXy00i0UFBo3rcv2vCsEnjZjtYKuTImmrr69R/cqS7njiR4asdOX+ZoyEk
X3gOJNjXVstWYsF+ll357UUnrIXWgCJK9CmqbSCC9ARSO8734G1ziK4Uhtit+aTp97QmrxR4aYY/
4lX3wPcXZnsR0ieAdBc9omvJ/ITyt4o40eTOrtYOVRiuEjNELfhgatFS6d7iLrb19CIHn6wHtx0s
916P6DN9jqGUFiElzMZrar1I5SGGU9/Fn0J+4ZOgtS4CtdYmEAPyd8s2yCBgF40w+oVicH8Kokwx
OoqQ14UOEDhZeNB4Q+CtsrRjF2wTdjSItto7TfxLjS1SJLBBNuA6MNvWZWJ7prBuhHcnK5aOIG3y
+NYgN86cDyGg4CCSzhBHBwtPFtedOTFnRyhgDbuR6Zdww3M7bEPbLR5d7yWsPlEVZ8wAqHOomOCG
S/C1ABQLhyyk8FZ1LNh1EJB9v9c1wavNFlk4Rq5l2L+FxkPjruX6m6o6NN/eJbRhpOdqcaidp6Z6
7TiwUB4GWLq50AT1vvbES5mC98HM15r42OQ3Fru5Il8pxiP0ASHKN6rWLpvhro0+dUKWX0AjR7Hn
qY73WXvjOTem81w4r0N8XXkPgtbaav3WsU2qhQFMjkLn4THtb6xMWCiDaUuVuejV99y86YZzwmEW
UrnbI8OlvhnCq9hdIk9kc+9rp2NgI4HsIvcxk6y7UCu2KUmx6UPUTbKdRtO0617E4VM8cF/rQqfS
1A6GsZgaV4LXlYeg6tRlCYNxUG+rjuStvpSp1cm68Exq1CuDfTpp7oX0zey1ZVE9K9ElW78JOM69
1Mk2hNBdBt2eOjrKpQNb9rkIjnctBEHIh/ooZRB/qyiXcbWXgLilORAfEUM2CruVN5V06Oq10y80
87y2zgTnEWYiCQehQ3mwugu6CpF8/HStgv6XaDX4B5pmFkb8yMJedh0OJThLibHCvyQs+baaAGxM
qNpuOXIMt9xE7GsgsBrnWqOKNipRu+pGHuBB8u8L+meLZm/E61AAARtgpCMT0WPbrK6C7pxSmIWr
A54rlkULHwOkkbUNKC1u+z0dcKJOsNiZ6EpbPYjyZjc4FKh7lDRYHLmIq0P61rKDDZdSxL1Auw2L
8zx+lhp2A44mcXhwXGUXVOIyh285kGlZbIKUgfc1DtctRBdpjvAAWTArXlPpmYQZ3CeHmaIhMwzg
IAe2To9CLW/U2l+P/0DaXwSCaJvOrms+8y4/z+KPIb/lUQKprICTDw+BJqmDsK9aYjtwi1RWNwqQ
7sLJ18gGAJSyW+vSA5ieWsu68mwr/Qz8G61eRtFuQBtAfCg98kJpbaG/VcDkNXRWzyrPH3krWMQU
wSZkDQGLLSJcGTpAd9bwEC1FDq5huQFpbJqAJNU3Af0b5TIsPwbltqzODNdfaPQ+SUglFc55mNy2
RBaYZ0se9GgmZ+8pN4H/4iJ7ZcWPFVxTN77U6jtNeFAG7qu4F3K8W8u9KRSOuXBOhPeQc0vq1Bup
4ZSMqkP9IQp3QRqAmTa3MdJZ0RBt6nqdk+DrwZNRhOtYL6CEm4tYBOQZ5KucO7EYhqWh3sjwTyrp
Xh24FhGNHT2Li44tteyRH6po/qRZqxGu3UxC1uHTcyR7MAwbWigHmDMJl5HP4nydB7uhftL59Tkn
/15YNCyOzuNhvn1u8odavlH9uzBlS8zO1ZaUyh8TBAcFiremlfjhYIk4q/igNHv+abP+UPV2Iyec
RZIXXfjszT1Q5TH1Hfgc/k6ljdrkCm8wyTUf4/YhNi56NPD8fZLvfM5ZOTJtbbsW2z0QZMgtB1nb
pK22EGH5x2qwCNRn17u3ZFp5lb2DXIBAAP3MyxuhuyZp3ObmQxsUtuc+FwJQ5fqsLjnfKuVC4bm5
9lMbceF16aLbGlxH2ZbijUWJsIPU8eoPc9dPXTuhbCbJzjXOASk5f9l/mNBfJS9c6+mHWr6KVGzR
8UXTWHiWKNHGkZ4bIH0NGXzrMcJPh51UrDI+lLhyKkp5tXIRQUYWxzO6ynkgvxIdZd0rb7kh0iv7
rchJZ/JdEd6qCslKwffG7UoZuQ3ltqsR/EBENBvqtec0G/pt18qwsfqaMtpmGQSkxH238ToONNyK
Z3TiimlA/95bGlBMxo7tUN3i6LZOOtkZhBOz3vpqtHDbvTj4SBqkaxlS/7DNOvKjHP51jNyysfWz
ciE2D5qy76xu7dQuIGGQIZdan6PpGywkg2JKlEKk0i5ICLQ6sXVTszV29UywOEJYvLLQhWC0yzxR
F1rrLtvmritQyo7llZjAoO6kZWvWduvBcOaFKQ+4QYu2mvekoBBFH+BSS19VOG6p/iKS2tYoZ5nj
jWbpBYskuqQgdoVYybpRLFvsHYqdQltq9rpbr+VuvNegF60WD6nEcRLp5WCf1ndy+O6aHXC3pxx8
agg2ukd3AUlC5vpx0ID28sMKhMv4P3HqR7i5xs8RYKyTa7N9VKRLuOlEblz4JmsvSQuAJrK62TvP
gZ+KDK+1HlvvwHv2AsGiZWsFy77sl1X5rS1bLnMeDAl/Dq/c7oHjWOWGiCpwR4wCRAe9nJ5E/UYQ
KGgvd5oQkmA1O0G40NPETpQRVvvpsbqS1lp46nsh3QTu3sMhk/aDr+bEWPfv2vEkskm4rBjCG7RQ
lhC3yViKjedn11zCrkwI275hi/ICVeNl79z7yFXptJCIypXMOZh1bVPkNZ59injXcCwSAmjGrOBD
2ZyHRrvQrJ77k/dWRzZpjED6fRzC8r2X9MuWy862O0OChGLDYZkB3zO6ZKm0hh1511qZ7SJhHQx3
kpYvE+3RDZGliA5+dAjTZ7V4/P6e8484eqcJeb9A9P4/xKnycPTfgUV2GkX+RwGe6Duh9YjCyl/7
G1kk/gU1QFQkqh/oILLGOpm/MXrSX7BTLCr5RkIqsEdKQv7G6Ol/aWOzM013I4bkF2SR9heYMhCN
hipTDT82Pf0Djp4xeV/XAHzQVwRUUlL5CZY4KTsxvKYPS8ntNijFRMF91LXgsBzujcrPKqjj9jGV
I2vle7zYrRC3IemInEykvAexFtj5cahYHrnT4PtbOdOku1ps42or81fV8yGClTW+jsje2qNn0quL
Ll52LQQvzZUFlYDhypCMaYuHfM51YY94l3LVQGNbKqKvXbRGERsLSUhyxUYjoH/W+iy99CLWppU7
8P48QefdydX79kwJknAnhWLBWUuD4d7n0dLLAv6/uQ9odLZhs7C4JK0yNCsasyLzFKV9VfXo3cAP
dm1V4KLX4TKa1xBlGVjoSRSO1Carqg/uc0d6FdX8AOXvHjQyHRWJ8ZGL4VqRk2jHq0q5EFqVAgU4
/XZQwS3TO4Htwhh2RUMJnpB4+SqQRGWpGdylFJFUrml7hHhf10vDKDk3WH61/N+y/MERoy7jy2VZ
x2/+64l1yd/7e13Kf+HwmqrRHA58+heUmMwKA6lAgwZVS985gj9Bx7QbjpAxOgLFkaJ7TBIzaU6m
q4MVLVKZZv2TZfmjkPfXF2p+wndABU/ytJuPL9hHZQB5YXAYdXlTNgWB1SY3nY2bu4uuqj51z3pL
hRSZtUo+A7nKKcKJOSORKuViK/DKkT4LUslm43MN2Y8nabVlSwWOuRC8YR1VvYYuhH9Zd5GPlFjg
UiMu7gE8lJuo6A5SxDqJud7rVekq0YOb1HBfiEkc8byBzUzbltQL0O6ePsDnvJR55LIzJKA80USk
KXUCOxu4mSzCNlsagsZNXksGZ1ZStzf8+rxXeI7zKXKwBz1YmVZeLRO3uZB0tnmS2tgWkqxCjoSL
Fcug4bIJvgm5e6loSX1IyDCvdNHj7wpInZk59ytZSTIR1B11h2VrrkIqpFYyVwnnUBEpi3QGhgNN
rHruIbAH14LWmxEykh+qH1XFOapfyZUV91ZzCEUTwV0aTW9dSXn1ded6wD2WleFf5q78FIm9Z+tx
pa3IEleIGGzKkEaNkpScf4RUT/ZvgqZ6iFvX7gr/ecjljWfCcRh8Trduqq9TkVS01jXU7rz0tcua
12goM3TzuKSIQx3VGLPkzWtAQKlSbqBWj89EyquQq2dpy9N23rvnHRe5med/A8pD2UuHuoSfA94y
hxvKe1Dl46RcpfpWsbhld4LoriiU28zk5lJQX9qquZLi+HxI2nXOr+2RDV0l+nAZhWQpWhpvEL/7
yDy3QsGJK1enDy5qie3Mcd5cwI1k7+37YHnnTkgBb1jyFDV4gks1L0oxdeZ8Fm4KEM6M6ZZ3u8eu
NPdFQVlco4U8GiboaFaRccGDhYezqlC7a9TjDF9BXcXsVrVjIv2grzsHJanWRwcPCDBgSUOqd6ml
XYqJ/+aHhosb9hsVJtzCqMd6i/KSckle8OluQmBSTDfcMIZcjjWW1TxwJiNbFktl2feJds95qtnE
Jcg62e8e9U56GuT6om2QgvGbG31ouEVmBYVRss4GVR45lNdlGZH65WSjSqS861bwbojtoZAATnTh
Qzbw7wxdxDrLC3weKIKUt9eIwb0hIDreoOcKBK184xZRsWwLWLFdzxt5NiQfBi9qoRfxIAkpPLUo
2C6VdDnUaKTnoX8nOegW6bjQ4n/7wo99gezlv+8Ly4/btEpP7Ar8rb93Bfj3uqwYI8SeFlv+4O9c
baQhG5oKgQI4tgUL/meuZvylqLAerR/se3K2n5uC8ReZ3wiWVFQkZccM7x/katOSa00E76/AKwD/
LQM7scY6rqM9IUBCLRqsWN2kFKIsq5yQbOdOKSBlnbchWkFD4zyZToMcSC5eq32lI5tUUOVzIVu5
qQ/UBwzbHO/TWciJF517BfpvxUKnbuVdbVCX+VEM+L9zwegZ/93RztOkSD9+d7Txb/3taGCHgYpp
6uhLE0fj4+oULar/9wd/HwnGvF8jWZGBe4oUi3Ja+Jtiqv6lcbagxROmvCSRn/wTNxur/Y4yj+8n
Auq0tfFn4b3TE4HkupYa5HW7UVB9jDgwRybvGOi+ePQ0yLe9dihScq//TM/Vj3/8mFU3KbD8zeTE
seM6CobBoWguKPJlzUMMafde5lIKTtfGFNuZWuqTIwRFzjwbwO6lSfWfpFmCnmdVu0m74C0NXW4V
zcq0zbhfpyW3eS6FAqV4EzJBPzLy/wrlO3XaAuZIOKBxQVG+d/gfrWAt7xKu6RlohhJWUGRnw6Bk
i7BoL+XCwKO+mlT84ffveGRr/PMjW4IcN5Xs8x09M36tucBP0mymRRb//dLE+OdHJniqqdNYYTii
3qmLIPBcLvLdFRnCTJPXibGgd0BkBsg9kj4mhtACcwSOm+1GLaloUH3KaDIhWH09Yb/HV+jgeIOi
Uott0bEw8YukTsIhNcbbvzIH6D5eToeoHAiLSBoWpfRR9nuHmq1iOLNQLa3isT6l5xbRWYhdsm+S
N1WaWRhT5MO4Mn75SZNjgOVlpewqbrupRdmOgqeo35vdbWLt47Zf9U7zotb1DRjGxPYj6S5A9bFo
uUqbmZhx/U1CAhPPXQNcJJHANJl+1UqTOEuNhmcDE6HoB9l8apF38/2zEg63d4aQGDJr37RYWPuo
yw7UDOelt+RJa1eF722S2mSwX/+mEyHjl580rrQj18scq3bgQDebRH9DnYoiJfTkBCA+ifFa8pL0
tbVpy9eP73A0A+PPOTIXIbMkyK7VbMrSX4ZJcGkknwbv4omFnBZ3mPgUcVJBTkw8dAnH+nw56oJW
7mtmXJgBTz7fyi5auelTqibbKA8Rs50rvZcmbTA/fqTKWZKzqWJAgv71R6ZuJBTUVzaboKvRVNI2
liLYPQVNTd+fmVpi10200pSaR5Snr+fnxPrkRGwR0GQA2Npv/fiwoAX2k3qj99aZK8OwL7S7PzMx
WQmhrBbyoOr1hp6TzA7YFTie1P84oDFxyARYcAaB3pqTCDDw0JTD0UZX23lNi3vkXxftHET797ka
Pw4qL+z+3OBNQd0ZFfXjqbDfVJpg69KH0tx8PVO/Lw0MQO5lk+HO0dAmbhCJghIUuttvYlYdF99e
9GkOiT2U9zpNLF/b+n1DU01p1OAgXUAsZDqYotH0UfOw2qgtgCn5NdcJhtGdFM/hs6d9jzg3lvRR
2GFMfgxI7b+sQHaHXERvsdro51TG75R3belfLvf6bjhQCb/wLp0z77ZdFytxKe+Fnbt178y9OcMq
G438Ggh//RGTqONHPuIiqkW7t6ZcVN2wl/wKYVZCz9fTesqODFZTJtdHzP77TnUUbvLIRWgn0KoN
1dM+ReFufB/yhvy1kRN+Mir8/MfIJOtqqiDzuGaqNn7xkZTtKq1d6t6iNexGu6mzH2eB/5r6nLQG
UJuKEdXgGDNZWuAxw66IxGqjEB24uZHgBa4cf6Gmy6+HdWJ9gfv/aUj+1VE6rfG7XByqjRNxN0Qd
Vq/8Q/rwd188NjFZYWmY5xZnqWojdbmNitfCy66ifmaHG6d/6mvHRsZxHvmA2g9yhURltSl6eRsj
6xf1BeVx8bKoq/sgDLaRGFx/PXUn3e5o6iZrLEXMzhd9vpEYfzQO10cpookzzLY5P5gsoVrjHbYw
GVZm3Zs8wFHQIZ2zY8SPfzaW8XccTV/kmq4LfBciUnElQKTWqBDJvBmnPhX+jr/RZAkNSiHrzjgY
LfaR6PTXtaMeKp68LSp6vh7P3LxNmrQ8VxycusaUHJZUbEZLI8sXqglrrw5XfjkzeycST6pCCD1I
6UBHFK3J9BkRQseKwvQV1G3Vy0qkTQrUXALb7J67XLiT8orKpa/HeNL/2BllFcAZOlIT/2sqVffC
kIg0hNpdHYwVyOFW0ud6SufMTFyQJp+Mi3y52hjqtzAq1kr24dFo8GdjmUygn3iFklcYkRpEk6mN
UtAc7cMZK78fZcfP9HPGJg7YdqmvR+NQQJVGKMZXe3xcPMh0owAN6jd/NqapD6a1b9Y0zlBSywud
cafk/sLw3NUfWZk2B3YWjm41SrUpqaMoEqoLYsVWpW7GzMn4+nPqps3OEZSgNnIYTPgg+au8v6b+
8DkBV4Hy9tcDmrM02ZGokhADz2JAhd8A0N2VFMzJVE1RH8YjpC3R3PK1wZMOPm6yJE2kTdODAM9J
joKOHzGWDo6ypyQ0eqaSd8b3Tg7ryMpkg+LrWGEdM4GdSy/RPrtC+s+U0Epbe8ZM8Bv/qd/2wiNT
44CPgnlvlrEDVgnHo3JKlT4CdOX/bMomMSFHErXTCwYDAHlllbeBcTe+8vyZkUlMcAcjjqsII01w
oAF1YVi3jT6HFZv7+ONnO5qryggCK0+I3L0iLgJTh4FQrBN/xsXmvsg0FPRamaBdzBehtTWr/aUq
/kMRmx9Z1s+Pro7H3aOBJLXMQ2eCCUHzeBO06DaQlsh0zAS1kyH0yMwkMQXEJ0T03rOHO3Q5mVTQ
qXdC/S0N712H8mNHXvTRTJ51Mm04MjkJCJ4p1o3e84kag37TCEaNOr4YLkJLnlk4p52BtwKKT3jN
FieDG6XYRDnHUqpS/3lArNhRZuZvzsRkMHXmF7mXkZg0QClS4aEoD1Uz14I/Z0T51Rf0VK3ph8dI
IX1E7r6l0m7I5jCk4/L7PcpwJuJ5Z6wJmPh07qVZlgZ9hbL9ocrKtWQ9Kkm5EvpLLX79OhKcXj7/
MTXd42KUfsOy6XC6quUx5mVW4eL0hP00MPnwjRL3Ahsc6a+enwEhXbuVYheF/vD1OE578k8z049f
dRkNoXyXCvlWad9TkG/Et0Pe/pvwzPlf578Q/pzShvpkqHMx4tOolCm3+lXHHZAcPn09mBMXwGRT
R1YmDuC4wZCaKl/FMZzyLI/qN6GlVznr9a2ucYFeu3bBi3s1tHeuMLbJRcOzXJgIaNNPKVJYa+bp
rooovRZLoDNf/7qTX/Tnj5uGw0IY3EBS+KKx+GI2vEqfKfHb1yZOfk3kLkXeGQ1TmT79hGKS9whV
VBsvuAEcHg4XUNt8afW1lZO+f2Rl/BVHcb0PHN0pSgbSUGzvUEufcnH6tYmTqcmRiclG23l1IlTj
QEx/63BzXtXROqE7pqemwShWMRUWXxucG9Nk0x08UXKKpCJnVe4y6ltNI/03kfxoSBPfdC2H3u9x
SLlICz79fVa/6JqZw/lJH6O6aZT31bhFnkQNyMGGIIg6l2zdSxWsteQhiP75FStHyp8mJhGjGOQk
R9iXIDtkqyYDQGA2K4lWwX/xQSyNpxyRe+nf5BNCq6DzRTerjSu9EAwXrTr3QeSTTvbTxPfr+CM/
9k16B8oYE5kyguGz9/hCXPUXxcHbthfmpra1J+E2utSX8qVLAfwh3JbvoAugQ1ybxTJc7qyZqT25
fx39oMnXC7su7vWKH5RmH2oSLVCeLyjmDvxbSZu7jjgdK4+MTb5jY1VWFfoYK5axbxuP8ceIrBXX
1KIjltH1q1d/aV5o2yiciYMn87VRXhqNKIorjMna1tJA0b2c05TzIiALKULbXK52jbpQ0hlLJxf1
kaXJog4MGCZCxnVEmtV3uRG/W6V+/7Wbnv5kPwczWdWGmPeyZHDRGziXSgEyUAE2UZ+5mrrJMm1m
TZxe3f8xZk4SatOsDDGmk3NjFs6NUCeXhlLuvGaOzjRnZuKGciyr3OEwbaSGi6zYIOFlN447E3Hn
rEwywj7v2GJ1BlO7Bh1Q4UENFfoD4vzh6y80Z2d0kqNVLvDUlmnN+IVq6sLafOF121Cfy29nXG36
jkLLQNqKAlYimshE41XNtn82jMmmq3maP+QGq8agSVcLnpFPX4TS+9dG5kYxWZr6EDaBTv/hpgIK
UsWfijbz/jKFO/84E/5ckmOt1fHX0II+GtoYC8KefnS6Y7s37zLcSGfJctjzv243KUCiTWXXJGOQ
tLXN1yOc84bJesW3G1SG8W3PpTWjSnal2tPj84fObU1Waip4dZcpbJIRXXHizkhp/Lr/o5FYk1Wq
FIE6aAUOQcdx4yp2mIrUVMwNZHSr345UP7+XNdklOsuNPPoC2O27PT3LVcbELfJ+hgl68nFQPjIz
CQZDO2h662EmX/kX5Vm/gbBxI174D/KDuSnW8qf57BxQpuQ/ysZ7VVb92dmtZuvv9UyhyszmNKpQ
H/tna1SBIKGMvknEq4KuRT/ZJeqwQLMdefVzTXyQ5wohZtacNVnYXe3JruPjkX7rryiGtY1uhpd2
akwKrGlTpfiDGsRxTRxFwDa0pFTNGZPo0y4rodPqXPrpQTJhSofXJnB/I51xzlPb4rHJyaAGxXT9
+vsy5/muWwbikmsyxbTjue81Z2gSsSyjobAFpPam4/KyGcJ9E6e3PsXJC3Snzy09mUnRTuWMxwOb
xK9AHhKxGf1DhN9dDzYoqCrdQV0J2rOv1/fcyCaRKgwrlT5tQohnbpuGNtuzIF5Zui3Msf1PhcSj
IWmTWFW2ouYKJg6IJhxVUX20KxzgY1XdvPzRiKZ6XVRTxFoy+mGbqrYPaaHRytuMfczz6Y3jav3P
zE1iSh6WRgbwjJgyLNj/F/23WuUGhV7FYsbSqSB5PIOToBEMMbcLPp8qlq8FuCwSai2WRDNR/fz1
kJQxqE/D8bGlyboqaa+WhRBLioXMUXSXf0pL0daW5Zm6iXd3ya17nr0OK2UH0SSz/XPYF5fJVXqf
7cNDfUhvo/ti5829YZ12II2y1VEjE6WtX+OL40meko7PIwn3vOQpS5ne1yyd03g+FSi50viPmcks
08ERxbmIGd6w6A+B5An06ev5Pb3mfpqYREqj0jk/m5hQ+guTc166pL+et7g4WH9t6HRI/mlo8h2r
sEo6v8UQ/Sb0JiTRTaz02yIezmjmOciD/ySVwVkaaY9/ZncSLiOHpmfqM1mCA4DXFQ8M3JCTO2gH
EIAzk3nyhHn8wSaxMhOb/7v/T1fd1nis7ujxX+XGCuyVcC3sIEk7N8qVcQlBb2aYc64yiZ2enkVm
UzBMjR7qrKrO0ziaSVlmnF6eRM1B6dkHxo3AKjpE22TFBSVq7kuhn3PKOUuTRE92A8f33NEpU21b
Cc8BrIxImVOmmLMySfQEv4RFImDFhBHRczUfOBl4m5kANmdlEipER+hjvWTWvOCl6j5lIAX0En3t
46e3aLpuNW436OaYzBfKiVaP3izh6N2xLiwoEdD8IzvVVr06E/jnTE0mrcqL3B0cTMXN+J7+LZb0
XdD1NG95+9TToWDNOPaUAP/9/KTQcfz34CYTWJocKyQJi9VafhU/srts7V02xsKw9Sew9hFQrXjh
fXw9o6eX00+jk8jrD3TgUb/JTio4doh8c6PNPbGPgef3je2nidFxjnLUxkzFks85VhUB+bBLzaZz
MFeIv5uvx3LSA+kJHVtAaQZSJ6GhFlpPyMYHtR51naY8L4PGTmc1PGesTHOq3EVuUSiw4hbvjXnX
CzunnjtKn3Q+iRIB9MNl6vHGKT2astAxK8upDNbSNn1A2eA+O0sRtoxfSK5Wm1V90L1Vd19WC2n7
b6bwp+FJXG8q6E2Wi+EohhwiDFt5qC/MZJiJFSe97uf4ptX8g9CmaCqMCXBhXDup8hb6xuvXIzlR
cU11xZGNyQIuyiEqE5WhxP3KoXt8B2cJhDAt8WgpgKybu1o76eZH9ibL16uz8YIFe1KpLRKZJ/Hi
ZShAwqZja+Xb16M7bcxSddDKukS58q8O4pdW1hYqIT3pr+jkjEu6S8O3xn3KBmcmEH5vuflt/cI0
MCSD/0b11a+2qrSpA3HcpIp1tZUOqd2dDZt6qazSy/rs62FN4eM/YuBPW9PLlaa2ZKf1sSXrC2X5
sgZaJAD3PyuX1cMFJROL/DK6V56/AZv82vLJVU0rt8iltUTr+WTFmVYo8wU74mB7X6WQdbJg6QLh
+drKSb+nFnt8wCZ9mhbaasjwgXjnqRQADFBFa2uKyUwD1cmBHJmYuH0SFkNJPSL5UYdqfT2AF/dF
+Ryx4ZkgNWdo4u+t4zVuIjCWulKXPTBAzrCaPHOuPHn8UnVa53Tel+n8/NX34kzMILzyWTTlM3IY
j0gvGPziAZ7z159mKrDxw/XoqmNBqSL68RMPSJR0qCuhZTwDcNEqSpMNouMXkGhgQtAPxltGD/pc
1660Qr0KTfFVkBLKIB3jzC2kjVyr7M4tJXFf/66TLvOfn6WIk2S0dCsxMCHZbwBy2J53XtGU9rWF
k7FEo32LjYb+kGllp2rWtTnEFQeW3H2OO+1mMCxvXTrNqhOzF2mwhJlN5nSmc2RxckSS5S6tzJYx
mZt2t7eeissOqZvQNi+dS3r6z4V/tbqPDE6+LXTPUEqskiGa1SqxrlLuwLW5C/DTX8og/9B4x+EB
7FdfzZ0uy/uxrAMlOg+1kGEVm3NyECcv2akdZEXQDC2jG/qrkaEtcicdijEYK+/dsr2AC/2BuNez
vhS3ABLWlV2Bj7u3tsZy7l3x5ACPbE9CS+kmZpToORf8zpsF1guBgZlFeHK5H1mYTGEityHYNkaX
SJ9xotrIPCx6KVsBnv/a508PhVIKaRQjQwPi12nUqqBznBxDQvLUeXdF/W/euGGg/W1gWkTkx2Jo
FCoe52jP5nARGDOXlSejL53A/AcZLEpCfh1A05Z9WCA3tsmITGL4oMaUff/z1jFSKAM5EGX8n5o4
WadFVbiqH9TjbpyCWOZRx/dX//RDjMUMtFTTOGSCbZn4c1tHOddLBB9hAJdpensvq2am6vf4hgm6
khS6s/ki0023CCoDaUa+NWwVu2Q/TGFoCM19pUF7azf/YjwjCgB8lAjnY+JYXa3/P9KuqzlyXOf+
IlWJpOKrQquj3e1sv6icRjlRWb/+O5pb9063rK9VO1uzW/PgXUMgARAEgXNcmBv2PcBjV1fWZg18
sesifjoJ9PkjYkpn2GASTs1DuCGVcWXzXoTuV6lqNqme/p2cydbQ1O1Br4F189l3pjdolH+pwe1B
UEn+d4ImcYVgjDfLxg0qkConHaBpQZAivQJE6rqcnz5zuXBjUDi7VQWyx1GjwMIRDWCS3ZMGbQCH
ubA9S1LGn59JEWgjBqoPC0gVJAbHKL1t4qUDdFyRy5T8UpOJ9yuyVnplCK/JumZXoBeM6+8uHr4j
oMQKgFoJ0xNGqffAIB1Mty3fNcV/uL6WZPYTZEAajLOMCmA0LtUELEtbp32EVNbPT2pf3+sFwGSE
/pRL8ToBOLBXCIbg5WA9d1sjLrM1qbu76x8xt9QqqAYx24i0Be52+Q0C65lQxch1Be1jkN5zgGKK
bGGtl2RMYqDEW5WkBBkop83TUAV3oqfuAI66YDWj7U139FyVyY4CfjMPAZIIMQMK7Dlwk/uX64s1
FwYxmqng3gGsEtwaLxcr6bgLy2wQmcrsxoPtqJ50yMVwC+CKCHDG/UK/2qxGZ/ImXj0ArSXtOeQ0
eLFrkg2Jvq8r9LNIooGfHePACiahMCo5CbVDUcsRMKswkSQhQCXAs2y0j1oGzCkNiiefhZ9urS5Y
w/wi/k/mNPYCWHzoKIFSlajYUdumhg5Cljgna3BN7ZJQeryu49wiAlFkvJwomOKdXkq0MC8HwFji
AY82O+JWx17NX6+LmDNwQGVhdpdhGgWAa5d2EVRyEYMICfZQnKToRuxvpG7hJJnV4kzExBT4EIZB
LyLwRt7gACVnUxRLrx9zxoAGXCwTcgmiTxO6XA6KVG9gDEkTHwgoJ4FprRmBF5sF56+yKDos8E7X
V27K+Ixd0eQzodMkj+eRy/wx1OdWbYu2KpnpqnAEGxwvDqCVJUN49mzf4jt0U9rv/Z7ZdJ2fktt0
2zjg9Em3yX39DN6DBSOdSxDOP2uyo6IGsg8tgNH4im+6BUpD/g5TJxgAWBoH+12om4YtDcuNyyPg
aNg0De16UGtxijS0NUVbsmPMim6Dt+TgHVSzspmTbWQzXiu76DY9hIfWNbOFitGsaVHUxdESPXLk
jdZ9dtoOYecFrYsPiNihAtqbi+ai67tMZpfzTMTkBABSGk2VdLReo9kwq3QUoFcXtnZ095pRrJQ1
eKsrb6Pd+M51ybOeeSZ4ciY0stSUWgzdOlQ+lOCzIhvSxdZ1IUvajY51voBgawzlLkWFxd0Ci7pM
VVvmAyB8lwZIZ+qI8BbUR9AMoGKnpsT0HaaXE2GAOmrXAFOP4/1V6JEkhFlv9R79YGAJ8lQGRjTt
VpIoJvKypZng+RUFj+qYmgPgaeIZaRgCz4clSFowIcBlB5iDGJL8ur6iS0Im0a7L+rwfPKxoqIB5
AMxPLd7MM7Y06D6/cX90mdyVWadkmd5CTJ8d9U4eka1BPldhRGqpB2Lex/5IGn9+ZiIYN878UIqx
asV3Vd7VSwPNS79/4sPwXzWLGmjSpsFKZcVDwZMlMIwlGRMnruSsFToPO8+bbFvGGtq/YhDgXN/5
2S1hwJNDaQaVeXGSkdAe9Wsehwi8/T0rQKZQcmDPP5Y8Wojws9r8ETRtb08D4mV6geSb1iBk0thB
UaUFEQu6TIG4NIGTNG0goqmAhsVvSeIZIArK9G7her4kaOIuUqzi1gBmVez+d1M0dpb2TpY2jib/
Ta0BKc5/t2fazCJLgVa6GWygq+ttwLMbtZKer1vA0saMPz9zFT3G3S/iUEYQtlF9C3qD67+fziWg
5zpMfMWX0RMuZRCgvQn3rtPbzQNI/zpLOSECWKURPdKNt28/5ZPs7HMjsXCrXsnfw6Ngedb1b1nS
deJSGJPEzLyPT6myQ+XhjsfKfylhcgCqajLwfoA/Dflr2H+lSLevqzAbqlGrgb+KgNmeziuEfp6r
bExf+HBDs49aP7R19y9lTA5YEngtrYMcZeHmXRi+Q0CBZeqCjHkf+qPHJPC0NfdSDLqNr/g3Xr6P
3FuhBaT1QtF0YbWmMwo0BMW30EITb+iRC9FNqiRb1vrZgjZLciandDJgpqNn2JU0f2UJSGHyL/Dg
mNe3ft6R/rdkGr301IoENWDtkNUN7rYpgBbmWUlyF8V7t4wWRM3ujiSiCZqokojHxYmoinqqUOP8
9MJNHx4a8JP54VcfFwtyZmsyGhB80AkMY/4BkRW4rBXysSYTCtIhCzKQEYGYxPKCTDACNL8ZUgRA
XVGyUdWxc+o+toILTh15WMr1ZjVGvRh/xoeKaSeG1/ZxNYj4kFR/1+IbGrxJ5VoZ7q5v4WwA+iNl
2okhwp81eQgwEUdEo9KRjEsLNYwFPaZtrQEH21QbIABx9kQ6ML49KSWmx/p4dV2TWYvHWoFSApv3
AxYsFHNe64JQOpyDaRIUowDrBpnzQrP47HqdSRl/fnY4KTXIdLjnIT1Jc7Dd4r2Ntv9SxMTUy0FG
E06pAyV0fDXFbJ8PUIjrazV70z/TYtyzMy16DrpiPcVatcln4oNsw4nDGnLAwAVOENCC2dflLa3a
5BCSI2QoSYBVy5m3BlmWU8f8/bqI+avRmU6TMwIAGqQBDQE6DiloP0FvlABPM5U0IAWG7jbKQS6X
D+Em98RjH4OVRAVLzvVPmNdSYoCpHVkvph05cQvsiyRFbhSBN68DFp0n6Qsi5o38j4hJxB0aNe0H
VK2dGjR9qEqbXnVQwb1zXZElKezSPJgSBpXmQgruoaBbiaye3EW9u2AUS1ImrpTWg+6VIkJ6kN/I
4gcJN2n0eV2RpR0ZP+HMznNJ55GcQpFeeG49ECuDL+DfSZh4UpdxtwWtIqJbkKwanoEj95+D5eHO
r4xxWAcqtjTtHQIla5G1PZyn8ROwjUSGALjWxltfV2T80B9VqD9Spl1D6GAIGd4qYbz0wQX5zgDC
4wIs6AVbGiyelaQSAK4C5wDPDpNgkAmlKIljMBCj5xLYoh42RktCUx1E57pOsxZ2JmkSErrOD9sC
LMoOyV8F6VbmoJZehBn83cr8Y+VUoHmp8HnAk06MjJVNQAfwWzoU3E0GWzErtW6jt2EHRnCLMjvG
7LTBjfvICr9Tb5stZJSzNg7IbCwmcnAMg1/a+KDXXaJyHBc5GIk7me6asj1dX8eZ+TNslEbwFKvh
mUqftreg4jQIcgQZrQj6wyHKX5qoI3Yu5SZ4GG5SkmyHRnlkArAcI/CGDbV2S3v9QUtkDXhGYKeV
ArsMpBfPS2QjCshB8MtPz6UjCdcvQfHuciAg2e5AT+jOKNdNvISJPWsKZxpM/LTyg5iJLegnQJxj
NGlhhOVn1iTW9YWa3Qs8MeDxkDE8lk/uED2LEyWMVZD6icUTkdxV07P7fyVi+noiRC4QdtF74yjp
RylgmEZY6uKaVwLdN0RDJ58yfS9Bi1McKqFcOn2LNnewyoEmYyFqzoYAHfVmRDW0eyqT3QDxdtxK
wviKTMAMFJpefGrKDzTamdcXa/aCciZnEgB87gvl0OO2peF1qfOVG8EP11GfHKRCtcr+n7cmwk10
ecRvxckoTbuXSOt3HeiY8KQM2kGffxT913V9ZnCaLyWMe3d2oKW9K7TeWM7mK/0+33RWygx9hZxX
M8IV+KfBM2knmx6YThaI4tO3+OStQvzH1z9j1pnO9JxEPKkjulSCKcbxyTHPOyATOFLzV8femZCJ
jfiikGYsQkUTCBjv0NtKGv0GY+QLsW3eRP7s2eQ00hQCqmlQQziDmJqAxTHc8lWvY0NEA12wiPk1
b/h/pE0MsgVPFwVMLIoMIEwuvOArq3EuCdnKD8Dae32XZv34bAEnwajuI3TAUSxgzR5kFTyCpF+Q
sKDNFLJHrTwucxcSBMHCkmmgUG3pTZ6nC/Y2rsqPE/aPJtMnh7KsmEBGU9BAv5NUn753kzWvgBMw
pKJZaUCx/puVw/uKjh5WinfxSy+rGy9pKxnyxho3B9M2yECvS5jTCGR048snIqzMJnsT0rqQ5RpW
p6OvTQ/MQNsLwXPgHZXqG/fYBX3m/PVM2nSfFKEJI3AFQ58cpYpip3u3rrL0xreg0nSTepf1ap1D
pU5WYiMU+VNZV7fKkDuJhtm9Pty6uftwfRnnDBBXLVz40bqCOY9JICIgwc2kBAmeODRg7U6ttHGN
NDnW+T9Hxkb6jYSVymizw4jpxCSAQ1rzqoN2aup9CRpm80ogdQGMfsEwlLEXeWrrOoM649Ma+Hgm
8UiVsiIUB5zvVZt0ZqR7jQVUxack7z4rXla72u9LAN279TYm5BufDD8ga9FHN3+rJh95TmwvB+ye
Tvw78OWYKXi/wTe2I2m+6oLibsC8B17UNGqAqGOVotEdrY/aK5KVnVj44AVExSuXlMAsdPE2i1OT
NfyIKtEeu7ep9dSiFJy9KVbdkPICQMDspEt5a4F4KgJxvLevQhGM7FLagSwg9cC4np10L12BL/Wk
hM2TWyT7EFmxx9gNmt9DEMvGdxr1QF8NskYMo4ngewi/uMoXeu1nbQUDbwQNGkDxn8LGC0LRdgEb
c9h0p2DWQw1OvLnj4VIdedbZzuRMjui2VHtZkd3SGdAaFzVAnfAPaS0tuDRbUmdi+oDe7QOvgRju
0T3QNOyk6rfMTbdKwC2v5Hsg54PpuBFu81Jw5Kxec73LDPDY/ZL13Mo7sq16vu0kH6TZ2XOQRZ3N
NdBeg+fMFJPSlmOgiWldDHptsIalFDCo7pPid1vfl57hD/dlVeyIlp/CWKE2IPQ/mNSANhiBwLnu
5b/T5h8+cbak41qcZT2kLHOfjRWx0h4sZrE1Qc4TGZ7tPSYncL2pg0XWoYXjYGWCl7owMsvfDYca
tHmdAUbPNx7tyvVSi8jc+aqPXUWgulG0H3QqeDjO0rDElaLPh+c8wgIBtXxhm5dk0EvN1UxRfMwu
lU5Uf9AwAFzwUg1/NmyfacEuJWhJTbjcQkLt3tD0I3aL7zIHtaKcGEFR7zVxKS2Z9Y8zgRP/ENWs
caUMy5bovSVSd6tTAHxHin3daObyuvPdmfhHlRBZbRnEsJ6AHX7PcfGs61ewRdtJ8xfPr+eyJjHb
RRSXUw03psJTNxyIikx+GXxvHZVLD2GzXn+2eJO8QcnBXuNp2K0wGrS9GEZvpMue09wDBQ2X/vEM
N8489PaDv5zgjjatLLQjIYobj8Y3ABddTRGqdzT7x7NWl0Km5iDUPBFr7FPtHuNk3+jHfFhI8ect
7o8eE1Oo4bwR8PJLNGE/heVzR05u++u6tc1WSM7XahKiWpn5Cm+wVnGbYMJJR9k+B4q9EfiK6QY5
WorVNzlxLfQEbH3PWyuauOIxiiKhfhNz8PGKyR6dPODRbKWjUGoAr+IbMqh76icf6P37FisVoCNE
eVD1cs8VurDXs+7yG3p0hIfFkOJlGEgxD5NKLghSe0SYCj1a7irOK5OiKUbQ6IJvzkY1tFMgucbr
FhBPL4Wpae5XAiY7nI75NgP/ayc8Xd8PeXSEH0cGBi1B3PIfJppLEVVGaNi6PfbcAxtqHNBjpUoH
Lay3ndw1gK6QqRUr1QZEPqnlh+kbQZ0QczJla7HUw0oL/NCFAJ9oif6SacE20NH9lwf5LnXL3cAx
F9gX2Skauoe8Kq06lxM7T9vdoAdvXdMNSLMZCGZDd9jFiQ7UImHgBtMJuuWjcod20XXeV/duNVhB
V9WmyOg9jcFp0xStbsW9lmzl3PMwuNnv2/GCE7Ua8DBRnTOp3z4NUXzXVVJtKgPdypxvWz1yV0zo
nL7RrcaNzYiGNqcqaGbbpTagWXdSJTCrjIM/mj6JQZ6vZ7QFTIGDDMMU9acgBsVz9HF9A3/XSn5u
IEglUb9VZVzCLjewqwi6nzVaOm6ELkxBlwsTfC6rEuzx1G9eJKEn247iqa8SfFOOEyDklLYu9L5V
MIpicq99uF76pmP2zqnyogTKrXDH8v6pBZ5eK3ZIgjXkzB6rd0EtrHzWWwou5jY4wIkhtemxbAY8
ZVcmGImtzuNrAahlC6f7zLwkgh9eLEfSH6phTS+V1Hjg+i6ecRxf9u6VUloHaIXd48E9MoOGtWZR
0L3kV5u0pZabKKuyGI5aVGUrgXJ55Q3k6A5sIZTNTBZeftQkIrPEH9w0h+sQT7jV1fi1kPLKEptG
MmS/b8Ej2Cim7Od3ePywmAdq2bB9Fnsd5RMKpKdUAYTwdWOYsbhxOgK9/Tqqatr0alkVbEgkDRX2
rggtt3tI2sKi4t11ITPD7mNx+4+USa6lE/QY5tkYwl3liDDsgjJdec6LcKsKrp3zyMql1qxDfyWG
3ct14TMREYEQnFzYW5QQp+0NOtjMCteDT3kJe8Idbh3ExT9/J7gQMTmh1LBI2kyHQ8U4SMoOmbri
ra5rMbtPRIMSuGXJuGpdmjOhbeEXAURIJAQPNDd6xebJEkDqTMYKcAXMbYIoFL0g08YIxtVObQKc
HlJ6hC+YPd1VCl5YWsUoGTfk6p9zJ8AwqIyKOCY+6A+2KiT6YqtwnI1YtafIVxWz73H9jZVmibNj
dgHPJI2qn1103CINEko6mAFrirUgdY960NQgHvOX8DLH3Z6EV+ikU1VRGUonU/CDGlmqHoYwOHC9
24I4PGliET/ENbhQVYAvLJj37JYxOoZyYB/g2LjUCyWHjsjobXMAQG6h+SYxWaR5ZiYUuzJOjtEg
7xPCl8p4szqOA9kaeutxhkxyGohsQzfGvjHpl9uNkelTDnyrDrWF5GnWexlGlvEIqMgoR03UK0iQ
Su2AJzgFA+xyVK+41i0ciDMJmiKeyZhEpwQvaIEAOnVHrAHvSNCcFhpd+6gLpak1v6778fzC/dFn
sl24OMWYZYIswB6ZAVp8gzK0Vf6khn8Tk86Umhw1OFaTkOli6aQe4lKh7UhdvV/XZXbdkKwg08R0
A8isLvfG5XWEOWKIoF6Vm2WrFqAOqu40BdWZQPAfPD1eooKbNYczkRMv9oeyb/Jg3KqwO7m6uIuz
fOHWNJc5KKIMsA0MMaIsOZ1Ey2mDkz+sceVk/Zqjt5iLYPkJ8kC1BF17rVwsplL4vwbgDxislUML
BO8o//gesptmQFm7Emuj9ZZmiGaXGxPVioThABXl88vl7iK9KMsOyUMc6eBqjSy9SDBDlFNiAHEo
N0hWDvb1Hf5/1uJ/MqdPoqpLU4G52OJYXHn1UcGzpSuuJLZt4jsl+SzTt7w9amgEEl6jYNf74ips
Nte/YTZwI6CKOI50NCFNrAw3uTzh0ZgzYUjbyAIwnwCiqc3DhUxodnkVtLdRCTi8eGS+XF5adL6a
dyVMCxiRmnJDpENJw5WSrzGlb/yNTn9kTZyT4ZITUa3BlZBgCjXjhpi/BuGSlFmNVDYmduD3/kFK
wgc9ZRqHRnldPoM14SFzM0uoPRu1tZumHJZy7nl546A87i4YaJ/slMrlsIyGvHRkUplxIhlu+EUa
ag4AhGy6pWkGdB5iR34ctLjG/FfeJBhUulgXeQ79iJVtqa0cynW0UmxqKigT2KLZ36EGrjj0LjUV
0VBWnZMClDIywkNkZBhGNiLTXwnP4a1yzA4BUNMt3FPT++Ju7Ew1mK0Zqq28Zg610T+VGtU63nU7
YuEwVU1y0Ay+DgtMWZqoQOtAHcIvlO/optoxK9nW3xkGPa3WUiz9pnh0V4qR33hOsyY3Da6VRndD
7/y3dMtv0kcZ8P/dK137p6A32uceoEKoqVZv8m35LK7Du/SuvO/3iqVthCd52x+DTedkmuEf8s3w
3G2yd+2gb+KTeCNYldmiVPus3vsH8knteDeYiuXZ4AhaNfv4fq+Xhv4RrtSdYpIXYZ+aEhaHgXz4
G2+yUW8KR2nt3sgW2iLLbfZe7voNSEvulF14ajf8+y+8QMPBgSEyUPZNJ66CABORWVqVjqaGFqYV
jTC9z6tkdV3K7JFxJmXia0Urir4fw9e0XNmwTNoHqbvUEj5n+biy461MxH0TQMeXsaNqkFMH4Xiq
4y6tZE7IYlBuN1biO0nfLwTEOYUwUIh8GQ9ZGlztUphKmyzSKwTEFmSYppsnpamzhUWbVQgjaEjM
kZ7/ANXSdDUQKhw36Cr1jQzkoehTUbFDvfsYpMpC5J2L8IRRNiILojPmdwHwLDXv0gY5bMDxLsf4
vtFa9JTVt6iCLKzbvJixlQwskSJO9st1E1nUeoOWlU4j/dJqEO3QY188Xze2GYQwbAxmfP8rZGIJ
AXWRE9EC6XgpbmuZlYbvxocu1yVDzFLXLnhH16WPx29XKnaZzO6GWieWUpfpWpfAaNM0iD6ExJ95
mB0IafdN0C9s7tyVgTCdYs5Rx/VkmuC4OsPg+4AEJ6WIZrloeHG6BkaUysRVjI57kt5dX5VZa8Jc
0wgHBwCxaZFBq0H4F/NxgyvAgIeCHcu5IYiyPeR7TGwsHK5zcwYKIMxwp8QVDA2PkztD6rdi1OQp
nkFKNDVoZboKOYhGpJgZvPOegqDHRUkwdJZvYxFsTXrX3PXCEln3DAgtTAFXQCB24VkUl9tLexsG
OG8NUntnUIBNg/5T+RYMOQ89Bbh7FmdHPytvBr/3zF6gkRGoegiiVLYKhWAVqp4leBXe2+QjjGXT
k6XMbjaIANFmRINiMINxy858zqtxG1clH2dnqL24mMIAmNhCIr0kYhKnpKHC0zna7ZEOCLWBObq3
OFuiSp2XAQVkNA+oTBqvW2dqQAENkM+QUZC3vLoTl56ffneYTnMMNNP9T8BkncSU5XhSF0BF8pIy
U1jLhnyrnfxjeYNSxU1gqzfxLv8lvuy1T9cD+nVvZRY3dUtfuAfPBi8N9Ju44eN5bXrCKAmevBsy
7lfCP72y/FRI8CxV7d/kcODuxYEMHA4UzCb6kigUgC6ccacVPJMIHwrxTKH81tF1p/lLswuz0fJM
2u+OjbPtw8CHkmQipD1FhvopvLx5O38l2+5DaXHDvYntbFMeT0uTgXNriQYklIfRSji2t1waTa83
KVpWFe4AedDk9a9E/vKKpUNtzjKBSQWMTxw26PaceL8cqhXg+ih3GnoXus8CKxbC3KwWZwLopRYs
wg3fjUcB5QP3b4PGyYXv63F7ScTkxNRIlalxDRFZtqu9X4OIwfeFEaZ5EcDtZCB9AC/TJEgILBoI
VweOx7Gjnt/q0lZxH69rMd6Lpy6M6iJOPABwAEJzGiMK3g6saTkwLTjAtR4G/VDmj0N0SkhpdtKh
CJdoL2aVOpM4caKkDAHRTToEjUI0pFi0fBR60FG1cI7PmhhCgYTKH/ARp/mzHIKoAT123NFRS9J5
ZWbEt66v3awmGIwYGf3QZzI9w8QhyXK3hwgyHH3wqGqkw6MlXzBl8psyZrpHSPzQ4g+kJPCNTrzF
k+GKXgAzQJzvjFgffg0NmsAKOhgCnnpbZbA7OtzmbmfwMDB0pTC1/j5uH1pCn5L0g9SSVeQyGhYz
Uw9PUuitVUEEytlWSfIPWb6l8odMgxWhghVxxXJbajYU2MGa32F0RVwXgoxaTmERubMEnjwKIOmR
/FOJFlxR68dnw32PET6W8l3boumeNFu3e8wr8clTB4B8gys3LEDITEOASYE4LW3Mlr+rdfCoDIHZ
gRJUkqAYe0u61eBlRoux6IG6L24j2FXhb0oxt/P8vQiehu491LRVEzBTDNmT5wKkT3vqIxWlCCSR
oLwL0pNQuiaICEyK5D9IQF7FxGfapSZJuhsVbC4c822VEj4ncWaEuu9oBVo0mLrqJMEZ8GJXqvJG
pJUdCd436uG3fvqsAla0CD4Ar2wOxWZQf1WCByqH1GqBU43BWkspXPz+UYa+Tuk98SpTiIJTSdAj
dQwa9Knlr4VW7IXyiwBZzhWBNMMfdLe3SaCZ6Mg1Gx+HNO4TcmllUgAe+A3G15y24E9Nq5vUQwR4
ztru0Id8I4TAtldOifyaoqSk0ttY/tbFE4k6Qw64XcKzCPfNiDdm2ZyC6LVxE9sviB0L1BTVD+Rj
ho5+vgwMJkUXAbCK2pifsCgmE4bisxI/6io3GhahbvaUD1CP9PY4k1rIpZHExxagzEF18DvN9rx6
R7lvlfwpadZqyVZAN3spO5D1qaeG3bWCvGqLZk/FihmFisaopuOHhGgP151xDBs/nERHHUQheAD6
UeovZU/s+qzmjqrdltk9GTASI25jAWoIfzEUrACGBFdZXP4Uqo6x5+xkVsW2CTgDBRt0WoFezihI
uB7IG/eWMg68x87opYsaZmxEhjvG7yzhTJbIMFGdkIo7JXFXuD/ZoQogIs8/qD3cKnKtoPYsUjAn
kYJ1wgY7VoZbpjYrQJpuQlrC1LR7V6oTW3G7VVpJq0j115orRIabqFu5DldCoL0DxNeOBtUG5eMR
vaB21kS+UcfSmsO6QiC79LW0RwFyrcXx1tfddajyDcDh4atoeJNLO0KlVabxp1b2dtV6a7HOU7yL
efshzI/1UK0BEOxvc8AfruOwex9aAcGobxLDU8iasvYLj12JISida+PSQAwgwgeGOAZunmFZm1xW
j5iBekyECEAW/raShtbo6hA9oeoQ2rU0rPuEPNCWf2t1S40hcL9Ilh46N/+Km+SFV9kxTjMTKBIr
tU1evAEXzqRGIOtl2fAq/qE3JchLPPZcar5FWPDh9/K3l4pWEfs7UVI+lUBfE+5alVJbkjBilbma
b3iagiYl1w66+FMfirUcpJ/XTXvuKDs3gfEMPzOBtOpSnw8wgZ49iM2DQF6u/342KwBggEBSIEgF
pmNWVRHDrUrOgSKM8yPAUNdWRQ+D4GpGSWur9RHnUr7qWkRe0Jr1Id2rqrsW8H/EXrVhsDyZ0zUq
MneU51sAYx/R3L5lSXsfZ8pWK9xtnXobBAdD9YRVVfXHoS1sAU+0vk52BDTKSglE8lx7GtIlZoFF
7SYpTpYBRztiBY5Pg1s7yQEogQXaMKuzRLsE0UpmJqZsq2a2fwbXJq7CFnG48Q4Y4PW6X3urk24t
crDMpV2Y2vvfik+SIEa5V3eAmAHLZ2ljbHid2PEqcVS7tFALxR/ZzFaBFZtfSz35v18fp4HyXPQk
qYwGPJLXoMhw9HVlKVvlFG+ETw81z8ju1u4mcgRTvaEb8bYG5yg1mtNjjmlf81e7E6zrdjeXP519
yfQWoA0ai3WORVDrkf7xm6MvRltCC55tr8DTr4qy0wjCN30Z8jFb6FYJpGR17GGop3pvCgC8qNmz
Gni1weriA13tuVHn5XOd07+56qCaNLZ+M+RwU99iddvAe7HcuZagE6sAeS0C9vWFnJtBR5skaJ7w
Dy7kdHLd6ZQwyhI95k6XgLygVICnpsrrPAaXMd4hzSjIj5oKup2B37AsXfuaUC3UM0YnmliVRjC5
gp7GsW4yxeeBh7mZx/rCScGgUIGkqQxUlM72pK7t68ouSRqD2Vk0RGtG4iYRJDEX8x6ulCAVoSUS
HWQAtui6i08pM756odpoxmcCy55GbYcqlYNmJM+8ZWv9WcxXD3gR0W2jslWMqWM2VTHFXbTKH4sl
rLC5LvRz+dPNjfE6JIQu5L8cCuNwe/uwGQzD+b7bP+9t+x6Ei75h/jqhSHB9nX83gU23VML9CZVJ
aaw/TyoBPp6Wqp52BYhMupXm6DvNfGoN13xKjAOSZFN2nO/bt8DuDOOutZxvtLwb3w1GAZ3uCeRx
xisx0QtorFtjiV1wrjQCrBQ82oloENZwu7vcEirG44w3Pi0ydk+7znp723h4j3p+vtlyc72wDjMZ
GC7fFJjtI/4L5pEvhakMa5+UEDasEkNyqFkY1GztziLWh2815v17boSG0RkgJjEe7r6fB/udG6/2
/Sk3OvMT8zHG9n79tTQuO+cH5581yQqEQHFDGGaBYtRzke995SX5lMOF4ZWZEH2u+3Q6nxZcz6Ie
Qjz5RYuoGYpvLfm4vsBzB/SFkEn0GoQo1Fu3LsAySp3abjYfiomuS8u1vhOzMQxFMLJHpzFiQGKJ
hm9vQ7s3fgGB09pGq9Q5IYhvrn/STEJ08UWT2o6vtJ6bBG3huOW+ESSj8Jbq8L+99od3/bGqKaNp
pPh176lYWeQivfmhGi8ZDEiyAzgQwJjN5/9kAe++rVtP17UjC6ajTyKaBjI0PWqawule9FW0xd8f
9SF7BHTjagQhXFFDWSuLkJhsyZjGzzoLpKzEbaojEOseELTdkwzIAmzwdtjSo3ZsdtVa28g2ucvX
gaObnqMAfVU94ZH3UbkDcDluAcVO3hTr2hDX+mapiDyHh3qx6ZOgUg2S2+AyBxDY+2EV7ZAOGZHj
HqMDvm7j2Nt7b+W/NW90V6+XkFAXlgbtoJdLkyhRBdAIyN4horWmaihmiX+JEVuol1iC2RmAdjEG
pKuCXVuhAT/An/WjsK0cHAC9Ua6/TtfN5Pp2ocnk8puUruoDcYCFBj3iXvLBSA0GuoW8gY7R8//3
A1xyL6W4rdoCCROa061kEout1FXtEOh5J9x5hSGBGAPOzh9zJzRMdxdC1S/F/oWmWOe6unPH/J94
irfqyw+JWdKEHoG6Im4IJe4EipUbj0tNpPOn6v/8HjfmSzGJlLp4ffyP3x968+tr9/KWGC8vonm7
Wm3ecP0yNAvHaGrsX9/t2PjEX/ub+/u19bVd2OD5Y/TPt/xOnc8cspcEQSkZvoVbT7cFJAM6CH/u
OlOBfM2gxqlcL7Tezb38nbkZCsGXC8AkD+/co1BmjLew/yPtunZrx7HsD40AiaTSq+KJzvlF8LV9
JSpQVA5fP0u3a7ps+cAHVYMCCgU02vswiNzcewXiMvfm483wQuFQF/lCdy7iqX2sU6aB8GEQDQpd
XwOSSVdgyIaADc2CqD906bhpM+7+vH1OnamgzjK0TgA7ADH1axSjjE2zHbGPrQxSyaS3r8uxyH2I
im5ET8/lJPhj649mIXFjWGhTf2vSzHXRRgleLmGUcHwr6ZA5dnnukWqaJz4JG8gypPToFptsPaYc
Xolz3yR4oAml3g6RlvlkGCfUi8nR4rrmz0n9WHZiy3TYBReGHbst7w5TbF+gtSqcSrIn0k8PfV8E
PKMPiSJ0FELNLR5+XqbX3JFwR7qtuGKG0ZghUYTvmxPRGm5vwP7XXhfnvWP1kEPoLfU3GeUMZbKq
eY6JBs4Fx8Vv9pci1/MXO21720lZrzqFYr81TXUTjZZ0eKkDfBtpfkrE70jrHnlW3U3o3ECCDLEw
HHjxTlJxk6najyaoMQaQRIQEah3fTzluY9SV6zwWqFyQ11aAPhX1+i5qDfB535rxV1Rd5cZ4K8Sr
tGtXrblfoAROzXmT10hiGIjG6RuQJJ5ObmQUXclR2baEHpu5QOkVgGQdQsMF8eqhu2Dxfk6pM0Z4
T5DaIcYdvBd2IsHrWE08rt8aypMpu11EXjoGa+0KjcFhxrUwme9x89LavyoiH/uhiD1YHTm6dd3W
W5F8xOMvg6cSLZAKEF6YdBTay9w+xyP3EkGfUh5f1Gnv0BHM8my4oRybGI6V1kWZfkACIWh7cLNT
mFhq6eyN836s2I2sbdXtZvgY8jYOilp+pCJ3mF5vpPlY4/80atqbNr7PmJFIw1UmNM9m74DdOVms
BcVkeToq0Mk0QxLntdWvTBCNhmH0iPEOP7GrtEM46PyALINzKVUcUAK9XA637WQ5yqy4FIX4LBJe
VdEgbwdvjqU71vjdzJ6PlV0HFoHqlj1bN6xBuXq21aOZtIEq1duMDRqqw82lKeO3qG6uBjFdmoSH
JToflQWVk5o/NtO1TTgAqwyKZ8mwGegUFqrq5sDe5LO61a10R1S4nfDEnWAaNU7mAYTMdw1tmWrc
KVPsJL24knY/unahHIopDriuPzXZlcouJ1MP7Mi+6+d2PxmWAwEkx7TqG54bqC/GtdNM9ttIbiwO
No5i+2SRkGubgGjMkyBSTFPn2DBaRsmzGilq6oYfY4G43d4Dvhn2tQr4ZHLUC2WjlqUvouyQmPF7
kzTbpMi3LedbWXUXkRpvczRIpaa5cYNzX8j7IRoOhZRXCUsv0vkgrOqZFaCC6WU036EA/1Al+ntZ
VbGbs3EXRz1ITDCsym4Hbvms+VVq9kumpoHdxo4lye1kWrdAUm1F/LYotGpDDGHl3BVRHsy2Bpfx
2WVtdej4tBmNbNuq5YG3vR8BEtIV9Z4PMhCi2QNU1EJLBItOJs+kdTCLzp/6mHrxEEHNYuprz1Zq
26UGf+1tZJg4bYz8OEgASAaiHOLOzhyKohOaKq16nZhJspEQxve5XU/Qrm5bpxLQslGIHmh1exHV
1ZHpaQiWUQY/m1wDRYEp+3iivqATThZjk3ZaMBtZAJEseJI1Xj/PO6PWNwqPjpqF44mh8cPBbWcw
/9bjhzLN9q2MA82UHk9sSNH3W8WC9reVbRtd3ahW5fZT4XMVGqBKcT9mTQBZi0st0TxLBYUhYoc8
LuBhYrhxNATKHN9HbX8HKXGXgjSoYqiwfXGkGQXdlGzZ8KiVcziBP4STzsnSe1GNDtgyDlM+gDxx
RHVrmL2b5rEzg3mtan04Z5kbpYNX6CV0aQDY6NN7RqugL/heK41AVZJLoRK/GarjJKOApDBKihjG
COe9AbS53hNquYnbCM4kevRg92VQaFHiaJ1+mfVm7wwjjtgiC3kk8dLgxrMiSw1zt6UTaF6j1YBr
1m/0Ev65JDMzX7eH0S8LHTZ+pX7fUL5r4qn3qGEeo0geRUqOc0avx2G6mFNgWHm766D96cSzCkEQ
YNSZCpUYOs62E3H7vo3K+wRu4m5tS80bKCQGknzeEFKhl2rbuzSbriMTK86MPhRgxrioQODtaZt3
VTwEkQk0rI3GKq9u40RyZ6zM40iUlzGBLBb0Yih2KX2pdXnfpt3lpDEYONBNUqHVaQ8452JBHHxU
fj/pNybjIR+bPYEohsO6cQq60n7u0nlyOyWB5RXDzZOO5HmGfJ1jt/xW2sZzJrXHtgSYNyoeiNFR
p+xxFahx4VtoGZaMPsZpEgVQuAKijBkzWPXj7OI2b72uba8NCq1AwADfrIjsmS0ap8v0AI8zpJ56
fzEY+Y41RXsTQ/DfmefssWJIMAYje2/g1z1b7UFtROIxmu+00sycOVY6rxkKgIp1dDB7PnT4l/mM
0/ImH6w7kWjXguubGTZHbqQoxyzWL2BLZvqLQKvLZQ9uPJB28Fu/L4z8ObII99Qe56XMkkczr59J
jS5BwW1X2tWLBpKqNkm0nOIcluU6Lx11GPwiRnshUaLfZSbRx04gsMGNuMJ5zu55gY+DJ4qJpjl/
jAf4TrO+1ryO2WNYZx2u4CQq0Q5SfHOiaBKLR2Wkj0ID+ZwBpuXMebXLLUse507t3IFkkHyhVeGB
bIz+b8Gpj3cMWPdizh2pdT6e9xT+6Zi82SlZ17haR2wNTzmiwWdDEzNmvjRxGpIeK/+7GAdeb7Kx
bwe40gi18YmibpNJuOoon3sDuN9IXJnLFsgzNbDRRXPNgmC9CsZCESnEqePaswyQtpLENsN+0FmQ
8oR4U4FDGULP6GxFSWD0ResPMaTPai6v2RTvRKX85mLe6rW564V+qQ35Oyz1AqBR3X7QdkosngWa
M3OXXwKpeGhSsbVJt4nY+CShKe1YU3QLK1GQOgzc7XEGGQLdaB+1frhLSAWPuyrscO+abXEouvhQ
zgNyK/QS7XS4mpv+2cL0eApHkjO34pmX6rBRlXxDpuxazdONltT3xpDs7azcsQQkB4M2cM0z5mix
aCvRJ6T7vsVNbyjDi9VI4kYRToq0Ui772gqRlICzC7ZCLXxiC1iC5p4WGQ9zxK/VAeLJaLCiz2hg
nfS4v7Cj/FCpFDYXILQUioV817go9Rjsa93tMxryToSFRh7zyIQjDnf1KQPot9qWpLqL9eJq6qdg
KPVHzQaEpuunfWKP+05naliqCiAJKb+DiF5g0GRP1RrradWzOw4Vuq1Kq1th0XaQiJnEA1Lre9KN
2H/dfNlB/tDtZ1zCCu1Ml0rkFIohb2iZAr+RdcdEo5e23e1AEt/kU3KD3a1D2aA6zomtOwQ6B06u
5anXqbTz7C6Nj7aFr6Q1OfHnoscJ2OoXddtfJY28NE2cYVWaPrGs8aN4fKR25QlzOJQJO+Zau+F9
E3TQ/0PZWHXqsjkO8fQRGdj/RZo8mFF8adQgKmZQ2Clr4pdxedtX8qh0SDBmzbcGDZy41NMgBMTa
9C6T5V2ZtL+qP94iAq5uNhGA74NQ5DEGzG2XShHSKlK2CS/YMUNGcWGkWrfDy0D17Wjsr3WqV4ch
Nq6zsp7rQ8ONwgXj3hBP2BORvWSM0NBWRqnHG2qbXtuQ0ZGyeIl63A11QXWn0FHJBw4LCAiVb5M8
xvPEqixHMrwjfn4snniS2otxImxNgeoxrVUlDIKXnBiNgW5Jy/yC3uKAdasoOBNkKdCsXomfo6xL
jLqes6aKEUXPh9gbG7oT+bg1FOHZUTVBSSqrj60KtacWjryT1nlYpCGIIxu3Bk8OooEfT2XyyyLG
pQ3v0txBVhWUqgXLl8itiupiOUAgGLFrFHqc4V3CFHrZm/PtkNfXzTg8jnz2amuo3XJuXNzCr5ZS
PKKR5VpR78bjdLQigcxjBHuxACS5T2vTaZPpfp5LwIHNF5tXXp7jeowIWF1gcJnwm6E9QJBae2HF
gp1ppJ14xNuahjf1gkvUyZo9QAGFJrnQUPJqZjfRMg+ycr003Q6UhZ8X52skFEB0ClwasM+A3cEF
b+15JSjucmDBQXIacIiY5k06ERrMeN1tZqafKW39eaj/vRP+RCMgiTJwEQkQHGvqsj0lbBoWjLkZ
Z7DvqaLe0y2JdEHot0NlRM6Ezwe6DUYPKSdjvO8aaEBQwXd1mUhXlZDKiMo8NCODOYMyPMLjI3M6
3l+3E94JksEmtewcPWqvR2Fv0Ww94EZLwMsHG61mWH8rKWGs3nVXpQ2w/8Qknvl4utfgkKVsmpHi
WS14XoCDWJYImA5lR4i/foAGQDdzUxcOnbLCrUd9n7ckVHlpejTKdqk5/9LpBPxUhgZVG41uHk22
k9W4XmfaItWU4sgLwx/t/n421bAdbN2j7fSrEDgUShvANtGSfWZ0vQd072HO6l+8LC7wdkFZvgbK
rrGiGFiauVoAHprTlPqNZjVIfCyQ4PpdQrKLNo3OtF2+Fl7+b73Qrybwsv7O/J4NqkRjAaKEWvw2
xUsLaSllhB8YaWB51AU5iFHD3c8b8uuR9D3kqvxZpTU1kgpbpBcM6hS3gN+4SOL+0cH3Pcqq+ilI
kRNgc8EF0g5M+d1S0MiQHf08lFXL/1uUP8rJn+qaSDeqqICeb0iJDKu286IS+rvUNXkWTu1TUt60
2W7JVv6fcVelTa0AIJx3WLY5hR0W3kWs6FyzpnD3Fc40xM5gPen2g5KIMyM+cZqAkAuiO1qhqHCu
WfWcpEpNNTCSgBLinp3NoS2BJqm7+4TyM2D7pZD57Sz5FGv5LZ8mF4YTZpkUIKbNHCTG/MpAoi0X
rWkcCXH1z9wV/iwlBZEejF5oH6rfpG2TDOx9KwVBTSGwk05uI+QqTD0ni3nie/sSZYUpgEpTARt1
kH7qrn2J7emOmOXHlJWv8zwBR5gMt3AR3cnUfv15x5z46EBYAOwKXpjAEa/JOHU8EhunHnQXlNQd
Y9trjA88w/7RrfbXHH6KsuQJn1YMKY3ZpPUI2hVDgb+5ry2KnKtykcee6eacHI8JB0cde1A313Ii
A2sVyL9SsO/60s/NxEX5/1Dp/wgW/9d4PkVZ7cDZqHQpW9ydEHTa4L83ak6vBmkEPy/OsuirjQ7c
PZQVwJ2B//RaVQQS/n0yJAa23gwFHGv2DHZuZc6FWK0MV7IRUAbM19yhgvxuA1/y8xhOLQiwRxoQ
OYCoI4/4uvRCK3k2mlD1nCcNWl/zroRdjoaL8ecwKyYQlmSxi9F0ZgCBay3OMV/j1PABNAoTpjHd
DtfzTmzlFpi/6yqEveKebemF3Eh/dKdA3xHwcPNduhNHmH1e/fw7vs3n8jPgg2rpy2kBy56vP6Oc
YHZn/nG763/N4jdrzjSvvk3n6u+vLslOHQsxkwKizd3gGH3pREBYFWhc/DyMc2FWs5kUhVl1I3Rz
Jdof9nyQxeRAdvP/F2V9SxqNbFLCEcVk71VmImu6q5pz7IUVzuGvnfH3kqwFbPEKIjFNEaX0K7/1
Bt92tANEGfaF225MvwLeER1ezwhql2wmx/bOCTKe3hNQcVZxxkKTfZnsT6cfT6exQ20TWr3iqlee
7erfzePfAVbHUV4g1U8sjFCXvcs6C1bo/LEkUXxmvVYAhf+byr8DrXZ3yrtOlgLy0MnBAv89uTKD
wgf3PgnafRTUm7fksd/1PvX7oxU7YnSjM6fJCmf41y+AfB6QVxAx0Nd6OrD6q1hVwKsM4BEH6DuS
lmBdyDxANSEU6AzVjXmfQcAMtpN+XJ7D3S+f15cTGZ+fhhVERxISkN+sqYa6JUWlQpYNzBuHi/w4
W1Cfr8EpECrblzJ76sZzq3ty1j8FXcPg2jgqa/QfcLS5NbZvFKr+As7ABg4zwFS0kD299iFafxsU
N33d+/koWDbPD0P+5mJVQQQtW5y4y056grxNDeqobTC21pndtQID/GdtNbDaiYoXIihTq++EzFFl
oBYHzTtUoQxnPlTX+W20Na6iYAjEa3ozHeRuvm8u8+tz6iInB/kp9OoLSmFjIsZ0hOR+utGzGzZC
CZjnXpTX/s+zeeos+DzG1ReUGFVVj/UAN1TkW619m5J/mposO/TTSNYXhJ73YE9iEuMYz1+4xDXN
NprPqfOeXavVBVFFJAd1C37wUzi5/GJCBWvbhHdpUO8ZYHLyFQz+3b26P4c5BJzh1H4EwBiQZsvS
v3lNVaOdpb3EfjSzYgyZOTG36oriCAVLNx06L8nFtW1QSNGO6Z2eMtOBBPzo6tlIvWHotnlk70Da
d+O+fiEUyki1Nr/zQbwYVdG6vLEUv1DryGFpd0DKjvI1DPGaq57Eu5oCf9RaKBtGvlDzV82YNp2Q
oGzlmGsKzbcuA3KAMEl3hoBYCQ4mJ5VqmLYC9SXaqS5vtesxbe7lQrrOWgB5FZW6jWVfNZn+HkHm
1FH1QfFZG4+O1QGWPiVozEJiXOxKkDt2c6u8taMW7dAfmb0G3RvLjm8Mw3zr0TIFHwe9K03dzWZ3
29TsRkff1YnF3s7h/WwLiFlFmaeM6T2w3OHc53AVHPfzQgQzUr8vZVBpaP83sQk4R/o8VWKryGSH
XvnSSgLNBISCXcqQdiTcVQrlQqUkaDOInWvPwiZ7NcMBlCQoqYgtKhk+UwuH1EVAE30TKarbosqd
msUedXvXwgiNet6ITAF+IIH6aA410dnTjWivp2CDlWE2+BR6sqrewSZUCfpWOWR8gjlhhfmPnho6
oOE3PvXFtlAfmlnx1Th1p6a4gBCmJxL6WJbsJSshDqOZQVtngdYoLkFNOTYUtzcgmIEbQh/ppsme
xuwjQT8+v1LrJyLiJ44dPCmFIxTgEvRNYYJRxFPIEw57vZVPaBc9EnDyJjZvgQo5REb/YLPqBp7U
R1PBBsil8Wuk841mDBub/lbjxDOi28rOw7xFVlp85GoCJlR80ertLhIPXWY4Yw77DTb5qQLkskEc
iX5Lha4wKbstbRLwFm00i2JHNq0HgElATHNhW0J5rYbyvME9pl4UquGUQ+4naMZNXLosTgOWvXbT
lVGhCWIuvrJ8p8L5TqK+DAkEt0yjQDFNv+W1W9PYA0oJLFJUz3V1CzmRXcst4C6KYErjfR9l+zr7
6JBxzt2vSr23s4MVcX9CXbZrH5sO1k/2RwugSD84+oCNAlqXRSfQcaxDbT03kwhNAnZPynfpbLmq
ljhSnVCx4yG81xwTjUF1yMOa3HXDxQgBiv6xMJF8oliW40+Mw5NAAZ9wE21qxWmaxptAgNTHwjEx
QURAKJ0/JjBWm6ME1EPuZub1AFZm09xF5RzMFrDT6FE1mQBRcXJiiSu1QAe+Em45zEDzG05b/qoJ
AR+kdJS+D/RM9wd7hkAlVO2rLOAFcAe6tYdZvNdDyz8eGwd1Wy/thQ9aMQAS3E0ztKRB5irwG1VQ
LHuYR6VN4zZl5SdoUxfZdUbVMFFB3AYYYX7v50s0a7wURmeadp/bLzWlnt70GHjuxD26FK9jWbix
1rutWXkVvA04090BZ4PSWZCbTFAxh81bNsGhAP4tVfxukQ6AMw0SZDAR1xO3ysm2tEvAgCi+veIX
1HWDFm3VEg9AtINNd+hNn8TjFnTDA8Rjt1Ce9zS7C638Y7DbKylATu2517OFyQtrEhcUOhxXhAWo
2IHM19Sdy+f2hTbxpqPV4FLRP4AVcoMGETSLxul5mODwoQ7lnSrtD0k6XB2UzugscgEPB3NrxPoh
Rr/Fy3uIqs559lFPjekkEodWnGNcrEmD0oJA0Jjbwo/JtFP6bkvK6uN/Yg0YGL44CrNE3eZjGtA2
2w5k9NI02bdo/ecZ8+MFM4QiZo0mq5y0QLbjRdrlt1UDBf88IduhGzyoDYa24NucCNiFSHcyqd8A
K1aDsNxnlgMqNHeM6K6L1QPShnvAAw6y5EGcQC4c2Thqtml30WjGe57UV3MFbIfUXWiiA+FieWVq
ufAdfVbqZS0KH5Uun5io8lR1CY9VEftJNuJKGL2is4aAG/jVsJ5wisYYz6RchJ66TBkB3BevVfWb
g1tR10SvVeQ9qL0fwLkGxP05fcL8QLd5n+1KN8S5gjOJOzEuVF9rnBZt/o0M7e2/yIvY8nRe5Dz0
tfpPPShpjA8FCdh8afHS1bVz2oSnnrSodIHGqC0qHWsW1tgzarJaRWJEp32sNoe5ta+n8hyI91SC
BxAmIJG2CuLKGlwKA6VctOCthGN0JN0zs89AZk/+fWh/0KW+BTvyVZLMR9BluoYg/ckPJbuycPj/
vBIrUcH/pOHsU4RVLoyOLNBIIyJQqLMNvuYtOPTR/eA+juewvubeOT/MU6+qzxFXSbHVAAPYUESc
BRSW0msLOL7KejDm2zSOfW0+V5NaMRC/D3GVJKcjOnDahIBim1xZu2jH95Dhv6cgQZYgI6QgBUAV
wGVvkydugARwdMAPwQNAurdXz3RasAdPfISoW0GAGZ0WTPxqSQXHhx/XFL8m5ktCg+5k1MwtYBtt
HpjRg54AU5ESfJ7mdGWWQPRp4wbvXTTPLAGISYezVfWgkroZtTyEbtGG5eQwpPwlBtcZTtWgKUMi
vBrFMakGHxhlD62trcq4q3bcS1vuxwUPjIhBQOKj+2MRuBiyj77QuEcH6pljA1Z3ggdL41boRorJ
uOy58ACx2OQJZHfadldlKg/YguEqmykQiRKyju2LjmxYwwIF0na9YfmtClxdUuwSae8btdbdFpL4
jjDswlV0AZyG/duQaI4XOjBs9uBNYwu0BHLqOfXAob2z5vaCWL+SkT0bwoREFg1HaRzGwsJp3d2V
DdxeRoJLhui5S/CntQwX2GA+xpoKJFYj3BEXlyybfVKI1C1yAHJE93vUG8MXpfrSLxa9iDtHpe0I
WXiUcIA9gESb1dgzFHRtgI9trR7XdA3/H6A1QVhJkacP8A/WzPFmMX4cWhsdCXCXdQLp+huzT8Jc
0beppe1Ho99Ws/AaIGMITd2ole/NzGDKAzQBkG9BNQI3o3dHlg7I+d5TgqcH35EoddqpDMeWwPgQ
V1ULI6Gp3PKR7urxOeqfeZ5fCnSU2tHE7wX2YLDfiRVfooznFY28bhM0J7OWw6toOPd0P3W2ft7B
qyOD5cBjSICEoHEzu0pJQsr1nSXOMmlPfinLR0IN2wIhcLnOPlXSzEypgaNkOJqMWt3VEq884HA2
ZpW+QsoeWx2ttZjvEoHUiCjdZWsOQBLQdj5zRp4crwkinm2YMHNdlxTF8jhNOhsFN0acCFiVLJML
x/VMmFNVCZAM/xtmmY5Pw6VKnBZEIowG4JYlgUAC2T876OzMEXR6OIvFF+jBKln77JqymWsVkKmQ
8eRaqRXop6THwT4nkn5qOLqOXpoGtXcU61fHfF+zyC61uIP/TQVhs2Bqy202VEiq7TMTt/yldc0K
KuwIgnsYF+UqUgRJECJSRIKo32bgF2MVQUbmZjZ+1f05P6pTFzKc0RAJsBEIya1Ob4CF9c5AvocG
BxBHMV90cZpOPTOiU1fk5yirL0zG8q8orL0pZqDuoVlnLTYZlLiAJLtT/vRzGnB6WH8U7S1Q1teS
P1NPS3SkcHhmJpw3BvAY8pufI5xYJFA6UCCAzh3TvmUyaDrBVSAvuzCObpP2mmn1vk2W53niq/rL
z7FOjMY0dYBP4CSNTf4NfgJTb9IneRfS9D4FJtdOzlXETizQ5wjrIq1eJsJoNERAcrutp/qjM+3L
VhbHfBiOkVo8zIup/c+jOvHdfom56vaPSa7HUsXWk0l3VLM64JUGTSHlTL/9XBjy9Rgaa25HKTCq
IS+6x2LWXdkMRzURZ1pbJ46HL6NZHe4QmTHLcUKY2iw8qUHH5ZJxqBPhyfsvps1Aur94OtvfTu84
owmSTYlApRnQgYWVVW9ySs6cqifHYwDJBToWaH3rU7UfZDkbUdOFTNqAD+XzjTDVbQFIJCBSZ4Z0
MpaJui+ci3HsrQ88O+rzeFTaLsz1CPUL6Sp26c9t6sh4+jebbsGnwerXWLyev+6GgUCqosirDla/
AxoSDNm5xfGsH0QW/rxOpz4prNAitgPs2LeT1SpLrthp14X6aD/ILt+NVnwA1ax0LU1BFQtpkDDP
SarRE1GthbuPZjVsNb/tDg7woSxo1IW2HpdeWXBomuUdmD9DDQpW1nc3TYrcchJa7SaKddu28iBE
trfU6ZmjONyVkTtHyhGX3I4T+5p1UH+OkwtNQQUhTctXtZYQsAaJx2FAUolZBrQoNrphALLW+4Pe
fShWdU/mynCg/HRDWbETqYZ2E5No+ZbdozBUYHUb68x0nzgjLci4Q04OoFDybQ8ltFKVNk56eL/e
A2o3aufQSSfOkS8Blpn/lM6oFHgyaHT0oYHkFTXSCygLh8DInfnuzo1j1ZqIrDJFpVBB8atKEIL6
wAyeCXHi6vo8krUwJqSrFJFzhOgIvyVyeClT7QMiRIPP8v5Q9uIMquXE5/0l3uqgRxY4mfWMeHgA
Mg5npizbgsrolWbt/fzNnZw8AgUmuA3hq1uLxYw1kPe0hFpllSxKdtWxjqbbn0OcHAwMrIA9xaGI
PPDrNlBMDch/zFM4Zb2faUBBd0m5Z3y+UrLmzEKdHs7fsVZXV5ZYQz+2GWK1YFykif4Gju4/77hZ
6EX9dzyrA7GvqyQfjLQPU7u/kXF9gNsVeBFtvPl53k6OBU3nPy68C/jo67xJs0HzyMC8zaiWcnoT
nVMEPrkwfwcwVxIAdmtmpE0KTJa03cG8mtABlWJTROTMbXXyIECVjzGIl0Mec/nfPx0EeNeBKkMw
EtBhHQsqajo/Dsk5f4VTw1mUnXFFAY4Di8KvURJejkONYlyY8/uS7hk6DSYJc3pmi620LP4Uk4Cj
/jvOsm6fRwNFiaFUAe+wjvkCiNjNm3oDR4FLNdBc3UXfZAOZ6DMnwqkpxCmNGqAGYTz88zWoBa0I
S5EVcBDUOsAgHAWWLNCTf7NSUFcGTHpJlPAfX8O0NtCksYIwVP8V5VBGv9e6M9nlqVYySr5/x1hd
C0LaEk0zxNAvhwd5px1U3cv2dNNuar+4S/fNXRo72ZOx7/bFmZTzVDP5S+zVN5UIxS5AcWzD4VrZ
aJcstEK206AKAuto6F4s6i/7j9wJ30LIX4Rd8PZYeS1gZCBaOle4nyFRkG6gwoi6oPZ8LoE89cH/
PTHgwX+dfI1XejdomBiQNEHyHVCev/v5SCHnQqy2kaKVCtpY9VL/n3Zkl93QAM0sTwTc7/fsvXek
jw7EnR1aAdukO2XbbaAv6P38K879iNUhPU0NlxQm46E63UvjpdPOGe+eDLDgdahqQvB5falRkGuy
ZgBYISOQBBi2HBDEn4dwKiH4gwj6K8JyFn06A0B85nlcIUK69DHZr1GgZSlKZ65CMz2HFT55sH0a
zuqjtPSynOQIiMeMHlFq/uZt5eGWrlE1/3lUp+YNenHAoKInaEA+7uuoxGgoaDYCaiFTGAKAt2dq
54S0lg9sValZvMP+G2L5CZ8mTpBKMWmDsfS56qBhB4P3u1Q+Gvp70oAq/Gporz+P6dTkwUBIs3Hx
aPSbGF9jSiMf6dLx4pU76nVo0YPVgzOq59ufI62MDv5zMXwKRVffbwcsSWNLYH2U6JVVupvQIrRi
1F8NuY+S135EhfudSNjfMCgUUPPcwXpmqHT1cRt6YqZCQXwg9UCfOkRhdcMd0Ga36cMUPI8P82vu
W//ibl9krVFr0WBstHYZmkQEsK+G/pdcerpAFMTDGMTKOWPMk1vzU5jVpZFrHRjoAv1CXuebWEVh
p6O3P6/fqSv280hWdwNv2mlQbYwE6DCwgtLs2Al9m0G/+Oc4p4diELxwQeOGkvfXT6DMDZFZFZpR
rY6+K1Anmfb2c4RlMr59ZHDnAjkDEnKGSb9GyPuYDEDB4sBIISuU13hKXlH6LNpXs4Fc4LmEaNlX
P4VbfdOFqGspcx1bALZrVyj1/qKhdRm9qftkd0636uQe/zS01eQ1ZZEYJEJHoCet25kXXQ2Xux7Q
q/755znUTp5UnyItv+TTSQXSvTEaBiJB57xzy1ctSK+GV0gGPMZb5pWuCLbgyQNIbP4ezqH0T41S
hwa/Bj4rqhJrnff/Ze/MltvGknX9Kh11D2/Mw4ndfUFwlEiRmocbhCZjnhfGpz8f7PK2RKusU/vc
VkRHd1Xb5CJBINfKzD+/H35074XMNqysUbhtI1wLxQzHJN3Y/f5bfvQl3y50tBXXkl97w/QlGR1d
RY30LNORSmt16RfANKUERri/HpJPy9sf7Z+Wg0OTKuObhA/3+4vL9LGGitbiGeguM7zsWnOtwkbP
y8iN2m7x+y/50dV8u9jRlxSSUZTSQLsDO855pSAidOjnhZV3acvV6n+zFlWsyYsbN86jIJLaclrZ
Jl/MyneFd+1jZ26tdL7W75f5ZjBy/Mx9q2d+X+cYkxjJcHfCgu+k7I19cZXctwfj1jobV/qlPesf
PMntPklHPwoqNjxKBoc0jT7X0ZNn5kFseYbEqa3zF70voYVadjH7jH5vDZGbNJ/cmtP7HX/Dt+sd
PX+W2VK2S+npRNiRp9Tiaoj9Q//JpvnZKkdnq2owfDOWAPAkw7Cta+vEinXAueEnt8VnyxxtXzq3
S1dZeAdYxb1fZxQNMQowPpt1/PUnwvJswoYCzkLjczw/pBlS40RDikTXLE781p83Nso+/aEDtK8M
TMEGnwGVP9Dnv1/y6NkyQjOojDgZVqZduFE5caOceV5RuKROXEjDC6YYKyfuYQRIC8AZn9yUv8YR
RBSEEBJih/89njbS65CsSWTDKtdkfMPls76Pl3ryoBvNmmL2J+fjX8c8zUmzAXQYtaxFlfoobA22
KnlxI4aVwmxwn9l087WFKNAcY9SeqohGenFjZINH+nb57Yn/r+f+//iv+eH7nV//57/59+e8GKrQ
D8TRv/7nKk/5z39Pr/mfv/P+Ff9ZveZnj+lrffyX3r2G9/1z3fmjeHz3L4tMhGI4bxDaXbzWTSK+
vT+fcPqb/69/+K/Xb+9yNRSv//7j8SVFGcLpqQqfBbfH9z/bvPz7DxRoGuUMjgv/9XaVP//G9DX+
/ceqSb5+/JrXx1r8+w/JNr7wuxNwdbohDkV84kT3+uOPdIXCGXMjf/wryysR/PsPTf7ClkMrCDMy
Wca+lDuqzpvpj1TnC68GfEwObjt4utp//PhY736enz/Xv7ImPeRhJmq+zFGtwUAShmrdMjEb4h8x
Sz06hclSUbReOwAXsT03doK5Ubaxm9dtdeoVQKQGWS5ODLPxtoi/7UVpJNXeT+mPanIXu2NdPvn2
eNaJQb7pEYpoh3SUgApZTryoowBMkwjkWSn3wJ7S7kETyV7CnGBd5e15a/hnkOt2oZnAyUpac252
DAh7ViDmeSYf5EHPlrkE705menIpxYge+yIeXTlJrjUzyt3Cj+UzSwZ8kgTpo5wYl7bo7oAqbJkt
vZtsYRbkXKd5m98DwwpnJVA0BnL9cKHquHZoUX/T592TFWTF0gn9dGkmgVjUSQ/dIlPUmUpDDp2n
A83Dsy5qSX1OEhXUm55e5Gl5GQEkcY3Mghpj15e1nH8NgtZtSue8KcKdVDVLbCNPFJHuTS9d+7V5
HVvV64j0OfA03rhF1trFKIIsddehw8QSMpoFQ2NuvJ7HNDUzwIFyWi86rAhmjYhVoHJG5Op9BSeg
i2+ZqfaWiCeWul0iOlHUueJjIWpAyQH3F5/Dn9prCr0imF4gi5r2fFQjThfDcDCgMrlNJQNSMXBn
sIeegucw3HVl+GL0Uj6zrPaqA5ACN6Ysl4Nd8Fms2Ng0SctkwyxtQCfcO6HXaHOZbOFSFGa2rcrM
OXRj2G4AVDnukON/phZKsCCOgNeQEns9tG1xqaQYUnDKQcbkcmtCVlDUfenBhBnUoJ//E5S+BSWd
sPDXQWnetI/Jr1FpetGPqKR8AVZu0F1zEDqwX7BT/IhK6hdwGODnkKQaRBqd+PczOHFmZNSF4d9p
JIpo+WdsImzBhUMEhSGL/i2g/Z3QZE678s+zFaEJ/COBgrdDnYgd2lGlosulqKyaIVzLQjKDeWl1
GiUK+jMrNQksZ9bKTmHjT5BnT3iSAvwzQRCS4tVrPzav9QFxX2Gr1WXaIbTxU7b92vC7VWfL8VWY
ha+RN/Ejqgg/1Lyy0fyV4NlSsIVSwXFAhXAZkTsN1UyCR81Ia90tqmIMVp4YjWViK9lGbsZsqYAY
L6pY21jR6LiOjc5PQW2Gh6cFgaNQrtVQAZUSGPnM1zyskFphLPNMurIHTVrVjr4H03/dDDBSq3qo
ke3lu7ILDTfJQQiyYzE7UD7bMaQleQDL2TvKciiMdRhIDcCYOl0o5kk7UEP0DGxvNOPMyEI0OB2D
FLWtnefhNAMIAa/UNcYaYnFmJfJrlBRXpdUf8qh6KfTWhwKlXHRyzaiidC1hFp7I5klaKzhORR65
uVOd9FV5XTuormVJ3QZVejF49nZ0nEUni62XRzdGmmJRGpfLLKI+q3tbO0egLdMndKH2Hcoh2eRp
sjcynJLieJEo6d5Q8qukEudJF2ycxF/nsKW6Lr/0iKwil2+jSjl3RIL2Rn6OvPrULrOzvraffOiq
llBOZDvempW+4UZaCcd7EVIEAtMDJZeOauemso9/ciAZl5KttwtRqdJd4UXqc+bJgbqvGqkxUmZV
8vil6qmJzjrmgMqlElsZzbK2b4PL2OJ36TxAhkU96Re1Ycld9YyfwyrPDOm0V8zKDUscrAemPs/s
odmGhLVrudDrixAnqWcBCHWnysGwwCXRnBmj5W0Qy54mTjKr06reeZmZLm1T/Glg889pjEPPbwLf
Pn59fQ7yp9fXX6Pf9Mof0U/+MiEMHAWikcomOXGgfkQ/5YtKVQNDXnQHUyjjVX9GP9X6Qhea9p3D
gYlR34lR9eNoZn6ZYqXCJDJ6QpOY83eOZqRD7+PfZGsMtERnVIUBbSphU3x8U9vxrSrRJAiFK4iI
ZjEbO0362npOiJWopdf22mqFJeaeIpXyvV4HQHeCENmHwzyhvKx9EYJCz2sMrZw01yWOBkIHWOXk
yMrLYJGMbTUT0XjlDPj9YDaIhxFe6F0G0yhTz6wgnqNHmWuRA59FcchXmALS+u6gBMhK81h9bXAA
4UhVnHU+sFxJPck9GRKbwDFP4GBkdueMGh5sJ9iAP5vrRQXKtdCfyjBdStNEVJ/vOrWEPqOtEjU9
GcxuVnJMmNlgh8C7NecY7t6hom3d2NcemDPcBPrI1Fu31fHGGqNw7chXQwZRNdGBMIl+XXJg1TQC
kRXfCilghGm4S+XkBtr0VWGV0kzINIsq9VzYzkNoZvBSWSqQ0S+MjLz0RX1IY/1BHeHL4cy0lBL/
PAnNm4B9BuLKqdDLw5DLO0mF0TgogkAv72QV8GiXq0uSWtBocvhqquNSD3q3q43rThOLpg2um3I8
nUB2VddhYFfN/bxcI5JfjqHP6FlwahKo2Jm0GUi7w0DhQs7Vg19LG40eKm0OHVlPeFApmaAvfUmb
aphLUvMVsEM7qx3bNZIIPBj6y6hvFpHXjfNu9L/aJcNakhhcobfOvDSda6PEfzbuqRYWwyzGZxx8
BYNN5n1UMCSfi/Vgxk+OipEeepKTUFavgdxuBpmtI42rTZBBO+VXw/WvruC9lmeh062KrJlLg+Iv
pLh5YWvb9or21DflstPNcwd5fpYVixp4Z5owwZfb1VcED9BFw/vWUObYKD7XYb1hQmqeE17zNAeH
Oyl++1zcdRh9z2rPhqImnGWWM1tWhtW9FzluHnIb1/HXivE4ruepYAqqH5RrUVjrqsE0sS/buVWb
S89ILyS5mie990CJjYmCQT1RS5jcVVsUbtYCtZKGMyFVZBJZdB44wY2Jm1daJxew3dbtUEuLqFXO
E8eCTelXu1iN9lLSzyFOPlY2c8Yivigd76BYMVsNeEk5vWhCzJjjHNfQ9mxUkwW77NyrIHs15VkV
eE9OYKcc91s09Az+zdVRXVXAhWdt2+PVaD90JUO8yPQWWdXsQz8MyIook9eGsimz7BD61UXE9ZLm
Y8Lxfs74MJnXP0fn70fn3+4gi/r5MX0KH3/dP/Q3+wfhHpU96mr06QT7SbP3Y/9gk8BXmqo4yPfp
r1Bg/Xl6dpxJwsfeo0DTm4bffh6f2XIcGZcodiWF//47+we6i/f7hw5tSIXvyNmZQzw9RT7f2/3D
w8Td6mNBygVk3nYTxG35rIpVw3YhxJbEWILnqmmc7YCtul6r/SISQ7LQBi+/V9PWkhdtookHRnXy
9sVq8Plj9ldgwGb1ZKatr4hsL8cWRLvJ0e3BTPSckFtWW1sy6p1WGPYBF+wAC+ymzV91vcGnGWTu
dcVbMb6HJeJza9bqec4VLmZWauqvmV5C1C5w1qhDzXIR+HqHxPfh3rIhuWpTHGKvu+GmXwukrNNY
/aaU40ffTvbILy8xAjNg5vK3Sl2axWYyuLGNfLs3HZqpQSM2skBxUyf5WWNYXyXhnFKZuU6hx80M
uTupTHbIQKX/mqWbohsr5iPVVYnxnx63d61RHeo8XtgO3uGlOOh9f1M25lVpKGtFACDXxt3gSYth
yGAyO+FVFopTxtmv0jxdlIhCZREtaiPFKTBcNTL0ctU5MfQebTF1SHkYYeYG4a034K0o5UuhaqdO
q8QMzzCoL5XDIXC6jadHJ4mhrIhp7E/WfgTfrPn9Kjfkq2wAo6p5V70dlC5p+y4Ejh+YyqsseUw6
5YxHUxrvegJ1BdrSKzZyEKz6iUge5yWlAK/foBo7wUIAwyoruddqfgkvkVtsvakw2HV4KaXeaRZi
Saf5wT4KgouuQ1KkV09+os5LTb4ipUMMFumrqpQixq60XZJqr7qZ7AEdhxAM8l0IGnCdy8NNJhkH
wETjrLdqRqk1hdpOfsmg+FXl6PdaOO7qEGvPsMNgK8dGWIsNxoTt4IDLKANfqf8Aixe7ggo0dept
JGY5GBCPl0OdPMRF9uBh6jdTASVonjip2tiYWaXy2LWjjG0O/XXgB0tRqKdV4eCq26oudjMvahOc
j6h/5p6dWm7s6QmQ/fTG1Mdwk2UDytuRIbVKQhHCdBn0kbTZeS3+xbPQ1/SFLNlcIaUfBsAH/pig
8AN06yZjB1A6GV4j2wAdokoYlavKcEIuHW4iYwwvNNBGbl7GptuNXEtHbxnsx2F2KbIAbLpJBYei
1BL94mRG6XtzTeoc2Och0PNvs8yhyLeVTgrIcLAdcVtx6gvVzE0Si+n7ILuIU+fea1rEND3MWxQo
81FxLgqNqlgXJvteZ87dEMXGMWB5145rOZng4AZdmFG9rZx7t7ZS3rY6rYEUqDc8i62webxL8SA8
6d50PLdxvJ3BaFyjQbdvEH9E/riIk3JTqOPBE91eBOMdB5F7TQVDATTkQR+YtKlLVJemtwgK7cWp
4V3qyJBdvYRdnwwMHao192+qbSKzWWWgCph9t7eBkF0ztvZhGR7SLAOw3FkniZOy+xb3clA/9T5j
cUGXfB28eqNZydxSmE8tmgezGDd03FaSFD/KOCkzH4PNVGPeatk4D02UVkq4qTsG5QKGyVWKVMAn
uN4lZzp7DeJ84xB1jKGZ27g1h7Xi2tw8KJUXfZNAZYgeKrWaht3uBnxho8pZN0hpZ4lK0d0R8Y0j
jH1ZpC963fMFIYSD6VdoscfIg801zIjNQJRWlfRGzxWcPxhbjP19UOmXXL5Hp4y2kT4uBZYPuqdd
FGX2nAdM15UKpQWj0m4AI8QzDDfu28rchoH+YHglDz/Dd4bGQL6iCGVlCIwRLH0Q86oW5ToWDKVT
TuC2EpxjA923TuUG0H4l8dv0WfSURrAzmrw5U0t6CXmb6rNc0R1XBMzf01H09kaaiU3p6dVpmsvB
a5UoD21iwXr0gYwYWT/MR/Asbm4Tl5nmBagfSN2qrotyPtgiCRZFIn2XJP6TA0/uZH9d/LvJE0gO
Hxxgppf9TIAtggWR41uHg57czwOM8oWWAN0jEy3n91LejwMMDQgyY4UThT4Bp+gx/c8BRrW/8MDS
6qJYx2QAWN2/c4D5PkrxvgCIvGtSFsO1Uljo6ADjd6aWNQaWMn6UXGH2mIgrO5G9eN1QHvdmWQy4
wNXrqsSKgK5ePQc2URVXIwz2S13zGYP1aoktp+gkLEYbD/aQUcehtTb9yDnIbQR6NDdIpBhWkvzR
CVzFoFVxGwfD8NqUeObEUTVWtAGUSwT8YmZGyfSkk2pu80atK7fMK6Y8e98u/V1fBG5gXUW4udSZ
flJXw0kEV0WVpSUNaXOmed4jMIrcjcZKxRw6xUgMg4ayPuSMLs0bi2pkEYyvfZ3aLxnotHUa9DIP
f95cpamSuxUtRFeIFqaWLjTXETITG0aGmctQo/NmnneuQLBn5AOIjmycSg2W5Y0PgAgwpZtayqMW
UkSEDpm5KPXURR+06iLoYw4UZZYSg8xiyajgQ2WP41rpPP3UzKnD9b3ZLXMP5YMBfT/umpUami8A
PLoZpX7OGIQGhQ5Ab7XPodJJroJb8SyluEE+z1RJauj+Mpb8l6hP7lWJWqrQvK0Y2ZlS6rscvPyV
xuvhw30tW3vRljR6OHwlrjR27DJiLBZD1/huH3GaUcvWDdvqJAQS0uv+eWz6j0PRFjOdse8m725U
P4VP06ehm41swYXG2Q5a2DVTwI+Omt/2/vg8CN2fy2Uy1+xydJNMfugF41CA1g81lJyKLt2Mq7Zg
R9wFY4oDCiQNt0+GfZIMo2vawQmziO08oJNaB9VpO8jlvOrslWcrG61UNnhr7ZnvfIx0c66XSNaR
UGVciZDE3jJwKq+9ruHoUXEHtuCI8B6wFwbgpJkCQiSl1pCDjcus6rxysm5dFIY5i+ExyTYkt8Qe
OfVKsOy4K2eBsFf1qF4kqvNQjgmyNlyGwkjh3KHThUOCfpr29VPAkBDeFBgSmDRw5rKkE5exhICX
Ut3aerbWTT6MohV7mljMJ3PomjnN6C0qPjAEKump1XFpMaLboeqGma4g4fMGa9j5kqSvalmO5qqR
iZeixXbENK45HgEWyU7B32cYr1jRzKrkA8h6nb1TkhhMtm231cfCHVvJW4zI5WadVl03Xafv+gZc
td1CHKlw0+gaY6uEYezKTsJDWPEkasZw0g3qcmSabfNPzvst552mP/96x1hWj1mchNmvOe/0uh9b
hv5FQ1dDLwZDoz/bQj9yXuMLZVQbQT5ZMQNqb2qm9IXoZvN/45hGIqiab2qmzhdKqBZjF7aJWocJ
vr+zZRxVTKdm9jS0OzXYkT1AU3if8ToZ1AU1M8RaxOZ9bfbysighUpimtMkM2V729dj9rZGHb/1z
BkZkdLXYO7NfHoktlNxTONCPYq2CzrOL7dDT4SFJefNT/Nm3f9un//CLsbOqMiIcnfGU919sbKo+
0rqO6pxx1/tUe2lF5fqmMOdRkj39fi3lm/zr3b7LZXRwIEeDoJjTwPr71cLUs62xCNq11sp1iUdL
DGRN82Rk9nQ8OjcJwix31VGKYo52pXnpjBZjxH4d1/58ANAlXMc32FwzTeLUG4ym37mKnt/RvDdg
CNlTQ7p5SINanY1WppJ0aHGyS1o8o42JFNKog/6apqXsw2Dz633bQkvrC+0xsjTXa70LK8Q2LUem
JIWl+RD3NuZtIDtcLN76l6rwqDQqHUpqRQqXtc6nJ8RAbKu8C+ohOflBsPM7vAwoJHwtPWud5+Q5
nnHQcIVJtWJROERiKCGLxOvXkZ3Me8leemq0wzFgqxThSZKBi8vt10THqceX67VTkFPq5E2tCoU+
u9Ht9KViADPMM8cNOnGLNGhbMb7Gc7UQSIW2baPeKL56LpPAjpGFu2mXnhQ+Wa6a2aijSl2+jzzn
VHQiuRsKTT8ltAZLX8dwDeNruomjrGxj+pdzYK7OWTBEKHo4qG+yupr84gCRNmOYzwO5o4dqQAQx
gb0HeTnO06p/DYMaYzQpyda0qqZXajlA9ujMS4b+JPRl9oCqdXZxaPSgRcLLyqzuimS8tq32FAVy
Ms9b8xqvunyZeJP5AKIu10gn1pRoffsKkUFJMWXIq8feTlXYZvY2pUouSz1o2yinKFKAdpA2iRE9
m4GaLbM2a1xz0mKg1H7SEWdwzyCc1U0Sg0m5EUwajs5P7zVEHYo+9gsvHyCv1dvab+4U5B8xMhBJ
FMUsn5Qh6qQRgRt+3U2qkdGC3jROSpLOyKv5OKlLMmQmTYzMjYrVOMdjJ17IdPgYjdXUWZm328Fq
nTXEm71So7nQ9FqbJ6Yz0jhB24IKMV5kk95FJEmoHbo8kW/8YDgbkMVUXR0TCUzlubbTYJ3jolrP
ZXW057GO6gHxhzitqewyP+Obayux433vF+ou6j+bLJ8e16PH2aDowgStYtJMoqz4rg6oSiHtAxMH
DYRo1CKCZTV4SxlCsyVd/D50TGHodysdhSmJTlSSJawUeY2LcIggVc5/v4Qydf2P1zBgWSnTsAS2
olOofNsVqxz6YLGEKbKFySIJCrmqBn2WqbR9HJcYWmIbSF6pr0LJpKGQWZ9E/F8/gUWs19nNGEj9
yDWk9JQOu0+xzmjgmjxESbQsCvzMy24uB+Y8ps7WZtIMJ/bv5fh36rrfbgPfVgYwqqG6RrVxtNk4
hAyl5eC19sO7uL0xlQL7BAyilIVGLv/tQv+TONu/PQbt6+fXPPkgcZ5e9uMUJH+xkXIy/f+9uj8d
dX6cgkicKbubzI86TNl8E/r96BzbXzQoM+hZdB3wNw3dn4nz1FTmDdEAklvTjP5bpyAehPfPCJ1j
+tpQiafTkMx57Og5TExPlYvUUFdZnA7ijNCuYhqnJA+5mmdf8TcoT+zI0GgCghBovK4vL4swjSA4
a/W9lXqgp8iJbax+Ki/Zo88IwRvo+GpKE7kzwebKScjEF31brGtc3gDP9trBxLjdpzyptL7bJTZe
jHbmRataz5rXsiukeF1VxrndUAxnulGGQWVZGJ0mF4WNVCX0yttKCkw3gF1oaj3mSQmLdrFMKxRK
pxO9Dg6phDTqzyEN05Sz7KyrU2KxYXuzCovyeZE7wzou1NvSgpereQeP2YdGGLsgTwEUYJnVytNR
pEPPHwYPQzHsjGS4jzSyE5KaEblO4a8cKc7dMM2rJYXefTPYiyEo17nALNK2pHPVjy/ttJ2Xdief
jWb6ItLhNM6Ca92MBAVVXDLN9tRCztP1IR+zvE8L6U4ZHMiwhnfoamlrsdNg3auNC+qO+JZZeGhq
hn/i0Qype38em1TDxxDOmwitc8309mpoL9VGAuRgh1/toA7WgSl5p0WVG0u8YuOFVpmPsijWXYQg
L1VJ5xspH4BEinoOtg8SMLC2mZQ0G7RAK2OgHxK10VcnGfFoU7u5iXnyMjDoQw7oIG0r3Anb38GT
2uqRd2XH9dc+bOedHSHNUZ059mmLbsj5sWCu+o3AyzU3gmXh0aQMArfRIZIyk5TbYjMMEgoG7apR
zDuLqxDz/l2XbGMLRRR0omu/Gvd9EpxWUrbyO2MTNAZMzTYJZobTbPrEW0LGWJfFcB6X+TYrcgRM
1otTUuKMa+22bZWT3odA3harwZEoh2TFrsjTB1LNA+TYpRYOT0PSXY9yuyzrAJRqQrdUNXapJ2P1
aRSreBwh2E7Gikm00mukilZeLwsB31NFW2FHK7nSoclKt3TYM/WfhPNP0TQR7q8TzlWYPAcVkusP
Mk5e+CPWqpPemczQRHDowFhjz/sRa9UvzqQ0NMhWpnRvEvD8iLXOFxQzjJaBuJGNqRb5M9aScfJ+
UCQIjSrKGvXvZJxUPt/HWlSKMt1cG4Snbtic2/nob88jGc6mPTLFZC3ZEZabCRYc7Swyovw2ZjJv
ndm08BZlZ1rKAvD5TnCyOISOtaRwP2uUkOG6otpWMePMPlII+yk3jFvJohnX4TeNYdOG484iglsb
q+pW15OloT3qqkQjV5mlAIczVAIB+Ii4sJdWJBZePzXaio3UKUts5LBAlLcRSCZ8LChR2ffhYD/h
Dvygp+UqhUuLaOUed8a5Hqs7UTXIRmoq/eamdvIZZuUQ5xtwj86q75uDLvk76vkzfWzPMhSHZhst
elneRB0E6Kol0SZmZvmyliA/Qn3MqmHrF82MetA53NxNz2ftYgUfWzx08fDoNdw7NWWp2BeUwvBY
i2YmdSSlUl3zm++4N+8FkhhsGp16gs1pz7JPq4I5m84KNgMV03Is9tyNc0OKl01Pg1outyitw5ko
rV2MB9o3eXZXrh0Vg+OxELPACZ9HZIWKNDyrFgLFqZzb8qOJZthofnOBvhCPrwj5oubcGEW6J0M5
qZsK47Nuj1aMX8M+9AH7SO+sPPyXOg+XB/rTeLc121Lws1XELmjZY1u4SjmsyBLvU1t8lZ32VmGm
IR98yMiRAzXR4OBo0g2ENonB8GBFhxxLndhpFwE2OLM0SOh6IsG3QCdlgXFrsx+qnbp2dHERRSGS
JjHS8NJoNkfRiWL2+KcWGHuFi9GckM4kZaFlurGW08UsrXFhFz3XosUcI1JPDU8/+KW08dqAhIo5
dCH8eRX3G8WoZmNMUtlbS7MLr3wHp+/GAFqZndo9NuOJaCQ3T3EUhV1XCc91gFKr9HpsM3cp+Z0p
Q7jEKJbmdXJT9uZN7xRLA+G4Rvew1PWF4gRru+pO7TSmsNyEhPw+PnG0+tZrv2ZQqkejOAkc5yXg
Rs5x1Rw0dWuO1qq0mLbqYR8HEkVmbuxQB80ZYpgYUUzuVB2Tgeoxz1gi7heDatxPRXdZfWoVtPOS
g1Uv1tqtT506ye8dUlMrlGo2QHYeOONo16y1nmmvRdmt2gpj60icpm3nGmW9cGx4Fr2D62u3VNE9
YCB13ZqwSYcxO3FIDCg3h69WEd7XTrQ1EAY5CENTNbiT23Kfyt4y84qFFKqulmgzZGskvE6ek8tD
5t8iCfiqxol562PjdO5T7l7LneXP5KZLlkrtVcSR4umfY/73aieH8r/efNavVfaYveQf7D287ufe
Q1mEsG6ixPzmEvl270HgrpNQg1OGFjQN9PzYe+iCkWzTumJ0VLG+FUJ/KETtL6TfBioUqi/fX/U3
FPKTBv99Kjy9jQxdjcEdNrTjxN4DweugzQjW7CSuMXt4SuaBy9jjbEMv+aFfV7eM9m/q2QpNy36q
UM7i64vtNfzbS0DzfuwWr4m7DsCFBLPu9EVdpTOaBrty/ebKHr7n5m+z1l8T5m+fc5oZmIyw6Ja9
3yKJH+2oxU2wbtPaVXsxE37FGM5ZpF+lJSOajjaHpSaNV79fd5pifVcpOFr2aGdWe6NUMsQc64gR
9gF8d5Ed0hx2FOM/AqZZe2I6n6Bbfim1HC15VGoJTGpYRsiSheRcSb2xyPR0FTDRovT1JzOh3Ja/
/XZHtW4yKDEKTWCoWBwa4P8FXqx5tYvk07o5Mwjfv7+Y09v9cjEpFVPBd6AoHPMAvMAYlDhiOWBP
yzaihlptlD+D0V/WNz78xd4sclR4LttOKLEog3XjpcvIOgECM9P925psKCbQN8pXVYhPSutHpCQq
+Pxm0/Q6RzcyafuYwjkomd0j7GVR21haautaQP0YgtsZtf3sULVO7WEbaONpE2p7uXK2rVbtiPUZ
BL7yLia+x7X1yVjxR0/2m89kHD0xVan3EZP1wVpHPGviZSWJh7//e75d4ejhcDqp7vuiCtZZo52X
dnCqRf62SopP7tKPftG3yxw9ED0gSx2GX4A50+C26WNYnoFQnpnBg6ZDrDbxvkvL/8Wt+nbN6eK+
qRBafSd01L7B2mlr7O2ldD1Y5fmIY8rvL+FHD/vbdY6eQKFRAzYs1mkrDHBJgRNVPbHCflKAfVZz
nH6O48fv7VpHVU8zrjQZ6xrWMsWi9Zm1vIiHpa48GeUw6/NlZt8H8JhogM2NqJj//ot+FGoYk6A+
RTsI8vPRF/Wb0Ko1ZgaoOQCd96xZatnc/HdIRNGxI6b6zJvul3bX9Ei+WfAoDug1UvykYEF6PihK
RzcKL/SxOpMYZTSgev7+630U2t6udnRtnUmpgN4yWFtT42C414xmga3IJ6scDaH/GWfefKnpKr+5
LXvPscpkWqZsxpkPnkAxd6m1MKX7UnRMo3Ogfa5iMSvK1/+/7zc9o28WjqyQ9odTBOuhyt24chbl
yJ4Pb/j3y/zFF6QbqjNmzOlmqkq+WUcyKclZDb9aC+DdibNta+jLGiMW4uRZGGW3dmZtmHw9m/pW
qdQtf7++OsWSX54R5ef60zP0Zv3cz9nap5AmSaqGzK45b/x2Lem9aydU59V2H8nGDl3FJhnzZWtp
KyulyCT6DqEOuVbmlcvSLM+aol04GDGjWjzv0mwZKCmpAkMySDR+/5E/jCBvPvFRpGpJDAan5YpJ
MTO8LaMB2HA7Ilxb1acehUc14e/bnIpuC+QCdshos95dnVEoduD43AU+8gmnZoQn4GHKUav083qA
rtYv4vJyaD7rWXy4lb1Z9+jpoqEJgyxiXcmr5hISLMX5jO/w4QP8ZomjJ6vxBnJXJ+PG68Wdn3fr
/8veeTXHbWZb9BdhCjm8IjQ6k83UJF9QFEUh54xffxd0x9cSrbHK93kerLJLJtFA40vn7L12ZCz3
RdS//f23Jf3yBfvhOp8GkolhVEQQFW1lKXH64F7t9gtO6Tn66IezYB2KonBmi/oiHe0ui50203+3
WfnNR/g8xvrAkotqYBKhY32LbpdTM3JNOGHLw5RqF7HsTpDEtpZOuJA6tm5hCo9jqbipmf/m3f3l
ovDnw/g+G/ww2uoqs1Kl4ZPoGTk8KelO2ORjXEaF9WDqT/38/vdP/5drAk0S+n7Q8tCe/Pz+aksW
6HIZM0uDVSLYaabeItRnYXrVyvk3C94vTyzWDxf7/E0TeVc3KTCCFbJlVBHR8ldt8YAZkKbRoJwn
pES4Yv75zUP9+5skfOXnm8TRK4tNmfH1KoWt6LvJ+NbLqZOHH5H+u7bwr69lGpAkDBMA/adr5U2+
xgeE0TYfWHQWdRfR1OjjmzJ8Mhv5N4vDL94WY+09GxoHCP5ch/APb4vaZ222ZFa4tcp8S9VzIwXN
1sxSP5XmEzupj1LILn//wvxquP50zc8zz6rgLHWu2SQVpuW09IbK3Ft9fq2U8ViU+ZH214b+woFD
gS+FlJPE8hj8Nqv9F3vg1VuPwRNfKG7STzNv3MsToiiS+sahcukeQSY/VtVOzR7njJC88q6r2988
7l/MiD9d8tOtczjRhFo1w60UkijHTjsaCC+af7O5/91VPo0Sy5oVo224sTDWEdmuekQKbMP277/H
TzjQ7xsnbsZk4NMiRQL16UUddWHq8pybWUGo03F6ULbL1vIwbe5iX/PM+8mD/r8Xt5Fqf+1t49jb
/PmbKeEXS7XBIVEDbcvXqH1vA/zwAlNyyoOSELVtLpDxqzbVTZ4q575EQGkt0v/jtP3T1T5tZcws
WjqENzxZA5GtgcNF2mfh/d8/2F+szD9dZF1rfrilCWutYTRcRBgNty1pnInBb57aL9+QH57ap2EP
N2ZOlUnnqwPJkn4VZckZzKe/v41PqN5/vx8/XOTT+JK6iC5q9/0iX4Lgrl28hpB167K0oZMERMVN
b6OxSfRvS09z+xTCJBnQbmt9iBvoa4jz4zcfaP12Pm1Ef3qwn8aFpnVKytEQJp1sPC1J5k2wB4K4
vK0qCtIEJQpKsidE7COaJ8dIDICEVvPy9x/il5MOosRVqo/J8HO9pl1EsqJ0OdzSsGAFexXCc4Z0
2JKfusafg/RY/DaD4XvK26f7XlGRmBq5JvLQT7POnApznYUzFIccUjJWZDd2/CtmEvu4q53cv/ML
29/t8ktogzC2Bzt8newP3RUcn7+5xo63dzQ8zo7g0sF17hPv75/JL174nz7fpy0E80jUldkUbikM
2mNO0yj8R9T176/iD1f4Cxw5MAQ1Stsl3NZjblcxm/n6q4Df+O/vQ9LEXyzeP13o0wQxmDUWYFES
fLR2gICsXtGdIu2wtC197YhF4yq1ZSbPZjrjgEOtBiwxWOtIMt3zOS+8Tqj2am/c5HQf+yhmhEah
tAmygREqVWSG4p32SU0iuGNklRpaDUdha7hFnb4vwvzQd8UdfTbMcAQ/9YF4amHEk4pH3Etgsc83
9pEYtAi86dJMc/3cUdNyND3ETdVVnVvjuHL7lKCy5E1N0tvWTNCUxz0Zmmq+S0X9caiDG0FKDkYZ
nuauu9a6eKf0mNLGcfhQydmNk2i/SOY9yfXPpRieEV5GqPqkkxDjLq2I1cTkcM5C7NxNvDERqyY3
iyI3F1PPAvE5WJRF4L6Uo1ZjT7DK16UHdBJmxaOhJrvZ+hJJcJo0H8VI5oU1ZsIZQnM8vqfls0nQ
23CbKq8cC3P1nFGCnXbqcqgDRKfJ2VAfBPksjA/ouI7doNn0qWkOAkURalsZkb7g02AoVnG6gQKy
UcarKnmd4laZF9Ruycxk5aeR6C4cxHYU905H1lajzY4hy3aSv459jJ31Luy/1vVEFyzGMLqfxJl4
WDfTFgiE16JN7FSYvEzt3JxqRj1AVJmpMLSkZip+MWLhsh7wLxgC1X+RTaY0eTEy3iQzHKu/53En
6p3W7kxabel2iQ1Uuu8q7c5YuTY0f2OIh+Pg5NqpCRnO6XqAPkX5duhujfY+Ha9ZcFYaP543/fy1
ZywEam7rOaXc4alQXnPhrswQsEBl6Q5p8qqkW7XxZeWjnP0JgoD6soRuC0jBctvuWEhYZVytOurJ
wzTfisltY4Fv2auk5uYgaSTzKTLgzly1VRV90LR9k31rEsmW2sw22szBCkm0dlTgSTjj/hVg/C/W
OanY/W5VGos9Q/VB005j9RKQvBz4uvCRxAC3VoqQNTj8Y5sWfUZoo8NHG7lRerPgU0lpIIvae1Xd
V9F9b+XegCmxTGqnaN1KPyEnGtobgmIT9UkI36iw2XJ9HoKt1TytomD5XjHeiyRH6LRtQn+e+eaT
azsfIC5ggNiAGhgr3BwksLx3qd9P/Wa0bgEg2DRkM17geKpsixqgMXpS85rU34Z5oNbR0DRs7EG9
zQEeye0unL7JWrtX1Gumek2BsIf2NULJWjxKwnFZ7moj5d/OpGALxt6S6V9P36RyAa6/2Hm5rfMj
KjBHFhOvxD9V2CIHTR1FbEQbU3hTIYsr2Rud6BT013zfoacZvCI+gYuIG18RbuUodHR63at/1uJ2
IJ1p8gXgkT2kt530EsS3GNmdBnpDZtmzhOCLsDwV9tN2wX9SDe6iXqc0opbjrXKtsT+nki+ZX+Lx
BTF1OBwi5SHCOEpbez2AOyWdcB31MMnOJY1acssxtGSA0QpMpZ1+rXJwTLXTLxHSpQ9JMYkoFuxE
JU9SQLnGEKzCA0QlJ8lajCdusYotjfuiTm57fXEDXbEF8ZJLZ7O+EamaJJnq6AwV7cPoE/rBGOSB
/VRosqfRs0hpDtFtR8QOl8clf+PXuEAmcjzBJltzSzxYOK2UfhdWz0ECjoI4yOFx4rtU2f3V8voC
7ZpkG6j3CP+9RsYHT28keiqhg4SoOBjhqVI4Rv7OecOe9UtStYx7O9KtXY+irFftDHutNjDHb8bp
3Ei8O/1LM3n9dIyxkbNgdZLgmYaLYEGUXIkef5k4on6VxMJpNHdM7sr+Vl4MlGnnoXlU4jtJ8XID
c3CrueaS70dp2+e9U1W8fflTmN5GKrTNR8249uJbPH5LY1/sI1T5TwHTW5hueB3H6r4vPsL5btIY
vntlMOx+2IeEP9fFU5YelWH2ylF2RuGgy7tiPEUzySxbTX9odKDUee/hiiNv8U7P3ySz98zleTA2
YF08cX6vkteubw7wi+2e40nHQjby/iWll1ZeXe+7iEe1uCpCL03bJDX/1SCQQRrxFAebPr2Py8zt
MN8Wp6S6b7AQaKUn5G5oIul4U4W3KYGxt4knMPcPHW4FoW7svnnLBaQNva3MnqycU6C3FbCnNYhT
hf7EMdNIbYVFcMaRFS+aW6bnQdxN1kGBkjA8JdHHpDzrenTsitRN57s0w1yBOEMYnpMEJpn1DHKq
mh/QG8/BcUp35bQVl1dDemxFh1Ro6AiW8rGUd4n4VJmPmro4ufVscfeCfOE56N2Oy7TYAJXyUHY3
a8mKZG4+WdVeenL88tZvk9epfRtZo9LGDghaYAPff119jcp2GL/I7bdI6UkP3+TVLiLARGTt2I7U
e1s31L5No+laqSsLmzmMN0O92EX4USibAd0LOatGy3dCjSzlLXbCztHmCmm8g7gpLJw021vVpS+5
85sJmaJo3aqJ0+kHq/0wQ8Zj4OmaH0sPmuqG0jekJ6OxldOXLNtCQVE5WIs1Kd1XspVZc+/NzKQL
ewZmr8w3BTKr/tBrHu70IfWxQ+Dto5PH4af4guGQgo6ueVFml6odv8/vfcuM5Mv9Bjdmme8iZEup
OyW+svjy7GbzYao2jbCLo7MynOZl15obrJxoDlEGWSMi29dBudFSf4wf8VlnhV93jCi3rr1Q9kfR
mZj4RS/tHMCLgUPTk+TXed5Y0XNYX+roUOWcZVyVnROqGbFF5QR47TgJt0L/pHTHAbxF82qZHDCu
RoBcdHBzy3SnfKsHhwbPTKd81Y1+F43UrSaiz+tLMO+W8jG0Nk39UElu38A5ywJ71h54z5XmQ1pH
U8yboh3C9FEP343uDJ6z5jdE3eusOuq80/I360NutonkUcGJ+9skZrRxuNAbZrPWFiV+R/3eY9Cc
3RBWZPOlmnz92iCNFW9MASMkaYrrwZZOYDp7PUy48GStkl93/KpmTpc7QeppMHorP0ZehC6sj04t
XsFgklwxT1ARVFTFnhv5Zkofklb3h+5tRm+fQiSpTz3V/DHYzGw2RuslCQ077R/TBhNwfRGEHTSq
XPbSFh/QIQ18Ld2LFZubF97YZWJHfTUrdwg8i/jcRXVy813rFVtFBmwcVPGkf1Ri6o6wAMRo33aP
Sncwo3MpKSTLP8Xm4NXCSStdAtJrCMPgA5qCt9Vj41CrXirc9ZaXY8fVHSG9SUW8TTIPHK3d+tYs
L0l7mLFmJF2GKAo/5gyO9Ci18EYdMb3ThMBvJvSz6msvP3bDpaUuMG5ZiNvmCaeKFc+OnG/K3okW
lzc9TvdC4ZS9bbFNaY0XXbQJflOti5g7mnXOZgUwomOoviDdBYk7J15h3ld4nEPPsh6ywGHfhdDb
6c1sI06HvhTwWDvimNjW5CcsajmQBe1oEZcVmV961pQ+96vwXtE3jXI/DEjoSjaW70pYsYQ4mMmy
Yde+TZI3N5u53whgrUAGFmQ6byzJjYaXTL0zaz8czj1LULrLki2fPNE2IfnFhRPo9lw/KIyX/DEI
v3ZcQHs1ky3abbs/WYFXBvbQ7ZSvren1o9sI7owmZt5bZB7N95CWmstyaSanCO/yfGMIdvgkslhH
F7zKTDLGE5impb8R2QTcazMuIifmN+NWLWQXVVwV3WY57yYpPCKya49anpS58Cnk1it1L8MOkvh6
eqQXLIhbfT4LqY8enP+ZbD7ACSN8ymUr9i6DhG2Lak/AB2HNto72DYVZq1JLsikSZpJPLQtvLySK
EVW+dJhxPy9UhXfo5IRi28gPeXZKTJ9unjh+7URvBizIMp3ucFWb6Xl+7syjmm9q7SbAGtV6Bijf
8KSJuPl4iheEnhnA3zDxBtMVKl9fMVzskDdGdpXbU6tj4O49blRY9uhSDeE2UJHA7/XZNWV241tD
viz5trHuh5EKY/sKNaYrNnWyC7KrBLBxCc9Nzl6LBdnLc7dGgWfYZu7PpYu2tcFVOLid+NxrpPmg
x6m3xfJ1UL2kd2Vp1zI4sk1roAL3p/It0XhZ3xJhN2qnRdgY5rGa9oHQu/P8hduhhyf30DcfMPzP
hT9H903rlt+YVQ1hoyqHer7Bxj2aj9b0GOKbj/eFdVfWVxPaCkAgcwf8vlK3dXAKm4fafNMqT0u2
CgXT2hfk0LFqR212Y7ExVXcxX4PkPY5OykgHkaX43uIBDknkmzo8NY3lCvs/86DSAQcL9nN6rooZ
057MPlfaZKqtEMfqcKJJZp/Fr9A3SZHpvENui4ZdNd+ziuDm2tNGvyaySxRuotTPYFXWxrbXiGlZ
zA3qQ8fsNsvI/7XX1X1QHGvZjeuN9T7Pd1Z9M1BAMS7dvM3ErVUjCZA3WM08offq/Nugb3IBuWPq
Dhwd65dhuUxsC8SNpd6nbIEM+UHJdqL+Cn2ENcMwb5rmnCy+pvAmLLTjv+YJXncExakIqukj0i6J
8TBor5HqL/jqRBD1l7nYNM3TYpy7EdHmwdBLezRvlvIWcQKDJS+druHYsZVMaAAcQEP1bRYhuinH
uWaF4KDsFjOhuLtYwJc3OmX9sMQ0sHdDdltK39LwLOV+092G2uJPUGYyZJx5dDNwWksb9LPERAqj
p+AOiUPseeZ1IaervNGa+1q+jsk7rPew9Sran+l2LKfNrAk4WyAtL7ejtRH0x2R+adimxVNgl5xq
il2Z3mTsqwQUr7mbNNdOe2lrb0G2GTV4Ly8RemYp+Gam4KD2Y3AcpzfRvFbCPmXXp6f7ntmhrBXI
r64pHNNhm2e7pjya06to+W3jD+X9grSD2VrfyQYI2wNPoqnvlwokLPnos3hfZF8SwWutTdLdBM1R
BUAoiyTbxx+h4BGoXsfb9n2YDmG4hWixSAdcMEm1MWr8jKR8yi464qUbbZOPYMSOFu1kCKssytNR
09yhfKtTADgsa6dkANa8GbsdM7Vq3FRsufJNOEGdiew5O0/5mzKtvJtHM7korNCFcmcq77BvbKHf
WfktRpVKjYB/M8urjwNtylLwFumkcLQWXit9hUptCgBAlXYd6w7o0CYIe9eQt02Br9bPcrZSXsWh
zBS/WPVHH54S6ykuV92C1y1e1z42+TcxGDmZnZblZgxcgZT1ea/zERY8R82eg4hVQaQC6SePvBza
kRVFYX4VNKoGNyMFld5ixjQnB2oN9S7QmHyhXZn7SnlRlzt5GbaF+hJXz6Mlu5aRLps0nUJeRVXd
SSbk1tvvZb3/Ou4Aof6NFPe2zNK/ynDXn/lDhiv9S1JEC9ksDnhkYQZdhD8tIJKImwN6taEreCgo
g/8pw1XQ7VL8po25WvFoC/whw/0rw/UfyHBx8P1c7/9utwM5gNQXowm48k9djig05HAcSoUZG6E3
p4tSiv0xU16kKnN1nEQjeGa3xlvUriajDLdRMpU+DGKBUg3uNFa9ZjUmiTiU4n5+JGH6S81+MMXB
hAf6NaIMtKzWJgGPkxT0aFelvSmI12A1QQ29+rXEFUX04rHBJVXVGmk4waZrQY2uNqp4NVSNAp4O
HFbWLOwjHFcLziuwr6U94MUSU1Y3vFkDHq1F0x7qMiAPZthBdYWhnLD3a/EUYPACoTfhLOtKVoAM
qTF+sC4cOeu138omfIS1chwCDppmZflcf7mE5iwjEjO3KW4zNJgQqPGfhXmPS12Q2PViTVtWk9qw
2tWK1bg2rRa2eqh2Y5RfePiOAGeEgYzVLV5Nb+m8rBKM7JuyGuICQ9/IOOTK1SoHMcQdInOF6ekO
ReHbXDEPtEgMfDmt4Yyr5W5QlZGShXDsVjuezF0X+PMKfHpqEB5MfHtTPx0KU2e9L0bXTMRLWZQn
Eadf3BPeoVd483QTV2IDmCwPpWOFNXDCIjhgFWyxDCardxCAFsie1U/Yrs5CQeYQk0niy4TpsJmT
VxETYr+6EfPVlxhiUOwwKgbZ6OZKeKm+T93ytVwdjfXqbWxXl6MZpNJOCtPn1BCIk5LyDwlvZNaa
6c6amVVjvJOFwtkiwU2J3YEztljcjavREgKsCNAF86XQGpfmux+zW62ZZsEhDv0rfs0Ku4FmQxnY
qUVtsJvG1Sl3plZTNFr9nsqk5cpBT/rF4x4F0VE1SLigAVklYyXBCp32Tf3KireuH9XTxP3bbUi+
S1xbz0YILd0y2ho4biBs04UqnKmnN4O8tDJro0QpOwti+neSlBT0h7LV4DzVZN/s4RwN08ssaSDD
kzlS9qBAgsUXp7h+1oI+x9BKSVf7EOhlTnQqshx+2n+n5+9OidVX8J+dEqf4LWe39fb146+T9PqT
f0zSsP/X2BlLInhmtT0wSf4xSWOXZt6WRTj+igKNlAb+H5O0hoXPQpwlqxBHVrvEn5O0xqxvqGSg
4KrD6f/PfHqf2veY7iSS/1axC7AZbNGfWpPxaIUzJOfat2Q4hstxTMrHPq3PxpLe/fB0WKvmsCx+
dDvAFfhpOaCVw0uPy1kRUdaoqi6uy8UPffUGm1g/SlHrNzV2M5NFyZbnqvWYCv167D/EPLYcqZEO
NONeyjS6LgOrAjL1mDm2fMmL7BG3oZ1UGAfVDqmRopeGl4XaWdai8xzocLNijY6McklH86FX5Lsx
Nl76eOztSUOiJFqR6BRVOjBHraVGEEpLW0QrY+9oGvlx0tOvsUadDyjKNVrQA0o5aMwkEMZ9nRMX
rbOlszQrsOVFPQit8kFuS8ght7mEldC5ogZPreLU0k4y2+MMN8eY69YmbKVrS5pxNTCJqRUWEzGK
nTCQH/Vc4wypPk0dAMouvheWuLPTSX5ZrJEujwJnM0ir96mMX0MUzVh2YXgFU7NHB+VbovGBSLe1
NSBhUmzmGDmU7SQBRAnHm1qrHsVcfzXaEoolkGw7K+M3PelOhSk+aFL2xSq0JzNO74OlfavnVbcf
BRkPlaTnzpK8RSnvmknc44rPaP8tdEIH2VfqQXKzijNi1go3LD5fmkGxbFWeMuCbzQ31Hs4Vgjpy
GzgXM+tGFqZThp8ORNdhrspLo9VQYbXaa5R4L0/GY7RGQKDWU73cCsFBlxwgDQ4CnUFZvTIKR+bh
wNDaRIp+XxhsmoM89cso2JlWMNiQ6q6N1N9PKsd+LXgS2oD5drH2Un1uMSeG5qaAVy6W7WkujGeC
1Peq1l1LkYwX9AibrqE8OEhE7STBDXj1u75lj7wY8WMUjFhFtecG35ktkGNjJxEWP0Hu19P9gyG3
b6Ea8hZr4VNjqrtM7koaJ8uejImDwE7ezPW3KlJ3YyOzLw+fVPz2Puk6K3GGcman0xiJyaDZquDu
L0YAHBb0LuVBWTiONafaJJnMjCAgMXKTlHNw34v3YMs7py1RRwR6Xn+RcoDu5pw2m6ErtdPQFm+W
Ql2uDvSj2IgE3uRlvdflZtpEKb7EQg23Sm8oBwg1FZWH+VQSzJPI9BRicVaOtc6K5dbaIgIrRSzK
sdSIiSEKRI/SAnWmUc+fW127E5rWovxYfkSScqNKyO7Lifo7kjb8iWR02OLSnlvohLZuNCfiObXX
uQmhfyJ1e5mGxuS+LO0aSyVBieNeG+gNqlV3VxdoUIzQM5oFRZGO5uhrp1h5csrGWnEDsR3DL7LU
NPJd0uRARNNSrR4MMoMo8wZ6ej+nRpKdZAtwnUN9IddflqjsXst0aakVLekCwS5auc/K4OUJXHpy
f0vjqNd0M3OlzrHA4/Yv9b5yhCSeTvTP91pDnbeUDMZIoF2HLLsCYDwHEyh8WYmA+JlPHKYmP4pb
2dUlAcdqlF2TSDDsuodEUmfGI5BEpB9RYgBorAS6ScI95KrekeN/s2D+e2BaU+H/84rsZyzG7V9X
4/Wn/lyNv+e/cfDh2PRz3piE/10j2QJAyHpS+WMlNoi8EDEtEsjHUv1dX/vHcUn/FxxQjj0WMa0A
StD1/IPj0ne54w8qITbsTD2mKOESUFCdmp+WYi1PgrxQZGItdL1o7wwpMt4yAcrgW7BU2rID87sI
bhI2d9VEkWOUDtWKvU9WAH5SjjfCkABmXNn4hva6cMRQIiQuuaX4/YrR76aZiXNF6wtS+K4s9Pph
7oci85kE3QkWvwyTP6B9scDo58DpTkp8X1vhpSNfBnao22Xim2R1bhhJB+xLlzSRg0vcTaX1qlRG
ZPOsGrjLRYPCgsqfwXHAamlLIqIYvhhBBH2Mef8bU35MfQZxhZ5T/aonmWSt+ViL7fyUSWWZvIwS
S2OgplsCHOLet6QkBcdJ+7MCzwzENPPmtqqf42ihlibzEf9tmfjvAFpREP95AD0WUNf+On7WH/pj
/MhsPgE7iCpeCV5Xxskfm1n5X7Ao2OFy3jfYUa5b4H8PoTX+SgXMBBgKker/boH/GELwKBhAzPOa
yS4YVP8/GEHsgn/aYSIzIyZg3UxjOyZ6gNH88w6zX+TUSss5286iUdAhYHpu6pO6ZG9aGr6nMwdw
iBF0NBgYQxE0jqChIshiJvi4+MIK7cSRtW84Iw9VecRpuNH0yZ2Ifsn0lIQ3gG9d69RIhBZEExH9
RFRUrfJQGdYhJA/DLKqHKMz8QDJZXlfUFyY0tfX1cfImwk9Q827ktQWDemmEgS+upYfO7sudrALh
FjS3NTW7LA6a0O/FKHuoOpqC5DLtc9W6GYfRT3vF0+vUrTThxCncDxfS6obYS8XWi8b9WEteZHQ7
qDVOx86wr+lhj/Wj2BBcEs+S32bjc99JW83cj0Xkh4HxsPpPYmQ/cfm1Ci49fc44yA6ZNHHOR9vD
aX3MG1/Tnwg0OGiJagMRojApbFukETqVY6GqN5iwbZGKBkfW3UiYaCRLdtmwca8NHjI8h0o9FPng
jP2XmH5y0V/zrt9M4kQFMi6cUSq9ha4gBMUnqUqcdrFuyon68BC4Vnib0MGE3QRWwC8J5Uvb8WyK
1CQVa6NEQrtBZC4B+YDWEeHYafOMvq3mZTyAFE+ZHBCqA6xeTL7oPb2T+aU3UI/N9A9aBU0S06Is
0yCf/RBdgTScVfA6glUQOCIeJuE1XxQvyBdHpr1XqMWOdAgKu5O9jKAtubmtJErnFpxhFegbVvVA
CQHc5YQwkJKF+oVNFMgFAnwWZdxllLsIFRAudB49nsFdMq27XzExn7OkXEg/NMz8TJlB9bpgSGXP
6MunvqFha5QxOCNZQkIUUjMfMvrYshGxEaZQjIP3Q20Ut1+FvWNWVIiBLE9Zgjul0jkxVB62pq2+
JK+ZNr93o0IgkUV3VUtQyyijI8ShZgdzv42CZocy+VSxQQ84LsEWjW1BUe0hfFibr7KY8aLFXpQf
ZOoX+pScpIZy3RKBJKk+4F35xEZuAtqHqfWYoSBZpvpmHHE2SCHgYppiHXCOsNt3IsD7gnL3qHLE
Ep2BRqtK1q3Gzrbrsrty7JxA6E5dbyAGiPdEPt1MOWKKtsSLMZybgKp8Wm3qwtxpE3WoxMvy8Djy
nsxJtMkpaVctLvNReTGyeCNQHhRJ6xmVsx5k26C5S4uCQ85t3fBaCo1jTu8hjVihD5wlb5y8ejfi
xVWaFJ8ekejd4xxSnKo/NLF8qGrYyXXtdK3mCfi21F6+MbrkWZM1Dj/gn8hxgqZkl4qJEwk3Rdfn
jgy0MWiR7mThURPTEZHYa9MSYAWqr5YpYooKlf57eXyMhtJWrdsobZw2AKIRXhajRI8pI6M6ZZNy
yPULx5bKzjtkQ03hRe1jFmmeXgCzl+4LBpw+vDcsr5SBD1nU8O72TrhIN6nyxVRJ9qEBMVbvUVx6
FJ5Qe+7zqkZmNfiK3LuEmttkSDhjVzgTJ+gl07dKujFicWMO84PORYN5O9AAGWDwBGg3x/lbo2VH
xShO1Mo423e2MVlnLY53cdtv0mh8UyJCk0OJGXZ2evqtelq7E+2XQvvShnBs6t3KClP069g2RAhZ
tMCC/1XE/3dZX21D/3lZ31Koyrpfrezrz/25susqUA/idz73EpR/0WVQ/1ihfyxTsbJDelQlajsQ
+tYtwf+VqfgrBUcI21iY95Kh/bM8XpJ3/7q0K3w8PLSwflXls02zGoYWAeRYbqni68zhiBVyvZo2
GkoPyqYPFXtcTxjxMIwjjGzF0N+RtSPOiaxzqGOVboiuQQ1iNV4XBYegXa6JtGalNFgegiRCSTak
VIcERDBtR29UnmN841JymoTpDU+candBACtn/DAKnFERS5LUJp2dB8WHNBYwo0QkyNZ0s5hThBAx
viu6aSPm6JXb6bYgyLuzCPtC/kFU3YNGVoWfxLGvR+p9HkTgypVFQpI6cV9McnUUf5VG5TWa6ktq
LqazKNq2tJS3PqVRmXXKXRmNKZpZswVmqKMM4g7ypa1oyE2MtfKNNWOC+mSIkG31jRiLOnz0VYwc
Sb4axfdqHriFNjz1k3kxRCW1KQdg+k0jV45EOja9F45l7UOG4tAbys+Tkt4ItSG7iR5cRKm+FoL4
oCe5dldZoQnqR9cqbaIsROKl08jJJlXFtzmpz6I00RM3qgP7ftaTSjoKlXmJWx0Ge4coOJVMcZuk
2dYItb1Yps9DEyPAlcSnviJ9rhJQhJKYlCvFtZIS0VFSRJekNLyrdX82+p7Ga3RtrORRbmuk+wCA
OWQfws46Sgm4pA46FlKI8Ekn98NBuH9NC/k2S5eACry6GcboVYwndR+mAQj4ot4XWXYplurbrAq9
PUg1SVALLCuleFiW9rarxXstEukZJ8sO1r2jlpXhLJr4Ii0ykK/luOhg4nUhvpE7oaO9EJEbYyC3
wVxx9z/sncly3MiWbX+lrOaQAY5+UJNA9MFgT4rSBEaxARx93339W6CSKYpq0vTGmtQty3tJJCPg
7sfP2XttsnXusnxY5R2TFbuXnOo2B2WQfiYM7YaZyxnf9TnxyfBglIQRUt17XTk8ZV2yidys88ZB
ubT77tRqtXidDrzp0VDcySDq2HCd+z4oxAmMv0+uEqJFFpLUgA4Eqi/LS7tpNbyTNqxshANl3p45
cZF75ShPXbBXZZpHpywd5vgsZs/oijM3chZY2aJj1TFO07uAPFlkS3F/kCmEryRB0sW4TuPKmdT7
ISlRspTKulWmtROSvR3y5SOQ4Jr4aBv9LWT+c60RAMV0Zti+grHBHA86bjkvczK064IAW/syxdwg
e430KwTdLvoo0h2k5VDTt2ilOGxTtd8nPmVbkVrUadwkhUpZ3pktEDbItmh3U0MeLGZwTuNf8pGc
l4a/1BIKTJIjEEXMS9Uhh7Uki9nuE+rkbirWYVWf5Zm882NBY6xxrhujOlYAiT3u3wyL5Ck8Z+qX
hPy+PDktcuu6CKhzkpa/Sc5pTZbSnFltczBiVN0dShapzmaMTH4xFP2strX2K//i74lm0v34zYn2
lD1W44831fmnXs+zebgCg3DupJhzVAtH0+tVde70WOSmWPRtAFm9SaETZNeZ30eV/jsctz4ITLrw
AsDMWzpw/j+6q77zwjF4UWEO8GzT5syFevX9VXWstcJtYHdu0qj1CYqr9XAfO0aOJjOA4g6zNQmR
QdkUpKWW7gfFVg8JOAR0VmNn5nulM5gmwMMLg4u4NQPns9Fx8VjUGeUZ8n4ndZxHGA/JytFlf+LM
PZTmpZ0yRvE2yRTueV1Qd8NOOsA8VxEqbSMqaGbqkkB77qRZTt5EEhQ2mjvREInUTJRzL1/b3/d3
ft1+/f5ePXGpzZOnH9/g+ee+vcG8ooClHMPGI/YSlvjtDZ5TFUhEtGyEFd+9wc783s9MGhegGNZg
eiSvzZY5hmju3PCC06kxrT/LUfyJ/xg+lEO0AwWjCfN77sa8meelE4S+IbNtFN1jezHptnobixfN
2laLPpcqiq5UUZpTFL6Vity5Ka1AW5lj6EnRo7kDK8N8xqV6QQi/jrEQMKWgwc9dPFfPq0ZsMaIg
0ggeUudeiy02/eTedT9TZ2zK7lg00AIjd+HOcSiJ0wAvs5Z6W5JmGnhhfWFG/seBSGnNDDe62ezD
bGJYRL0gnGxbOh/VgGQVI83P3RyVq43wq59TV/rc9RJSa1JhLCZFWUcxLhsiA3Q/eA50dT3NvjG7
v+lC6Ip9vFTaeJ/Dq5HKcHDkSH5eubWRSuoaSn0Czov0ehTRMirsnRhpHuEOqGyojc1JgKOT/etG
qz6Os9qVRPPBNLNdQbwtonLUD7FqcicmXILUA1Eu0TceGIzdmK16rBpDrgnPXYgh/Rzm/nmM5CxD
dRAjhiOURtNTnCLcbMeS+B6ybY1um1cAW/rBxFYjKXoQdkX4qjILSJ74kkrjoshJRUgxlslylZvB
QUYkADTpNjceQgIeJpxnk9rcFGm6K2GK1pq/6vX4ITWGdY73x0Ts7rmVgkmEfAF7WkbacGb44iIP
wWlTTVn1uIMvsGCIs6DeoEScgwI0dZfSJMu05DAVaJHFTCOd7II8wWSdkt4zkKqodO0qxElZ01hK
cTBMcUCGUV9eALv1LIUcZuWzrNxTGYxItPW1UQykTqHicLAW4yGQjLNk4J+mNLO83K4uijlHiDyh
Onz0qY1bQXBDPq0S11hnpn4jhoCATaaRhYk75B4aMgJobVGNDgUoF35RL8uC9l33yanhxwqS+Wje
DKOB8b02MAP4ibkuZ/Woi38R3tdRd80vkR5uFBe1J5HuPYHVhSkRqburaOqIwD1vLO1LV8V3o/Vp
kMZSte4UcpMGiKJcH0hAodoMH80m9pJBrLK2PProRyMfbbTubmxiC6Rlr1vE0ZNZHQpsCCSwLGUc
eNiPPRNnzSS2grylXjyCNiO86aJwoyXMfo8IOy+l0jGdU8v5rMbtcqKaS61b1DVehCBJ6sNTkRxK
1ViPzdEpdvwJmAC3/nDt9vJgysc2FZBme/SUjHaTWxs+ro52S9fvA0aavYF7DfFKk35pAnur5clR
K8NNXZhc9FGI6ec6Xbc+7i58MRzjDFVSrDKFNzDMRsnaJjKw0l2A5cWJno/bqRrhttbj0u+1BWYN
sYDZ/khJtnNa67wLyL4yp3UxkyWKtkbudZzEPsrrXT0O6y4czhM1hoUEt33MQxycYboxw2GljTWT
SsK0fXFtx+5+QnBpKChYI1ggbCSI3IMgFN4gsmM89IwvrJRgm0ClmGznpnJhz/oz50LLO/lVQPH3
rLRAMv36rNzKJKm/5BXm3vDH83L+2dfzUnygmCNb+GuKAOfbt4pPMKkzOPzQh8wilDfDCbL5OL90
aKSAtDGU68wMXs9Lm5EGvxLcjDbb96kT/2A6MSciv6UfMN+b29AaU0TaFz/BdZj1UAJrczepE4YT
kwU7cwmnzkekFnmnG9zWe6MKjoqFN9GzXtRcsqiLIxn0RfNJBG3S71EEcjmBYIKrFNGAqV2YWWiY
NyT3hh/rRuVIk+no9HsCZzDz15xKn/Mqc7ZmVZv7Ig/Erc31che0uasum6Br90ou7WWeTtpaUY09
AUcB11hOll1pwWDR1cE8tqOObXxK0LgUuN3C0awxiVRc4IKqeWqtmNK02qRdRLeXP5MpQHsw3X7Q
F1EFOLJO2GdLX41Xf6vHF+WZixLs1yviqk2bp+rHtTD/1Ota0LjHsBQcVL6z0uptBregMccrD+ls
vvt8N+t2PkBBI6uMJYIoDZjUt7VASMe8dFBEIuSl5PujSZ2mv7v+cIualxxPsNGd4TOdqWxvasep
cGjUlLm7yZzuoWGcu0Cle1vHfrdkCK/byynqC2PlAGfL94FLn/nOd9sSE0IEH3BaD5os0kNOmJVr
kg6ZMEMhvxZb02xSRnw6ZxaOl0lnwbwxGgGWHGu43gYBTmBGJlOc7VU1GD+PChMhBtknxBCeSR/r
7ixdsqsiwa5lpitRllgEc/mYZmO0NQfOt7rpHjW0IDQ8kKcJO7+SbtJRupTYpIPm1uwQFgkN4Vjn
TwzMMQACWX0oVJNJX1AQ/hjYV3nmnjgqnn2pl7smK76MjAyoPROI6W3soHsdTkkfP40TcUdGUb9u
E4uYCX8iaRdpq6eJ+jSf12SIpU83p6NZkDwRKSiMwT5ktn8lCcvtU+cuN+onMfMhCsgFA8CIbvBP
CGc7tIAkIoASPWAJfSZMVDNrQgc6oc1SnDCIl9KWCH0DxgH1jKlwlfpu0hPcYZUqPaUuDh05KaZB
Fi4XlRWCu2MJ9SJw6TySOnHZpRog4/ihrcnnmEEZpt/JRYWJymtnjEY7AzV8c9I8fYZsNDNuI1Xq
k752z4q+2it1na2qAZiZC6KjnmEdJXVcCtWgJ6dy1Ac/X6N/wsWTkJVc6bnJb0JCSwRSubZmWa1j
kuH9d9d52XVmweavd51zyCX36Y+7zvxT33adGeM9a1NJgEIfgPDm9cY6H84WWw7hTPPVc1YOvCps
3A8EBmBJsNgPLLYKDs7XE9j9oKOANRAc8B8a9Mw/OYE1lYe8PYLZdYQBUczUAbuhAxLvmi5xBaq5
b2PeMr/oxqPexMZ0VCfyWhJDPFatZPQnnb0wMs68rBGrtNTzZW+TdtO49iat6DwPho5Dq9aGhyQf
wmFhGNNVIJXmOtIspg9uPpbywlExVRkjang3yvMbmSobRBOYFa1Ij2yyTetW32oKbqw4dtS1yP3w
uWJTXIWZZS+tznAu69iocRJ38jqx8NLnvm/e536L6j+LMS2HFwIh4a5ACHepJ63pKb1bnuokaXsW
osnai11CwigpROh6MfnRkWeZXQ3Bo4qPnTEEJ0j+ytmrdtJGUbBUxjm2vSSQvB9BOHANmn1TxYVa
I+ws0mlC0t80y0hvl3kdrzoJFs6IJlRHdK+COL2ccm0P+3Bp6VzjhH87dhZRvNnKHXtJkV3cMIDd
J3zJ3kAOfAGKc1MYpZfL5HQKSrzwuieN+jxig0/0QPnISNgi7qIQAyb3rHBuK3rTF5qpFJdVpLRE
rZe6hW9cuSo1ZfJanXGIkdlPkFSWiB03XMQyz9R7pHyE0CMdQBXwdyN42QjmsM5fbwTbPEl/JrOb
f+p1IzA/zGsNwZew/1m3/24E1geV5YdQx0AF/lWB900nNEuBKMOpSmahEEXDPxsB00SWq4umnNqZ
ptMfVR/WD9sAuwyXSqp6an6sGJQ5b4sPP1cYy+uxvm1kGHBJry+ksK/N0Hi2KtNZTLmNGzE4dL59
T3TFjaWPS9c3zjoUqYTXKY8TuQNe24w0i3RWR2d1wSptS5R1WergYXWuppLOlgpYaplP7Qz7beyl
5OB7jtklLnq9tJZTzX25CrrgkpJ66Hco42k8meYVE75oGQejsqj15FSS4n09pkF2EB3CEN9ny/FL
N95ajYIUfJJ4hbigrsjb7NcRv+kO0TipLpX/XKIN9/oA/LUZtcc0H3ZNbrPS6SmsOgyTQSoYcLGB
gh2f6o+1CSFLRyneE3DsEF+SonAJKmdB/mg6nUR+FHRrlCtSXv9dR1/LeE6yX6+jj/c1ebDBTwfz
M8X1zVoiHNiyhE5F/9K1/Xct4RJx9RnSj9Sf/8mbsA0WDKHC3F0BYb3cXlkD39aS7iCA5bzV586y
80dn6uw//P5MtTSDbFYcKfCTaVdz5r9dTIWRZWUd1WKbkEm3RNqMuis31lre7kWf7hIX3kCB/16P
g3aVQILy8ri5SfGq7ewMQCTdkmohpRaCNWgqsjejO3xbZ3prYd22J7mznSJc1VbmewyROWsqM7vI
OoPYdWD2ekltGginPfRV0E+LvrKdTcF0vv6kNToiraAcEUsR16PVuziy4uWo9bg5xiK5IYrmVA1a
1EgvK46ll9tkb5cvy1HXrOBSnddon/fWMpnXbTSv4Gpey8TSGOvYkaTCzSs9M/PzSqnAIaQFxkE5
4YtVoZT1or2trX4Vwu7q8lT1BLuHTZtx4bOfjOawLNhfpsq8L9hvCPlbm/MGpGXas9Wa16L1b4Om
+ew08cHAKDMIFE9hz/2/sB8dhVxaEs+REc2NKJWLDzeLgLy2+GPEEDkvQArQXLgOAv/WtJILGsXh
gmw5bWFV47mNALiIJhcQR/nRiN3PQVlvh8H5xBuFj0YhIbae9DsamnvT1w5Jou07p30yymFa1CXt
4tLZRqFz0BvzIhnyhzadttwfboOE1FirQkEcjogzms9Gm22TUVzzW6509PbLwY7vnV5/zob0oi75
T9/pPENEl6GM7GXE1hYY8iQXaBWAi96EebwikI5eQ5XCqWgyqJC5+tkJuhPsLruuME58gAHO1IyL
ye9uTbc7aXP8lFUn9nEaHELHOYS1AsRnGuGB0GqBhuIT7MvIa987E+Qxqdy5lbExdLq7bWY/DFgY
uIp5cV+d5q1tbQq1uxddhU4uq9Ot2YiLQAlKry6U56wcLbg3tPQ1tyCh0L4eQ5tPQL3VZ3FYgA8+
MkDnyGQdqSyFol+VcUO/vGj3TSnO+jhOln831JcNdRb8/npDPd6DWvuJfnn+qdfNlMR1h/qD5ho6
5q++6NcbCjumY1pssjajNfZSNrLXGwoeAEvHw4fZmtQjgkr/3UxfBsYWoaeUEsxyda48f9IjnNse
33sACPOzX1o3c1aS824zZSic55nQ+k3YjoxpgirEM80M1kOp0920bpt+gtdcCK/IDZCKZaDBO3L6
4ZxmCsymiRa0LOtjIInOwmjW7mRnu/xziJLrVpgKaIcqxXPcVyiUWi+1a/zO4kg3iGHAnI9Jed/E
QXms27EZHn1OkeIyjBUrZzBSVc4WDUU24b3W4VNERWbh0HXABtpFXA7Pfop8aJ/qo2gR8NQ4ZQpT
/ZoA87cLPgck/vrd3mWP8j77n0vZ/azzN//stzccDbDA3QKT+Z9W99s3nALCoYAmRmS+Tb95wx1u
54ygkOzRQ5+Fga93cLrgtMFp2HG82+j5zD95w19q6+/fcDqIxKUQMKkSvO3Otfmbxp+bdlUTuLhc
VKBuDgQ3cIFEDT23nBeELSLNZUbZBV3DIDEvn3phJQwBixi+TlWVT9bEpJAMgf7Q5e1llbpDRHht
r9f2ig5Cu58CNAqNn7bMQon0JcnucwgpVSIHzlVmm7mpLEMVHRkp5n4JYkkIUk1yRx+Dm1hhBHT9
dyv+2iz67et6fl8//CRDjnvbv+/py7SGLRMVzI/5pViFUY+SL6OSqjP7T153YoLiqMGEwzXwRVTK
nfP1PZ0HORrzG5NbJ/IH2kh/sBPPnaA3r+l8e8VezWvq8J7Stnp3ReyJvrLtvAfZPELz6xmlx+vA
fqLA8t4s4/Ovv/KtLfqnD+IeDOmes8V9nwEnxZCLSsJe7tRzq0aenohlioG1GS9+/6CfZTfQ/vr2
JL6LtytPUfPBGQC1bFPE6VbCZdNFHZ90WzE43gDdJ/HdK78tVU8CR178/unv1/3XDxQBL6Z2ZhLI
Vr5/ek8EqDGMfKAI5E+6XXBIztN7wEhrBJ3LafHgnNVL29u4p82iPBFndNDX1WWyipfuDi6wufz9
v84PHYD5633zb/N+F4KuEbshn4XdjRdN3mxNlCdxNCt2/t2jf/Llzn/U+7dI11wk1cwRcUa96zfW
mp77UD/B1RdI8PGciuw/4spmU+D7J5jmPEGhAlGZpXz/sU5WHeO/LoOtZn+xYs0rh4u0k7tK2zla
8h+v6n89691XKCH9iC7mWfRPNpH1RUPJYyTKznRrkH5Xv//ofvYNvf3D3n1DRaxNTjLysBGClerD
0QOJW7ISf/+Yn/5NFq0l/Gf4yV4WzZvjSDfiwkxkHmzbqOHv4jbZR8UOs/JhNMX9iB7nPx448x5+
/MbePPHdMmTaUQ19kZIuIGuE2Ljb4wC+h5F+4bZkka8ePzlGstEyYF+mgiEiOVgQMbPJvocsvR91
3zPMbu9b1noYEPk4BYTX338oP9uTkCWyl9qzwst599pWYRanAgnr1uzzZRBJz/LRUVePSfLl9w8S
7+rdl13h7ZPmr+fNx19MAmuRpSib9LlfKQ/DA/93Ee9DL1zGNzZs4GO7LsOV+Wx6N1iz7NXvn/9u
JP/D49/t8koZ5G3Hnr71s2CdmzYm/51ETxSBCp8YDE4IsX7/xJ9//d8+23lm+/Yv9pu2QOjAZ+tq
C+MY0UQ/HoRHQqmza+yFdpreURrdad5N9rT9/aN/9q2ScaXDE1FRBszt2rdPHrKyzHHCB1ujPZFY
1DDSr6j7Vsn4Xwk6P33SzDuxDSa8P2hbhebL2M540oCOqDfhQ8fmqmIq6qvh/8c3yOjo30e9e4GY
kfC7dVZToF0bowFxcF3UhznVRcnjRYVs/fcf4s/eGCY1VM8WJB20wN9/iEVVVRhM+fpq+TEoD/ao
rQv7zmgu+nEpybz6/dN+dn5QkNOqsxiC0av7/mllMzj0w1geWXVWFKeF8+dBNQTHfPv97z69oCOJ
qxj4/Zr/GaYGFtAbx/6v/Dv6kPxrvjukmO8hEaWaIi/YeDfsN+2+1cO49DdK4jvRTjGTgatmUpPz
94I1QqkC4sjO26Q8QRIIisMfcs94CWqoy3I50pieDKcNAWPgzWUmFkqIqfWELi3P6jUDZ9ggxcIC
Tu2gHuvK8lxJ5Vqo9doyEgJMFa+ty51aGQeDwkrGuNYK+NkqGLLMeBZVhalTPitNfauVzU6x5C53
Zm2Z6+mBvmayv1TtwMsyi0xLde8Yg1fbyRZDnZcN1cGs5GepMRdPW6wQJM2W0vIqae2MuiQddVyW
TcNrCUkbRkvbxdu0tJdMwJdGryxcLDVh0p4kgxl4lVVuy1hchVpyxLq7nprI45edWzLIiSk3daw4
xa2P28VLy2FNu2AVTu26VY2VbvQXdGKx/La3UfKoQOsvRy1cu5X4TCoLdOuAj6jox9sxJEVvdAmJ
h6f2VAo4F0nolY7AslBsmgpJaOc88gV7qstjB3+6npVzU91tpsxa5OGInWlcR4WxUCbnUDfQ2fES
J6GFFG8axhU69pvGgUZbk1OQyOI0RSiqpQQtugDHR/Msc7QjOC4PdAfGCdxGofWxrYdT9uPTtqwu
2rrfGnoD08fFeWuQjEAMgRR3GlbhQLqrnvR2uDZQ5N1lXGf7ym3WAZ+DO9UHYmuP0kHSGvE3N362
ViZI3JJ+BVihfVxD5KoGmN0f+ecrM/dP63by7Dxe4yHZaHVwKPP6rIiqFe0+4JXtuYnTRsU2NpnZ
MR2AdBFUU1nwh7N4O4b9Kqjyc31MvFqQE6ESl+HaXzCNLBsT3nuYxs8DqA/8JP5KNcBd5t2hb/rD
AM2lkBVCZWWXWWAaM0H7Vl+5RbRk6ryJRgdWenkb5fHS6cFFlrwdKqQYcgrAl+yc1NwIq9qooIdb
BrPFZOHiRn3p2udqa+113u+mU2aL86UvWdS8QfcKJMxwztKMtfA8w90VQC02M9YSjt6hwuVbCtRb
A9AG3efcT2OwD0oK6NWJe/iShrmcfGeXtVCOe705Rqm16Mp4lwZIsRUkkwBsilRcaZOFBQ+BJfbg
/ZSOV1E97c2svU7Cei0n5y4NFWdRT8DztOokVqelY+n7qY1uC6Hu6ySExVMt0rHb5bVzmcnuWMYA
4UriF5y0uoCUccYIrCwuG2B8hHa+7Lp/W0yzyeTf68vyvrn/n6eskc14ep8+/d//ntzHT1zPX/7J
7vH//pfLN/Om+WdeW0vaBx27N7u4K7CAfUd/mPVmSCxdlFz8P289osL9gJtz9iMwcf1KSXlzZZ+d
AxDOEKi5ICKNP7my83M/nDOMdelsaQx3UXLOTay3FY7fx6o++hAWpanC3BuqcPQXc5dsJV+ofIxB
p9XkNzkG6kRNgkNjzRtE7NbntjE1jHT9Rz8YoVIj5CyuUiO+GSL3sYqLq2nKz6YIybnI0Fb0bbFu
6MFhvAYzFLFnEbciQ0z1uakBW0INCfLZZBwgrK2tDfGShXbiNHZOug34MJXNlSwKDjR4s6GnIlQy
DCdbuIlYSYezuBzg/Y4YPcv+Rh39dRCj9G8aLGb06PaVWmxy131qCn0/dsF5MwSg4zP1s42PzZvK
ZDk16KMSoT1ESvypsYybuGzv3CiZkwk66rGphJ4WwBIT44hgrd+Osi7YIsQnov8upUIbGYe+FCUG
gsi8kgPSlayZ/yeZ9aRGaPPNnh5BX5L0UnUQ4MPkuRirZ92sQwhYsLaBtB91ZSiZhkWfai16zEyD
WTvmuQW7v4rIH4pCpPWkaaTNA9p/68pqgy/DJImUcBlqSesx6YG/tGKHL4k00cHq1zYxo96QgTir
HSjJ/Vh9jkerQOiNtUEOcbQfgZStyqEVUJ2xrxvSN3FRafcxrSivbYPas83sISvsQ5bHAzGL9TK2
uxB2VFSt0zqeURECZ2xNik8i3dswqj71TXGSpVruMXJrr1MWziJXST5QybT3FOZ+HewOMnz7Tjo6
o7JU7tqyAauPTC17Rifbzbq8VMbP/YtsEZ/EukPnQtORzBx96Hs8zFFbYr7InS76em3/u53NhqNf
b2f7p+fnp6r+me19/sHXPU3/gOJ13jB+NFkZH2alK20VbFj/qNm+KVUs6mZkaf/MkcS/bUgG78hT
0NAi9/7zdvkPNymb/iMiVzZV1GpwJL/f0dwORmueIQQrCB5o8rUPnRmDyLLNdm8+m/OvxfjbNuQP
JfrLg0wBAoBtHKXe9w9KAzW38GLU2zRs8MoAq+jkBhjqf7SQGJm936PfPejdLTRGE6sooc6suWm0
RVAU3UIUkCBjlTF9PBTcfusCsnaJ/UmU+W2uI1qLXYEhn/DORWPVcolM7Vofe81LROWuh6h0PN/P
bwMNF7fNr8H5zn7RV+PKd/OPpF1dZ3iMdVJ3Uj3ZKEShtFMOqc6aU1XMAQLQRCJN5X7R5gbMAP49
SrVPgQrotwElK90I731h0ZkMKIAicepYI8T5VFpsk+wxfbfUnYbYvo6drM02wRBsBlBVChaxztce
DAcUiFUVe7/S19DTv1SNeTM6dbAqdA3HvptWC9Gk+xbtrtfLMmKoBu2eu3yx6RrDXPQm4qJeguAb
FLZ6hawl3RqhEKsNm0i+LzQxooZoD2XVfxp8XGh1qpymKA0WVkrVn0Xo95oy2DgjhjkrTE8yUC/R
1C5bcrztQusWA1SnRVN36dqMVQKEpvJsLMPLyAlP0IWTWBAbxWmUcEq6/pgiqCBbIwVNv86IO0WG
JwuvmfT62PfkiJeWMa5SkSnXk3PM/SRbGV2t3MLISVeuL4gNNuYCu4nzdTWEBwiOmHlQ6KWL0Qyw
/NmQ2F3S6RqPLXLMyUicFLfyWrt9qKxgXwp5TeH34PpUrD7IsKWSmzXqPzMiuiZwd5U9blBtelUU
rYDqHEF+rtKqmbxONS/6jr89Len4givOApjqQyw9LdDNAulk459BoVTtS99QTf9gKcaij+ecGXcL
72TU1YsZagJsxpug0VugW/wk3MihearLZj0mkJpQV2XpVR1iE+9NPlixEl160hnaQsfn71tLtQLG
5EcrqUM3ytLZrb6c0mGhOOEygWgJxt5M3RtXEdwm5yPbXla+feH3DUYvnHMJZ3tAvltfezkWdbuw
Tgby56bcIhsIoQQstlw1+O+fDUZcZns92trJ0JZrOtwrjsolQundZNiLunh01fue77OHVDwkjxN3
oiDbB+GDxS2hFDvNQl4eZatBmitgUQt4WjMkYQFUldS8Z10QEIyRf4wD2JTKktRFL5kLpPEa6SU+
yhRN+0S+YbnII1LNGrQPdzEyj6YmBjzl96AWUatLFzVp0JwX3WVG+ZXF3Z4rPPgLFIbc6j8WSbxy
umkxqF9M41aGZ+nMkYzSNWkSi3mXUgkoQo2/AXvgDToBb726ZUS6Nh39BnnUog/0Mw38VJmLpTLY
ey0Xl1oYsLzFVvLhFEW50SsCrSb9dIgaL3LIJiqxlCrJISphgPQ5GhVzBKbV0BMMHOdpbLO9Dr/b
7vKHCTfg7/djbd4Hv+uZvNsn59bQm84oAuZQtQqr3rKT3ctt8/F8VV2aXnjxT1f/b3mAQf835cHJ
088uO/zIa2GgAQlgAjijZixG5d+j7gRyO+bJr6KPb/NJkJBo61SV2gA9nKrSP3ydT1r4bhDxOfTV
X2DPf6QUeWk0vnk/cJNZXKdQiFBpuMD/3x3Y6JaERc9A3QwJPpRzVKJKtxg71bqKMCgeSF8JzPVY
4dmYnE2Uj353PjYynnZmPuWcD0lYAKvVY0ErY2G3TghTq4KNao3Jl2ky3bs8VgruUKG+Mn190wxk
zXQK+SguLYTGKlZwCw40ycCFKGKXS9ZhEK7cbFx2heasdPIFpTF8UWzzIQiKNaC9M5mSt+Qml3QI
CIAVWHPsVhg3OfvsqjDIyqr6OlknHXkzjvwcyWjwpIROFar6Yz4EYKmGR+FK9WgMEwqrtrrQYRB7
DMciwjnKIFsOoveKSjM9G1vQqrcE0QBS1yDtohQ86Rt3eBGw7MhVowHXjKB+knwS0IK6fGUkGUFT
wGUQivWEY0KXpolswDwb84wtZ1D5NyxJwVOSst2aJf69hZEQHGj1+T5XlehED6bozI4b8zRDhbN6
eT3/rlOHre/XZfz5fZL+z+Lp/iH8sTcx/+TrcqXsRtDtwnxkFsp0l//qrewF7yfFPEpZ8cJReJUT
gPtgxIH7RGdlfuUovFmu4EEo401Kb27lf4T7MN9t5/wKvKXU8fw2NgHsdd9v54UrkdFqfrOB/FMv
HS3Lt7Duktu4jvW7gl5uQ7SAND8Zna6zNjT6vg2XRcZuBnWdJ23hb9ImoRpQlTCGQTNtxhq3ZZ/B
OOT0Peh2X5Cep1jtTMCpm73aaRtzHLu74kVAFlZJuBKtgkxRq9UC7aIjAIVwUtvZadLFGL/lIIiQ
ITxGFFuX6AT9czAK+eDP/JEcEEk+E0lStMr7cVLhNU26GkLhAd6gt/eaAaK2N4NB3QlfxWsRMqwU
vUafT4vJZ6TXp5Zc4/1CnlPMXf5dHF/bbxwgv14cJ08/vd7yM6/LQucFn4E22uyr+q5jZ3yAlApe
4pu16lVkwxXWckDdONwDUWvQuPv3EOO/4uU1EOwAGzC4Fv/RIYb56ocqB7GjiuKMsAO4svOqfVvl
tGqvjfkUsJ06cha/OIql7wzAqs9F2dFbKtI8kd6AhGITNka0bUcLL+dcwEfCvsjmkj5JmRkH2rGk
1s+FSeCyupnmS4A5XwciFQioMl8R/PmyUEDHsOP0pivlvuM24WcGFFjDylusGMCtbmj7NP1qJGd3
7vJUkdi2Wr7VsWaIKd+VpnmKUCAkNcU+NTRS1xz3pJTERZKoHbrFQx10GyjTcHP8I62uwjPt7qjn
1aHKsqusc49+H26DAAQoEuObNGtPRgE2QhDyQuqSOAShejZ24lQ3OI8cGBHdtNHktBJDs8xSMk2l
XDVDeAfOcek3NnmA1imE9NPaVrgSBPucZTYY4rKswcnqwWUks52vW/vKDLe07UgnUTZdDNZV10cv
b0h+sbRTS+0IJq+2CiOE3MhuyoT42uyGU3DptNE60op17vo7s8m2vqmcF0NKE0LgPnE1YhfK+iRx
8lVvlzTv43tDz05UqWwht3r9JEtooOPGzAOKegvB+HSdl+TYj3U3I2Iv7almINBGaMon4gE55WGj
6tuRDFKVsEm7Ss843c8yS9vWRbRNIjIlk45xQV1sFJxyiubupDRWhh4dM26TbqKe52O/81PmaFa2
iokOlUO2gWK7VMlsjB390rASwJmRcxa6waYPO88Ghee1Af5akiXICsBAMPj9ElbyVldIa0hDmIDK
/2PvTLbjNrKu+0Sohb75hwCyZzIz2ZMTLFKk0LeB/un/DblUpmWVvFzf1FNbJIhMIOLGvefsM8wg
/SfHV8Iu9WylPYQ1uTvC2Bl1XbkcvL8Qr/7EU4M7T65NbxQOH1PqxK6guIr74BnFuF+qaulNGtj3
oSB3uE+C3eCAEW4XHSRZ4I6SX5V18cWZU9QP+PKaoL8Ch+3n8fgY9lRuvaH1pzpE5MN0j0jtIX1B
6Wu7ptqlaxA3s6ub44qX2iPivaaHMt+UZnNlSlF0luThurbqK5uRjh+G0pZx6nU92e9FEn6dO/uQ
JfWjVYltMA2PRjNficJ4TrDQNTWA40I6C4vnqNYuKsbcdBgP/MKN3DsHuy2vMrU6NOl4oUf1USfx
RuEXuU6rf7Qa72wzPsytfJtXvG+L4sYTYbzTuuE5bos2Ik850Mhu6uegepYCK6r+AaXxKDGfsagk
frFBxG8fTTv9uXRafuz7HqH/C1ed8rs3V/u9dCJrxsBAhOgdyYr6mZuxbBIIhm1mN/8e3vxnk2Di
4yCv57/jSuKUTdfybygxacT+uEmwzSiwDEBgKdRx3zaRT0fhNJNDp8R5v41HmxCQLv+Ck3ZfkIGr
VvVdEjMVaaZ216b2VQsniT5I8zoH46g8ViW20pUVIbg69bmtnScBEtys3oO4oVcGUmZ0zl04xm4Z
OC9lnhFEJl7VpLzkYr7MobMQ87XyOosnaw3NcdWM42OR6+vZ7t5QSN3NJdjjwbrLmmJfzZm+1ti8
/J4k9VnRr2nzXZTQuIjJWHeJdJoC4RModdad6D7VlPvSMbehVJheITd7krn2QrVISJWMdyMOnyMn
27QDA25YuE0gHxH07Wj2vcTBeG0Z2aqZizu9bz84Sb2rdniQ1RwPVrUzlfitq7JdFQy3Ewtv1lk3
et5urBEwsW2KTVfkm0DtzwWQzkIwihbDnbCmY65U21aM25Jo8VHr7yu12YwDbapK7FM1eYMLuS2s
3o+EcyAFZCPyeWP3+iEuxQG17Daf6p09xFcFOZWSYzSuGPS9rol1z5AtS7JLGhOfmg02+HKC440+
fcsj51Fj6/DbmXFSayyshJG2qGxtIxhcXZpej127M8z0bSKE0LLogHVkhRKpQaN3ZRGoavT6TsOS
1UfOV2XorkXIp9w7KDsSZ2eb2bveS/HOMcW87YOGuLXoONfGTkkJcOnGIyECfiycK6QbV4Wjp16N
9eGktCRxasUMPa+bP0Tar3sjubWjuPIblja1TT76bL4AijzISX2lsAQGLIVpOh/IgFmlwrg0LJXI
Ii41S2fKEppqxAyzpAbB9GizxBqdeGT5PzR2zOjMfldYiss23AkRNz7jyXNfSrez7kzXmlInj3oH
kHw0OnPnJPL8MEizihtKVyVvHizLcEOhGgmkdjAwXRFWNOzCQvHySKf7ZeRWs9WFRps3ZPgGm4FY
21JgLpPip8QAZSlVAdY5sqWHzNhxGgJgXuvQ8MuyBCcqocTLCmogeqYYpPJO3nS8rHs5BLaK11r1
ZjO9sYr6qof+stNbkLHyoLMjqOT54przJ5CrKBv4XaP67mSdOFtSdiNGYGi9M+g+I7JrLZAOkjHP
/uQM74A+b5xYMfyA8oYWa8D8o4LmKivSQLBMQm+1SWASpmLyWlPe9ooU7BjGzusyMTpXMQkIVxQU
NjP3MgREbqtOhq09NjdEyYC+ciCON1UHrTcMXFhvMgASyOpSlO0UjaEEnQwwtjiSSfM0J28iC7hP
AQVEdpZ5uRDvCwQtCIl7nbXAcLMEn0xUXhA9UIlGqVcuAYN9ZxBI3+WEIRE8jhUTRQShqtgeAjc0
u80UpoSfjuPekEYmD+hDvJz0rXUZ65jorP6ubQg7plhFejk8WRP0ET0V9bZdxHROYBI5PUq35QTH
2Daah2IqYKEq9GJa7IVBEF/ogMiuHJaEmauKb9iMFnR5XreYc9ZqFj8CeaS/0vLktG1KFG9L1BMf
1i6tYNNldMc9GLy1G048d6LnievFSGCNcuzTzMO7PO7CgPnCFCZrMXcfUmPeG0G+jeoSd6PEvKNb
B2N4VEvrElJpNXL5FWLxLd5Ex81osGGYrG8BkNzAOZl9vmb8RLXZ+IraVjDtSQdustF2g6Zytv+c
GH8rCDhD/feC4Pj6Hv90JmrxY98LAg0nhewwvQRSilb0cy9F+xcPCkJETocGGZSMET+NRJFFGDZI
IRocDkXEvzspy5nRpBPKBk7D9O+SwAHH/FgOEFZH9xMsCD4n/kJOp5/PjKET1HZbp82WBv4Y7opC
As88Na1Obls0M8mq7frYqrlN+NpcrGS1FxtpnEdQxlPqtca4yWqJcUEjZVvaNqxAwn6J9fqRKLiZ
jmPAWFLXyrVt9+OVmaXCLRdScwWyuamBC1rJk5pkh0kCm9UtdOcutFrAHtFJNiE/CxDQKihofKHP
djRrXmKZnjzJO3OhRo+9eksuFiVAddd/40oDmK7zBDIlyOk5Ky4so/toYVHzHuv4mdKXFky1wayI
NVg9D1X0ZC0k67GOHzrGhCRsAtWR2MKkOT0YC/9aA4SNufl+BoxtA7wcsuEarNMXfSFn1wtDW411
0EJojXXLt/r6vgmar8ZEOIOawnVMS+MsUY5IXb6NNcTo0RTLfrIQu8PavhggvKeF5Z0B9RaoNtzB
0U9ppzwXE0arhf89wC/yorCfm0Xgp9GZXeZ6YizHF03WzBVr/X5Yxn+j5ZAzsYwE5VbL2cwZE/aj
Iq/UyAruJn2iFFkmijFMIMJcdLLl5v7FqspjvswdA6UlXm+ZRdrLVLLQuxbRGpPKVJ3BMRAHMRG1
IavlqVUHOAgCgc3YE6w2amjyQlPepwxB5xwDCENRe+lWdYxJG87drrVMTolTxVtdO0gRmapO5vSM
5fLQJvNE+DQDIEa+K5VRrCWiM9FSOXIXprQDca1ut0xu52WGq5tCkL4c7LqUhPHcSfeGnDRuvQx/
TTU4R8OwbiLtuU+1+1ELr8NFemn1K2uSzZWYmrg/tH1cqc+W0sGbMJcP6Z/V8LfVEI3Yf18NT81r
Ef5kDmTxU98XQ2zBUEKQsrMimlQ1/K/vjWXlX+ZiT0MF/g3MsIyIvjeWbeZAHFkwUCgaoR+fqYKQ
1FgjCRTTVPxepC38ndORsqAL/zgotLWlJccxjDk87JSlxfbpdOTM5VinXWxvorAVYqVCxmLAO4qe
XrHFoKqH2O4U5FZWarEi4KRwCwTYoErmY6G3ZNiZXmRqp470xEDPET0r6M5ChApFZG+KeljRO3lQ
5+DoaMO7GZUSLpxqnTfZThb9drJKpqDRqyGCrR7mG6rYi1Xqd02jNN4sxsfUKh/iXH3WzeKDzePa
mSNUGZ0nOD1VxvgSGe1hyqWD01qn1pJXgAm/jKHpk2BUeWCnvX5OnkJB2oLe6I/x3NVuO4oTNRfx
7wOJ6uXwxZws0tglUnpCNUa6QGJNnoZPKbq9imPjWAR3cWl5cTV5uQ2JYZSouuxxF8HudxWjfpwC
isC5yE9plbySH3kF8+FSxdK1Lk9vTeg8Rap9Rav9TJVSUJfURAtbly6er6GsbeoU+a6SbB3A/Fur
kO/aXDzJZXzg/L6pLKBSHMve0WGjSzOOZc5cfLoRyteJFpoN4qVIG9C28kLxZ6/pWLiGzhjcPKzR
GEuPNUinUXfa1SzHWfQxDllQ7xy1Vy+6iWD7EMBdy/2kd9bNwEjPBFtqZcYd4Ghw4HYcElMgyWth
Supt4tRBcV2BrEKRUZVrOSewIZZQUqPGPklSfhs5xpcxkO5lRqI2TItO9UiIZSQvNRl6gIr4pBRq
XVY5HOm+aSi7jGXun9Xot9XolyPpU/qalaV4/Um35tNcmjEyjiwEZvBbqIIWE/f39cj8FxNnkk3Q
5y7l1ifKKTXYglaCu/Qb22BZqn4vz+Ax8QupzBgkg9D/G82a5ff8cTVivUO5oDMccKjQfswTLiYM
puSu6FttzFP7tSWFO8jzynw2qsA2jhq3BHIEkvKwnkoh1e8MmK3t3Ek2YUpKl+Re0zixcRV3TRG9
dIoer+R6HsP7MdfyXWoXOCZyDYIKnX0pMX1FgzXmmkP1XiupoOQYuyMhGHpNdO9ItfDPg/ntwVws
fv99m7x9LdCK3/z00Vx+8vtWuYgfSNB0FL57UBjLw/H90bQQPzA3wv/zHyrB7weHb3sX5w2Qo0uX
8Q+PJhBT3Nz/hpX+LQAvfNE/P5wyWnTUF/w+DHA/nBxavRaVXed0sQor+kI05Rh5iRghf05DWYZe
KSGxHJLQFusCcNg7KbGtNxhGlz62djb7Dqaf4qWSk9C8gqOR5t6c1pzJm6FM+PFUj3wtRHJO1j3e
iWJajhxNjBMXlA2ZbBG7UmwxoGprn0nsuRujd1hdKhgZ50kI+brHNpQP09Ng9bJr1sprr4YGusd2
H4TNuTMI8Myq4mUU2Qvs0DUHC96lPNhpzXSZM+A2gE9frIHQ6DpNXzKZDgZs+9HVJsEfGeer2ZKx
FenPZZ3cUdjedhPl/xAQ7pbHs5tLxjmsh4eY5s5WS8pjAYiHxJjsNLbyRzkrR1GjDO81S9twAtzU
QLKlFPdS23+Y5vxopWgOY1jtyWQfLBHfyggV0bTLPfEWVOeWSJ4tRJVuFOh7qYFOnktbGn83gwOk
kw1qTfcfm5EJkRySq9RuuhLcqowEJDSVD/CRt3kijg4cQK/Qgrt8iu/KULtTw3HTA9DPCvMUhAWR
RQtRMd43rBjzlJ4rgzNcOGEeiWL1UEnlOi/VlW3O91pTjDSG7Nh3yFbMK4lQOmfFLWxaIz+kXboi
19TPyhyaf3GXk9jIye9unEheY5NcZYNyNIThx628rTrzThvHh6lpzpYjNg3YosFozhrDbxBRe+TC
G6iPqWfajI7orGoNYzidKBsoT6Shm/Y9qduHXNK/NgBV7GGK3A4L0z7R53dUmBIQR5LTklqXmOkU
55mqdGUp0q1kZSfYsLeZph9EP1T+nAXbJBge8oF/hc/dS8Mwhj6XBucm1sjSq/guch06tJmb+keh
mnrldqZQL2iRxy8lmOfJ00MjJf+tjNaJIxUfDUuw5qkVOUykVIqjNtfNVUen4J8F9rcxzZLm+6sF
tnkVZfuTnX/5ue/L6zeEqoEMHAmZrX7z2HxfXtV/MalnyzeM39w3rKHfTyKsvMsxBLwL+pZvsTXf
d/6FXQT9ELUaC+KCYvlbJ5HlSPN561/G+Es/hsUc1PoinfvjQaSY5jjoRgeMVhusUUFV86owgmx8
ih1DfJnsQJpXcdovEYVD3vVPfds21m1cFYy2dSFpd11p+0lNQgTTR+Ui67N5bMiNurLMOnymym0g
NfcKB+9CCg4hevG1mSbzFgxyRcDV0D+1VqOvKzl8GstwvHSs48xQKyd9iwyE5W5nT+qLpinPMQJ0
w+2EGh9JIrHTFdGS+k1byHbqOV2TF9swVT7+KR2+lQ7OL0uHx9e0y7KfPNjLj31/sBejhQGLnJVm
MYF9hpWjUtEWegZaSjKbvlW7v9cNtIooM9GqfKfEfNduMYBEufUtDHgpO/7eAPJPB2wiDhmPOpBM
LRXQ11LyfjpgGxBg2FPRqDjq1zmN3KQ7fXrXz3/2XvBKf35xFkvdHy7ww4tT4q3UU4MLJGJf5WC/
DPT1uOYzcKNKWP2Fsnj5bZ+Eo3+62vLXfLodEmWElA5Su83z25bQmxypmTl+SI71Fxf6q8/th2or
rGA1TQm3xTm6JSwkzZ5+/bn96QIcNBQVZjS4afrUC63+850wJBkj2+FOgqS9ZE7JsFYCVPHri/zp
4/p2EfrduBo51Sztn88XkbOp6UViLYQYj3KQRJUJywF+dPvh1xf601OwXIi2O2EUrOWqTj/+84WG
WbSzPSnttnNuGRMmxUazXyql8ClWV7++1E/viccZ5SOiqz/BjSgxLWkO5HZrmpFEoZlcC618xF7j
kUVc/MUHqCzvxx8euG839p+r/YhYCc0gJXRnbrdEZq4i3DNdp6yVZACRaRNrPMb71LB8mIoHDqd7
R2tv87Hf1lJwZyfDTIaS1PzFn/SzvwiZ4oIhV1B9/ogsteQo1u1+4jsN3lL1wTS21rD59Uf8s2fz
8yWW///pLXNmaxiIk2q3cnXuR0INxOz/+go/+xKBrUOnUhaoxzfW+acrSGPZj/Vc8SU6xrrpZC8P
1Cs7mS/WZP8vN/PpUsuf8ulSYTMqVlPU7XYoaPgPuEHopv0vd8PzCKEEaf2PHCMlHC0Ctop26xBd
VT3MaKvN4ojL5S+u87O3TNN+v84P38tyKOzKlFtphtGN4YbHjHa0eaWAM5p/0xx9Gf9f+FH+ZF3/
+Tf0+7WWv+XTx9aXwdyqMvfEjnYjMnE/DUQfj+pBmRJ2zP+Uiz+51A+1l05nB872wiUx0HnySPzx
UnUWz1YVRt2WW0s5Zi7e3eYmDwZYskTOZ6VfY5DVG2n76+v+7DH/fN0fPs7czLMhs1mCmd6sChKj
xvn+f7kCxnILsSoy7R/W37acwmxIHFaPtLhmdE/suoMc4f90kUUc9fmbQuDQSanERfLqfRCMsnb/
t9//w9czhbMThza/f8GuBSyxonn+9RV+/gDYxC4seYDWt+L807NWBZUWgk5hLySvxCxeE0ZRqT24
bakjEQQLgY4xIkzu11f9+df/n6v+qMyyKkvLjZKrWmp6sns8i0GI7ufXF/m2Qfy4geg4dP99bzqH
m8/fjhwJtWSM125rEGBjvDP02VOj3h+lr1FPXDip5CJAjZT+BR3np5+pasDd5myl8KH+8boW9YtS
cVzfStbkmtLo1ta9oe+iyZeZuHbNrhp+g5v+1xXjp1cE34m4GtW2+iN1kEo6GFG+8Jzclw9SiAR1
MxYuGcmytFfVv1gK/+JiP+7Ls6hCyR65mHTq6fcU23hX3ECHTkheC/7iWuo39sKfvkSQDOy2lKDG
j05mzeAoZ2RcrSGVIpYLQGeIWu1HBZVsW0nbCDCA3Xx1mn3X9yvNPuaptdaZ2tdIbBiS3oRtvsPp
j83BpzyaeMyS8AV4Mj6e3AsKwDJZ7U25QneJdkoqe4nzIBeBG3UFEp3k2BovRLJ1fG2puGjJU5wD
MYhPonR2Jq0hvX8Q6FtMVMAxou8y86o52vR67qucCg2IQUmtufZ0ceRDHF+64mxLJ2WkSg/vjPKu
m3Svwt2RfTFCMhDV2TML50AEzZ7UVNcKek9WQ7/vOzgA+xGOhG3RB0vfRdO6hoTCuTY8m6jGEG6F
2Z2n4pJMp17objgYrtz2K/RrLm+bP6Fw0Els1FoE3GQiThYhH1XikjEsz/Oqmt6bCC5PDdPJUDdx
jHDdmvxCy9ZIJrysfB/jt1Ya73uz9dPgZQArkyKxp7XgoRvxZcKiJY2oyeFapDhxCb5syRO0ZELS
dbF31Ho/6NUK7aNnt+ZDqAKIa8PDoF47vJVa+l7Mb2N0pUYdMO6Pks9HqxOvz/MNyijPQpyQdBey
GV25a6GXn/Qmdotg9gLYQZljb1S1v2rHe42PQ2MGP5P0GA36Nb0FVx1QlaWD22kPOsDztCXxZ4ZZ
FNIVNW+EPhwrkBJatiMnyLWX5DIigsaLDQZdZJKvqY9B8kC8iDvIClvi7CXxeyrfianyQdAjgyhp
nRHChkwsLWS/MT7m4Knt3sy8WVcM7SbShdjsN41yypTQC+xrtbrRmJ1lRuhK1YRurUUqwNeqZC79
YFciuWTG1VB1pZfKwxEF6ioZLRfdrMdXsE6k3ou1BMMc6fFaT272pRwMvxkzP7SitV3e1tqwq5eO
h/Y8ICczqgrjLJHztHLHYsb8ex/otps3pgdaHK+e6dkqlMBnub6f+xtVa129PC0xL5Jyh4PZmykI
oA+isaxWRXxxgvfBXHRcuQcuy7UTrO4ApxvFg3K13Ff5KLV/tRT81NnKGR/MtYaimA7UH5fVCLv/
VBF+vDXCVcwENPbUVXSacTKuzCc4mUxT/2IDwU3C7/xx9SEIeuE10JQkge+P17SSVG8VDE/bWVWZ
bsvFbZZeMsLyshEGy7KfaA9Woe/oum0MwP36iOIzLNcxzam5Lk62Ht4rRDG4fZOtjQxNjY59XA0x
z0vKLoZasDSgHWdY6zWdpUHzpAhgkf6iFshkhINQ8R2fuTdVu5w4IMN0hfqEw2qjpgVWCV40xvDE
ZREncOhEv4p1KMhgKd0mwCgdmfpd37/D8obUBebMjA8OBnbcicNaM1/kAY948NZY044Q8us8YMsP
yqumf47Nr3YKYsxe/P3gFaZ0NQqGAoBn8jDekzm4G+N2Y6SKH0Q5oZXPDkqkLGk8uZegBhztEKlM
fmsO3XqMb4DroJm8haLW4HLglmIYYqZKVBISQP1OieE2OeqqMcWVVdON4x8TKj1+hKTUJ4FL0Kwf
aDIef8Mr7WFdCvkumKJVjJlbNMVmZHvvrdjn3IZxo7whzHTVK9A4UUSC/f+iNNYla8hjGsWKQKIX
ze63gbDQay6rQP9GVNtOmNbJTGNOD5LmGXO3DyvGi8FALHt0M6RR7RrlwCuSnJrA5JUWj1NrveQa
4bxduxk4b7sE1h6jMDkay1mqsF5KkWiuVqg8mZK0I3lIXZMQs6JwwFv6qto3WZzCkS58LCyuXCGd
pcku68eIE0bDiH82NwHLlqQz4OcciD6dFNrytZBHL5jQHdf+UBGc0Y6+gNdQaK+T8pK2sisNtm8E
xiWsUlS2+sacX4v8dVSeUu0Gw5+Nmd6w36bsMkoB/yHxNCG2isIawOoU5fdGc2sW10I/9KwtfcGk
9alUW3cUDSiMr0aYYt+9i+vJjXvSUyN5pYVnWwv2SbI3IXKBzwCuhx67SMhSOgbzgzPg0FJOMsNV
W1qV3Emd8Aob8rod8+0cYeV4suxzgIs4NzKvLT9yUeAsQmEnPyf6sJ/tU9GNTKlWWl+6ERHM1h2O
lFFLXFRvfDMF7+KzLsChLpAi56YeCeRiex+qL6V4kKGO9WRmFCbQgRm30ZUZkH3er0rT8iKHBm98
TJsJ45OK0PfrhE/LlsS+GXVPJXkWupho3nswdFrzoerSwTbCTT9pGFlO9kg6IJmcreDziVfTDM3u
1KJ87fmWkCNunOJhGrYEr7tG/zVJbhdFdVXthAEWoiStuL0lsccrlWcdkEI16u6UPU7J0yxetRbB
csJBc3zAbL5REm1bpJdJe5i1e8mGuQj8QyLwMxkTKvbl7e43QJo8TENBeDXICL7jfN2jnBf0BEUw
nu2WKD65cSeWgEpt/TIu/Q6qw9znBwkuQ0V8cq8/dPJdPe6UfGsHstsZZ3MI/A7Bi2HCVrQTdINv
pfQMmQ2jUMoWKvt13SIAJAsZVEOnuVjzMFZMlGWUK6Y4xLaMdQl+CDVK0/uZITZJmmxS2htNlHuw
tLx6Gc2lx0Jej6njhga3QQRKWBJYYOf+gJ+1a9acz9etmO/bllAxMW6S+lVNS+L8bhJcXN1HqLxM
MT14rV0tIb014dFVdBIjhDrWPL30E4Z0qfzSw6rrssvMR5MT5GvpwaqpCA7ENCu9qOp9arW+oaWb
UN+VOfmQGSv+zkQVn5q7tDiM7DzVfK5CcqPXQyS7RZuvRUt48cBSXr9r1ej1ZbXGGj50fOJx4hng
JjIzJ51JWSkEuIjzZH21krdsbN02eRkKeZUVLMbWWzuFK3N4MajgpAZ4RXcqqS6z9K1u1Nu2IQ67
IxvOmDdoTq96oBpzo3kmGEZ0/JtIaTYtlezIbphNBiAv+GBJdVe2ezVgL1EQrobrsXi101t7nPwk
JJA65BEqxXpoJVfG1DEPxnoMIl8m1kHtO9TkOAzzYR3U7xCVPRDgXTp5lVWvFDEwE2R4CYPFsDG7
C0+MwZZPqLWPrGMQh9dZSS2VqEynY4hcK71FDa8p2CysVUOOtxpk65IEWCaPQ3/dYZm3pte82gst
XU8z5EDp3slPs3KO7Msibe/ISs+69CiHPdnJZDJ/sZrWa/LXRfA1DpexfSqGS8b719SvUgW3I8h9
I3/r1Yc2fzTFXokqd4YExNjWVzprLS8hVvl7yQR1xGRc8K7mxX5AWCWcCjrBIhrLvWm+VqmC8nhw
Taoqo2nWbYZkU9b8IiZtSJVc8OlrtJZrRZNWg0iuTBMlCfnYav7GDoDZgaevocTOYJoE6yi4sZh3
G9F5BNvYxadmQHXKCTxlY4QMJEfYMmPyLDcDBs9Y550NdRRthHABF5gkzsvk0jhleZK17BLMha8k
/brRP2aghilv5VyHDOBfDedM6pFLfeNq6iknDCHJo1VkHAIyhUjPyWjjRgpyMfkpSV8NS7ltdcG6
3lNX1F+CtLm16qM87ITanWXb1/rwNrH382icq0AAqTQM8KHNTUDpmxjtKlwMEv0D3y5GgtM4XBnN
hdivC96o0L4dxl3f5Su96zlmvcdsjio8USwuHszRtWisvaVddawbhWRfN7PtjsiFxUM9E0Fq3SuY
i/Lydkb1Y/V7Z3Bce668QDoXMXQZ8w03jMPb1mJ87RX5YKNJGNPeVditZ3l6NnMUxy9yVV8TkMxq
9FVWxNoIyQ61kTRGm8h5mOtzMF4ZMZLHOMP88JaOX0QiY6MgsJx3EU7dGtFFYyCwjVAxFLlfc7zI
8gCThHqrxgh+SUOtq1Pa8IXx8baB4VdQboIGNVL4ZSxTr1BuxXzVceAwohPI/Il9olItd7K+iJ6a
SSJMhex1O770UCbqXHOHBRqrazsNFmrCv57mp1Y/DN0OeTRm+ZxD8Yjq9zwgXMy/9DRAE3WXj9cq
j3gkjs1wmaEnWyXpp1A3RWrdN8ilEv7mJyKgGf0TSSdK2P1oHZwBjpCD+/QoV9uKWSeN8PWc5H5g
c5PyK/OMlTzj0eccVc4cKHB0UjSAat1Ube5bSElMwpujANvRlZ5/hPkxrk9k3roQZn0SdO/TNLoG
L8URpPecXgYiiqG36I9KkHrxzI1AE7ZJqJExo0wTXwWuLQopDtNIO+XABdy2G3hZZvtLNenXeuG3
PMO2vKqg4NIDtrv7MrvXZ50TVL9pkq95GJwpxrv8Mc8VUjpZm6dzC0tRr5ZIu8FL03eDnNyWPWzg
thTsw2BtsZCVByNofHLw1qb8DQZUQN2uq1WsBruyGZeydNOiL+3SceEEudGivLDjlcQyiV13X04j
0ZnyBuXbWq6ya0YHaDEkrwlmzpLDk632j7qGcIU1srU/jPJrXF0aA7qujvwlpTGKk5ZFhtOrBHO4
Y8NmZ7GriXN9eNXTvhLK6McjTj+D79DQCWJIKOA+osLZjMBLGIN6VPIh1EXsuJl+29S3XM9BB5/h
Tk7U9WK2bqbOc0TOdmzfxuK26B7i2nrXRs73ZXcVaNFmTuMPlLg5fKPUeDJkbrPVdzXjlZF/hejH
TakN9emuoiAbpxO1XBuca/J2g4TNwzoplIMFD2BuKoe2vqvyI8ukpzk9gDJtNRfl1axgyqNXMNKd
yIPEn1NzFZYf5Ae6KLM8S6u2jbir6skLp+0oY55qxKoNbqaq3Mf2vE3qbGuliceWrSvNyoSwCabx
INifIrLNnGDehOVjGBSbZoHnm0QkHeQZl2E9Xs/RhY0VEEy2FmztvbK0KDJv6qe1wxRV1G/mEv1V
a8h/+PyqTVA2e10l0rED/JI9Z+H1UNxPFivkszabe7NvAXh9ZHGzd6jHBKnLaTfyBcVuH6lbaTxH
ieUG5buYbqTSdLWo2vYRUXXwOXIKAZM81ar0Sa8DDRxvw8yiaaOxUJY7nLUbzIUPaW+tg4Wxz8Mx
m9QWHP2girpOenQUkM6j4WO8ijFsWLGOYfJR4G+cJ4+4RpziYi3B55RthGuTsUB5MMslJ6GKHUbx
DVZtyDlXgUl9LGWrtrC8kH9um5uSYqvJzyFyMru5y7XXdqFiqsmeYwF65ypK9720E1R7epdvOufJ
UmKvK78azgezxG0pynMQzFcVsOICO+P9lMR7tZSu9DZeFZbtyvq2rN8G2i8DxIJU8zk09DKQ5Xzd
wQazzYgDw7gOi+NoUS5KDgQAdmTzvm4Hz5ruMdcT5v0+CrIR9HVdHGt+eHQav8W/I6cPOS0Qrd7P
0YMJYzqQM6QcvtGVdKUMX55IE+R0AaxNpkYWHCZaq/AqLXIdEXo6DsFujvzJULYmHTlpOKuB5afx
k6I8NWWzk21rVWdiFTWyF2AMDqAHzs09AXSUUdG5cuxtbPIidvaqmG9LloA2upL07iFjyYjEfGOq
14lOrm9/ITDXTcCoOQHrhB74Ff7+KHttxsdZv47o/4UJtRmdyjY3Eb04a4caJRXxOZqMjYbV1OkK
r+Dc1OVne4w5E+NnNCnEeFOFpXpSGhNNzp7w/9k7t+a0sSwK/5XUvEMJ3XmYrhqb+J7ETpy40y+U
YhMkEBKWELdfP98WEFtCnen0UdWcqZp+64APYnP2Ofu21jKmpzEpZAilaD/66s7fi0CENbuDQeLq
GXGJvvveGd50iPRta8Q4/8nGdK+2kFCMCUTD4fysL9R3+YL41j+jP3ftPE/vN7l1BsSJexLGbNAq
nRyhPCqEYwA7sBCeFFyIyRzxxLXzdUqyPUzv4yXU4XlvsC4ENzg5i5ZfnpGyWS+h0p17Q/q7a4/Y
KVkv71YC9Ifwr+hdjYdLbx2fFtGic7215bsAxQVjfJNt52eM/VwZQHUTz7o0rM7NZPt8QS6yvbAE
1ZutrWsrsk7jTufW9FYDuxPxhZBGLwADZ4U7sAEHJ4spcjcgeZPZ2RoQsQ2YOB7nlBWm7/vmfJAC
NrYZOKQtOFr4zveeu3beQg304IVMLWzNTvJ2IsDl9SS5K0AyjyEbz0A2DwXiPOkx6wTmGWLZyxwM
9MZAFABM9AJstAtF9xisdNYvBhHYaT8Kv4VgqYVsG9Gf83i5+JwI1nq8urB66ZnzbNyCjb2fEb5P
QFIx439rdqbnHphtC6qNwrPexj1ogi3Q3FNQ3S5V6RSU9wK0twPqm0GoSyNML4pldI0675MFOjxZ
xPeJMyVN375nBPQPkodLoMvvJqDKHSoM/WlyboM2H4I695dcPElUXPUmz1edIcB0CAwvJiDVV/H0
MzNaH9ZgqwuIJDIQ7fPIu+sU3t1GkO4raxDNhiJ3Cwh+Choe0qX7Dej44RApeqhtT2YMHEbr4UOc
QgwIXw089IKvLxa9O1rKv6MZ/8mZPF/PjeTOnArJX37zDDp/utp+YSL3QyfLP9vzZ259Ilu4uQYb
P+SymriwAMyizdsoZGpmuiVV5hi6dXP/Pow54OLIWXPKwbzizq0M9j5icSe1J5DpJ9/669VsEHZi
Wh9EZ1R+3Yc+BBoDB7bQrWPjuVMb6r0t+TVos/hklmfrgbFOJpecnaT5IaV+21ncRpvpV2jQPxZu
ep2E68uyfPl/4i8otV6a3Ed05A9B3CyNy18dBsecLm1vNOkouyP2Xg7nHCYigUkwSgNthMeEBOMR
NOdfBscQn0b0gnnzvrdTzX3BQqDiKOy9bjmJDoLiF8AQvXKQpFJ2htQLQCwDm8z08F9tBMpyqNTD
Edm7SBFOWF0b0fTrarUprjZzZG0QAqUrMKDKEp+NkQhFWv0mHTpvn03zyxoJUX/j3Bt9SHDi0B9A
tOGeZ8iN2iltLnth3g1FiRTSv9Vpijjp2Iu88wlypSsqMBvkS4t+/9EstpQ4OuGls6TgYPi/22so
ytdA3hFGjToUW2cTAK9EqVEueehqeB0jmJqE9lWRcWG6SKk+w5mAd1/2Y4YpF8kUNoLh5dRa3Ww7
IZMT6zEco9J+EoXWiJlno5N+Bv4oXaToBj3si0hUXcdO/DEdSiqF4Ku3mt71EYCFJiCwRRG252w/
zTbmfdGBuDRMz2L/+Q8f+Vjofz7aqxyGUIdsFIHZ2bJ4iJbjhynCszOrf2EM7W+OKNJ6xno0Q6I2
3lrXpBtXeej+noiG7XroJ6ekFl87UC6kZuePofv80B9TxUqK5/ceQrhWwcU2XMxpASKSO87GDwyd
3c9FPbezGd7myOkCqz+nYUH7b947N/qQVDiZBUArolq8THKql4B3T/ph8mCh0uuPZ9dQcTF6ulhs
Ng9bVAXzs8WYXXpjLSFQOFlThkaOs5e6FDwnvY5DSQ3pks61aRhLyNITd3qeUQHwg3k4jzNkIlK/
OHEhZdxehMmzYQw6Ofy8p7ClULf+Xzls9uehnANvSw2Cu2KUbT6O8iJe5AcvlFdvU7ou9+nfe9PP
F9qrH9xv5ughBE8z9JujfJFFjwuTQ6emjGBzpPyY0fnxYOVT/3SdOEBzoXjiEyDKEeJBG1VZ02S8
AcnCNzHK8vuXOz5AfH5z2xdgJyMwIibFJ76y1J/Z4udfc2fUn7/np1+hbgpL3RQ+dEIAh3ymdn0K
wEhBVE0BDJchYRgfoBXaw97++6aobIqeYbFLfnlH8D1fNoTfZYDf6aHmBx4EAgZ+8MqGMLvg9CA0
ha6eYWQwTJpuCLnpftkSWO/FFCAWmfbmIgZQhqgHUzg1U6DJjAKoyxgrqDLRa9bUFBb9bTVTCJ8W
KqQWuCpiHfAfREC1XcF4usDAOU14h7By/Pd9o+HE/Fv+UdkVcmKCVOF3Rx62VPA+MgWoeqOHNRii
FpEaTU0hBLFquwIHgf6ZK15GxUTKVAz1+vKA1o2pNQaE0XToQTyrrYPsbrXdkNzfu0cBMvnse2h/
oaQTIaGaKcwuBjCY+9DZOTjglHcEBsAC8FVA7WqJtmRlR2AGOKZcAb9yj7qCj9XznODyVzZFj6hJ
lKDKYEFAOxVTOOCKGJtnFBEQhL4HZivXKOyNwGQgISHplZy7ZgiDswNwINGl1hGF+jVaRgwMEZuc
BajqCGKiYooeTC/Eli5qOxQ5S3ylnu5Rr5uUWcAvJR4uiQVSnNBxoZfOdVk3hdGFk5lrZc//Je6j
pSmcOvvpr5ui36V2IvJKXJI+zBp1B7G5Wyxgf7rHmaKqqnZomn4XOQlSUfgiTVCVMsNdcRAT5iIT
EDh1NVsIHnY3ln7paL+N+wNQNJVDjkQ0BcE+HZsCdluPRA3epR0xrpYOIjBCxV1B9uEDTYT8inzL
FGK/yqaABIvDklQNI+l7kwqOXtEOAOktkg/wmVKeKL9qxRBm17F8QMrQ7QvOQZBKem4JEgVFU3B9
2MA1elAHkIqRax3tCWj9KXczmUDgoW9uLlAiNVOQhVG0ojxh8NtLgnF8UFCElTRM70hTiJqULSGE
drD4YA/6JwLHrviHsOW58OHB8AQIiFKepv4haZOaKbhIgSqSWHAa7KiQaqaQRMxwHEgPkEXX+fbY
nWEqqXm/CxkImEQQYUhpCsdIfVfA+gD5PPBO29/p9mB8/WIKR/3UpHYFGQWMKz71KbRQ6gUbsyxx
U0bek7TpGl7Jb6joIDDViSVIMXZFy7opel0KmrAFU9XRurjrKEeaVDRF3ZVSnrun9ak5iNO1cB66
2/u+h667wm2nVkGVTthcKGbTOq+ZwkZ8SMrcdO8Px6qeZ8UuXVY4NqW4C1xNmOoYY7ApUtVMYQp1
E8Q4xJo7fUJNL9N9aU3BFCZ1bDRI0Ew8/O41U/S6vGCRxLNtNM5A9vV3FUt4Ygno6Ai7KXaXMy21
CIseKSk6WZqUd7Uta8Ixqn6B0Owi2/IxBCmZfxxWSIwJ1NNxZTBI21K3FBYU71KvS0UGhjeSLbjm
HCHkrO0KmTyiimHTDpKyjaZHhaN8gRB34yA+qScVXqMUHqqaggIW+4XCFnKOvqNvS0xyJ8VdQVgh
VX3OxX2x7mhXUOr2oIwpu6TaFnhd9aqmx1VJZg7pDyFUwyABMxXIWxFY+EIVp2+xwlXOS4kqAN3D
Ou5Q16ThcxRgOV1huD/Q8Gl7f+xLaypXKWmpDZoLyVjOCqYm6gkIhJq8hqmEJEzX7oernpN6fE+6
HpRjDLdMSmvHhCHsoSjnmii56zxE4CrnpOIcFGSo8VKj4sAQd6vco05XxrIIyzXPSV3lnFSyD5tz
AoIOEi2yLVasmAIVIE4Jn+IVOuicmNrmpG0kYgYhEz1yGazgeqhHV6VWElbos2l0HjiSB1cMKWgP
sv2Jp01TMlKhaa3sChIxGF1EVHh3j+q6K0TqSs0UOAg5hUNVk8I+alh1S1hdSpoGjKEuKANm83Qt
dUuzW80ScEiz8SEeZD/sZb9qe8LHK6juQm26l6TgA/Ur7wrln5olZE+QZImwAKmnlPdr7sEgARIb
Yi3r0CnS0xRtRBXU8gkkycy5R4Gq1kxBq1Q2i0dmLozk2s61C+Wf2q6gvCvwJE4DihR7IaiKg9AK
guCa4q9kJruusp67QjmqML1ur993YGsuUw/Gtmu7Ap1AsneOCooVezSXlqaQSVu1XcFZAY6BPIvQ
mu55k4Mg70OBlzaRh1iJtjUbkRhSM4XJJCa9PzIQivqe0TsabqfBTv6+3zLapqSecnjFnnBJwYi5
XQjrhc+85h496hRM5ZGOQdpNqVvXoEKoPdX2BKbwmEnFO+xdmY5juHJounJ/cGBSt5EyuLYJuq8c
VVDSBPrFxASzaLsGes0U7AragzRTKe8KgkzX6q7HdlbbFdwfJrsftQeAjTY1rLqDABGDPobmOvU8
7lt9TaFe3aXQTc/DKr+l7P6Kd/S6SLBxj5KNaY14kKaN8pboA/gAIcZgHpNFAsCumMKk4EnM4cEe
LhhwfQ8K5ZSURIyOuU3N5kX8r2IKoyszBKStZUGHHL00vn6ZmK8cXcmZyTw3kAZScwPgfd1B2BWU
fZli9ntaj1/5yuUrwcsBFEUnBxBYKe5Y9Q+ZyaOciVJteXfo6x/qcSZtIFqCUq3ZwUlZseIfoD+o
Y1g+E84E3vqG3H31mIKOMawZgoUDJ+aUYhsVU1D0l74huKBd8qHtUaEeU0hNE8g59UwOT6RgjjYF
1pECHrokZS9I10OzlfSDcj/YKKIGpLiOxne9LuahVcaIrzQJtZ2oEICCWlRB+kEaytXwootXPSqs
Lpk5E0l7DL62p6bAutRMwf1hgCmFX4ecs5zfPXYQChkUuhlLkuldXY+KI5W6XwaKya6gUCetc1J0
1zWIUyqnpk3YzZymxfwiVV59i5pHtEt/xxQEUBTrINo3PZpB9VapwAuZN+I63Q0narsrlC8QKVUw
wwwAn0EBwuujUrdDK1UCMAJuAabvC2Z/Kez+C2/6QYxzGkbxU0mJE43yJuacP3vDgQXm+PXXhDcl
t0nlrcKRs/v0HRmM/P9vVcqcss3z6tVD26f8qP3f77/j8adXPuzwxQ7/eBGNsiB7DDflC5v9k74P
ZpDq/CsOHsMiqFCzMAflcK8d/q2Z3+fHSfmz1U+C6Sg7rHP59M9/UNmXtdnhL9/0mDvoL669Oazy
amXiVPWVs+Dpe5o9HZZ6tTxXRAvLj5ZB4+qEJS2sjiJD4+oUGpVXPw3iMC2Sw0qvLMPZoL56GKDW
vFiMDmu9Wp8qkPr60SIr8sNCL4sLGFh98Tho2JCCKFVfOo1jfPiw0qsHb8NJT9O4mH2LGs4ACfCV
H/5dFMCONwieGn5VOd+VP2Aw+pQu0sNCr4zThrPCJB01PXgbrjoolkHc8NxtOOrb/DH4kx+1DU89
i4Nx3Lgj2/DTsyxIkNFqOGaEwUB5w5wHT/nTqGn1Npz1PIofwwwivMOTvuxIQcWpP32MKzUcYoIz
U1+8iL8flnn13G246QXHQDNHqcx+KD/5BZfeqMFTBUiivvgoecoaTneBZrSweJYEyVPDCSYz/urL
R2NospOnpi3ThrNeRHGcf0uztBiHh8d92Toyka7+FdJ41rTlJZNSXvwyeYqC5M3HaNl0nsnQsPJH
XAWPU+QADyu9sk4bPns1+v59hAJE0/ptOO5N8D3YjBqjMrcNz70hSWgwTRt+e9N0IsgYn/JPejNq
tHcbDnszWjYcNTLFr/7U0bdRtmhYXQb6lFd/FzxFjdtQRkhbWD0JFk2/p9eGi74LsqjpF5WZthYe
PVs0RTNeG+75Lk2ytMGBZPhH+cnfB3keFIeFXg4uGeBRXvzDNIjTNG9IPGQopoXlR6PHMP3WuGfa
cNQPhKnjJsu34aof8sdRGjfYRqZklG1zG8SzNycjaj+HxV5+W5kEaeED8seGiEba1eprR8kojoOG
gEZmJNSXT+PpYZlXVmnDV28LSNpnDYu34aufgmQRvPnY6FACc1U2zKcgC/J00bQn2/DXTyMYxNO4
waGke6b+9Is3V2mYNO2aNvz10+LNTfHYVCuQFrT60xezRVN8KvQ7LSy+CpKk6ZyU4V3l5e+DTZxm
h4VeXEp6j8qLf04a722Z91Re+wuVsbypMCatQuXVH4IpEvUN3iTdtxZWb062pZ/VwuJ5GCXjZsWR
/+ysTW2MHzCX4+bGgYC/6c+qzRt5x2M8CrLf/g0AAP//</cx:binary>
              </cx:geoCache>
            </cx:geography>
          </cx:layoutPr>
        </cx:series>
      </cx:plotAreaRegion>
    </cx:plotArea>
    <cx:legend pos="r" align="min" overlay="0"/>
  </cx:chart>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olorStr">
        <cx:f>_xlchart.v5.11</cx:f>
        <cx:nf>_xlchart.v5.10</cx:nf>
      </cx:strDim>
      <cx:strDim type="cat">
        <cx:f>_xlchart.v5.9</cx:f>
        <cx:nf>_xlchart.v5.8</cx:nf>
      </cx:strDim>
    </cx:data>
  </cx:chartData>
  <cx:chart>
    <cx:title pos="t" align="ctr" overlay="0">
      <cx:tx>
        <cx:txData>
          <cx:v>Average Response Time by County</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Average Response Time by County</a:t>
          </a:r>
        </a:p>
      </cx:txPr>
    </cx:title>
    <cx:plotArea>
      <cx:plotAreaRegion>
        <cx:series layoutId="regionMap" uniqueId="{EBDB4F17-5B1E-4FFF-AD01-33D8A4BA65FF}">
          <cx:tx>
            <cx:txData>
              <cx:f>_xlchart.v5.10</cx:f>
              <cx:v>Avg. Response Time</cx:v>
            </cx:txData>
          </cx:tx>
          <cx:dataId val="0"/>
          <cx:layoutPr>
            <cx:geography cultureLanguage="en-US" cultureRegion="US" attribution="Powered by Bing">
              <cx:geoCache provider="{E9337A44-BEBE-4D9F-B70C-5C5E7DAFC167}">
                <cx:binary>7H1Zb9vItu5fCfJ86WaxyCpyY/cBLqnRlofYcaYXQm0rnFmcp19/PlqWY1FOWlHrPlyhgY3ecKhV
XOTHtWrN9d+H5j8P4WqZvWuiMM7/89D8+d4tiuQ/f/yRP7iraJmfRd5DJnLxvTh7ENEf4vt372H1
x2O2rL3Y+UORifrHg7vMilXz/n/+i9WclViIh2XhifhDucra21VehkX+i2tvXnq3fIy8eOTlReY9
FOTP95NQZN7j8v32BeXP99My/P7+3SouvKL92CarP99vkSrv3/0xvMMON+9CMFyUjyBWjDNdNjRN
15muyroi0/fvQhE7z5clXTujsqLJmmpQwlSZ4fr65lfLCPQ9O+8sUcZFu7nwJldPPC0fH7NVnuOZ
nv5/QL31HHgDi7cf/uVuD/1d+zfu4OX/+f4+9orV47u7Ylms8vfvvFw8sZW1lugf9P7u6c38sY3Z
//x38A94V4N/eQXr8MX+3aVt8H6F6v8Nlw9uCbiPCSzTiME1RgknVGd8AKxyRoErMXTKVEXjOtnc
fA3sM0cvb/sXjL2N7XCBPeAdkpwSwuP8YRn95R0TYiqfQSB1g2kGITrTlKHs8jOF4APgqkp1lTON
bUO8YelwjHdW2APkHZpTQvmTCMv8qCBDQcsKVDSlVJeJwgxtIMfkTDEMhctMMXRd0clAQT9zdDjG
wwX2gHhIckoIz0QY9fvLL/Th7+3AkGJuUJlqmswVWSGqPgBYO2PcYApTmaqrlAP/9b3XenrNz+Hw
Duj3QHdAcUrgmstglW3e75t2zG9jC9mF0QThJJpMDWyyW9aVckYIw94sM01VDKYD+9fgPvFzOLbb
5HtAu01wWsj+2j79bVyJrikE2+6TUawMlbJ2xqmsU9Vg0NxDkTWX7T/B9AfxXoj++Pkp4XlXnL1b
lA/eaiMwR5BWhZ+pKgemHAaVpil8aE/JZ5RyhaqqwWUu0+FW+8LT4ejuLrEHxrtEp4S0mS0fv4vs
8ZhAG2eGasgAk3KiK4zs+kZEhmOkcGhu/GJHgJ9ZOhznzUO9rLAHzDs0p4Sy5RVZeUyzStHPdHg9
isK5pjBd04YqGv6vqugQZUpUVdsR5jVDL/j8wtx72/0d0O+B74DipNBFyCwURXFUbc3ODB2yCZ8H
BpYB43jXtpKJzFVlV4CtDT//AN+dJfaBeIfolFC+XD4i6hYfUVH3EQ7Iri4rqmZwWMoDiOmZSmRZ
g/nMdQ6VrW7uvfaNnhk6HOThAntAPCQ5JYAn2TIOQu+YCCO8wRXN0IAwkXVEoYdbsQopp8RQfhLD
2rB0OMY7K+wB8g7NKaFsZqtqeVx7Sz+DH0R0XeYAkxo65HTLDZaRhIDRDRf4OcuwLcfPHB2O8XCB
PSAekpwSwtYydJE82bzkI7hOvaJWNZ0oiqJRlXBjKMbamQy3ickIcBlc2QlFP3N0OMLDBfZAeEhy
SghfB6vVgyv+Wh3V4kI+geqGrskMUQ/EK4fbMcRYQR6RGPgUZHknpfSDqcNxfmONPaB+g+qU0J5B
XR8baa0PSCIlLMPCNmRkjrYUNukVNvwnTTH6sOXQQV4zdDjKA/o9EB5QnBK6o7JahsfV1cj8Goxz
mFtILOjGDrjQz5whMm2olGJb3tx8bVU/8XM4ttvke0C7TXBKyJqZqI9sabEzAksa2SJOYVSTnWyh
fEZUqiF2LSPdhP0aUZGthMOao8PRfX6klwX2wHdIckoIW+HymHkHeEtI8gJfRCUR1jKGAWpyxlDC
g5oASO1O2qHn5QWX349nvabeA9Wtu50SpDdlES+jjdgcwXYGqExF6hd5BU2lqjY0nQGqBt9JM3RG
kd8fiuyan8OBHdDvAe2A4pTAtUQYekdNASvQyCpXNQJTCrU4qLba2W25oamqjhIAeE+7ntGao8Px
fX6klwX2AHhIckoIz+NHbxm/u/Wq48LMzxhF/AqKV2aGrqgoxNyymJE7hB3NmUJRCiCTYS3Wa7Ze
oPptJf3mKnsA/ibdKaE+W8WP2VF3YnaG5KAOgYZ/RDjVd7fi3nYmkHyG4tmdyo41Q4cjPaDfA+MB
xSmhC31VHr+2EnsuaiplgNznkIZOkgJ55wRpiTdLPDYcHQ7wzgp7QLxDc0ogXyP54Bw1nKWfaZBb
+hSp2qngIWcU/jHXOIUu380grrk5HN4B/R7gDihOCtpgGQqRH7k2miPejCoPlesattuhfmZnGrxk
TdHW8a2hVX39zNI/QHi4wj4YD2lOCeWrZZ4vyyM6Tkg6MNhaBkVtLOcIaAzj0eSst7t7uwu103Cg
BoGsNUOHIzyg3wPfAcUpoTtavbsThTgivCjHQ/sCQ5QZZRyqocuIVW2Z1AhCo7mFMVTHP3UuDTpY
RqueocPhHdDvAe+A4pTgXaAy+pjYojpL1ghMY0VR+xrZXdHFxktRMw38+84VqO/XccqencOR3aLe
A9et358SqiOvOW4FLUJZqHVXEdBQFNqHqwYiSxGelmUV8WcFFZhPVvVrWJ/4ORzXbfI9gN0mOCVk
Py+DMgyPbFERpIz6LhVsuIzJwwiHCosZjaJURUEWSmp7j+k1ts8cHY7ucIE98B2SnBLCfdX3uXDj
fPOajxOKRjuhLPdV7uuq2IH8wisiyD2Qdcfo0Gh+YelwkHeX2APmXaJTAvo6f1iJo4oyaqOhfpHd
NVA8+XZPoYqmbyQkdHWddNh8Y+sM8DNHh6M8XGAPjIckp4TwJFw64XHD0QYKZ1ESDRTXAA/dX3SN
MlRcMmhs9altdBvhZ44OR3i4wB4ID0lOCeGZF4b5XyITpeNu3vQx9DVHIwuik9RAqxl9owNcgQes
Y9em6At+owP8NVuHY/3mKnsA/ibdKaE+XT7mj6sj11liVAdhaF1CEQcqKneNMFRhIiotI5f8Rprp
maPDsR4usAfMQ5KTQtgLH9wMY1uOKdRwoiCtqoZk/1MmcYix8lQtTWCloSli1zeebnj6ByjvLLEP
zjtEp4T03QoDekR49CAISuIRAIGxLatv7NFoTkNXC2UYD7CTMt5wdDjMOyvsgfIOzSmBPA2Xj0cd
7oDqD3SBo71Q09fNpENZJmdoNFXRoIhs4xsb9JqhwxEe0O+B74DilNCdLSMvLI7doIbaLFTuoBra
4H0kc+AwKzDQNA4LDCM+YJD3hdSvgyIblg5HeGeFPTDeoTkllBerYyMM3cwR1NI1NITvjmdRzxTY
1wrUONGBNR1kIXp2Dkd3i3oPZLd+f0qozlZZvIwfj5pfQv5fU3XEqpFfkmWDDwsv0SGO5DA6xxVj
nUMeyO4zS4eju3molxX2QHiH5qRQ9hw3BMxHjWliqoeBhjSGAsu+WVjfLcBU+/JLgljXJua5paI3
PL2gtL76pvv+9iyA2c4S+wC9Q3RKSN+IMNiI05tv8vcG8iBXjFim0feIryfhDTtMkStW+1IA1Mxj
P8aXsLn5OqLZs3M4vlvUe0C79fuTQtWLV8g6HVl8DYx3wIRDVMGjJ4kOvSQF49MMQ+MK1yhqb4c5
iZtnlv4BusMV9kF4SHNKKJ8vH4Kjz3nAmBaNYtoO66vlGcRzq9RDQ+epgVzFT9ykZ44Ox3i4wB4Q
D0lOCeFLTDg+7pgHfkYgpAyDs/oJh1DEA4DlMwW2GAfC2KRRLz1IHq8ZOhzfAf0e8A4oTgnd89X3
76vs6BKM5iVMOKQoljXgCw03YIpiLYQ5GIGm7rtcoMZfW1kvPB2O8e4Se8C8S3RKSC+W35ft6rhz
l1B1iSIPVOShoempOGtoT6PGB+PxUOADVf7GYOkXng5HeneJPZDeJTolpO+WcbF8d3v0ImrUcKFi
i6AIXn2jU5xjqgcmp2EANTpSd8eX/mDqcKzfWGMPsN+gOiW0F8ed9sCQcILGNlCHyRDIGlrY8J0g
xygVgFxj/Ic6KKMGM4fD+5p4D1xf//y0AK3azYZ4DHcY5R+qjhJMVGpBeBkfph367iWCDGKfVRp6
TItV9Q/6xLeo90L01d1OCVIYkDiX4rigwrTqY1hoN0TjCt3NNRCKTAOMLBwFsDspfM3Q4aI6oN8D
2wHFKaG78P5aZX9z5snvhbD6EVoIQmISOEPnKJygYbsDJuGhHa3X1HTTkfjagn7m6HB8hwvsAfCQ
5JQQvlzGOEnmqPl+RKJ11Neiq4UixGHs+EhK35OGUDX83/7AlmEF9TNHhyM8XGAPhIckp4QwTgw6
qoLuPSMFvUhwfrC79qMABkEOJJSozFFbjYCl3M8R3+wO6yD0Ez+Ho7tNvge22wSnhOylh1S/9Ihi
js0bPoZRhaH+KJcFrsj0cpnsTA3HbCVUYz4HuIYj0dYsjcDS4Qi/scYeML9BdUpY3yzD6J25wvlZ
x8Qa4x2QDEQ4y1A2Ps9WQLoPgqio3FrHuhAI2dz8OZ/0wtThaP94sJc19kD7DapTQvtSxJk4qlSr
fRUAzgJ4qeAYKG2C/BKMaRTSo4N4Z6jWmp8XgH47NTyg3wPgAcUpgXtX1ss4PqrNhT25Px6rHwSA
Kh32ls2FuVpICWNkz/pQj21B3rB0OMI7K+yB8Q7NaaEcFcdtdsF4aVR3GFRDL/hzCdaWsu5PWYI/
hQwj0g+7dtdd2TP0TxDeot8L3y2KU0L3Zpk/HLlKC8dUomkYtXdMZqilHehn5P8R5EKhtE7eAveJ
n8Ox3SbfA9ptglNC9m6ZLXNRHLOnGGU7yPkjrozTDRFYftpdB5KLET0Qaw2BL2zTw7TwhqXD8d1Z
YQ+Id2hOCeWPyxZHD282wSO4TdiB4SpBNiHESCEY2jC9QM+w+8IAw9lbfWJ4GI5eM3Q4wgP6PfAd
UJwSup+Xxy+Ah/pF7QblOIQUszyGlTv9QGKUVqL2bl3/PnCU1gwdju6Afg90BxSnhW7u4pjyo7c4
wDhGAbSKXBFc3p2opXamPY2vfT6FaRjV+rzcMPVPUN5ZYy+kd6j+P0D71yxuPXZ/ojhOSf+p0/m7
Z8GjIB5HwZO+1K5PGr4x8xAlWv2paRtdvbn3Oujxcmb9zxl6uz76hXDr6dYP9+vX8f/mlPefnwCP
4+HXB8iPlsVyHBde0b46BP7XV39C+nP4kLRdv8n545/vkfZDtraPM/3xeqHnX6wBGBRmbpOtlnnx
53tJV89woBb6hzHh4TlJWK/WVyDIqKDGCdOGojzNzHv/LhZZ4f75nqJNrS+vhnO1Hi6OyHUuyqdL
MpIWSFgh7ag+T+Ha8Icy59YR8ctbef77XVxGN8KLi/zP9/05Mcn6Zz23CKn104OMPtiCQ0ZQtg9r
P3lY3kKr4dfk/yhF3no2k7uZmhHdoko9b31+r+puZXI9sk254Fdtzhc1U2KzUPmiUiLXGBe07JpJ
HoROa0pukVlxECVXdpPaZpA5zSgpuDyNq4LO5USmc8JyY1J3zF8EXMy1wtfuyzJUFkGWq+O8coqx
IfkPRaZ9iWovMoPY9aw0Ztx03IiPPDzEhWy4iRk13mPQOPbMLpKFpyTRxObkOq3p57pu7yOWeqaT
icp0GP4jqOdZNc/UsdzK8jgPxDSQm9yKdbe4L5uaz+TALcZ1FYpJl7cfwtRJz/UyjEc0cmorrUlr
YWRlaYnUqUalm0YjTyKmZxS0GiUlnN8vqdoW4jr0vUi38ipNrZaE+Wceh6Gpqm1pcskY25JOxm6m
OKNQNPMiyy/rNqpMj9HcqgqpGpGOZiPJdpovmpdqFyLyctPI4+iyMHJq2aVdm0lcXVaxVFlOw0k+
z+JIutA8lc7kgtLGrNu6sm9aERgPVcb1aacZV3oW5p0wnz7vZ/nb+n4eRNJmaIko1p/Ty5//81FE
+N9/e5of/9hL6Y+/pivRC0g+/NEWDdZ9vm8v21t/7Aj65gt/Uwv85OJvyXk/Tvjncr6pad/VDz3d
RtCRTUS/IfpK+7MR177VRtLRQd47XX1XzNMBiUhUPUs6RsPgAkJm6FiEoofd/iLpcNYYkfsT6FWG
NAh+8H7zqFtIOSvxhqT3grwl6DgqCEJuoKDf6NtvwPhrQe8UfPqqETgz3uqu2bF0Kgi5q+3m5tWb
2fc+CNSj7BS1S7QfIvj6PoruhXoiDGka8zlnU56ni6jh2FVfXv8BN0F18+ubqH4npUpqS9Ocyjda
VP1VBcXIj9nf3KZfZued/XiWHpvXt3HjOC9KTZKmlPlmp3tjRr668iKskpFjzzXZnf3WY+H8ELwz
HIWsIlfdd7diQ3p9P6ko88hoiDT1cmfstvF5UBbzvFTnv74NCkZfPxZug7OyOSI70PooWVLk7duU
tmEXmaQY07y7dptVLE8pPQ9af60s1vvxGyBhj/rlbQZvT0vqwKga3MbhiSWchyT7G3gGe9fOcww+
aS8UPo8gW9Oy6syiOi/lC4VKZtPoo6z69ut3NhCfnXv1D/tqn9TiiHdV2L8zJRwFtmvaZWPK2Bx+
fZu/e2cD6YncIMkKGbeRc2H5rmKmrfc3sAw+6uGT9J1Zr58kTHMlbpGJmzpyftX57EKv/XkoiWTk
6iSwJNFUphEktwc8GIbioGsIyg7+6fZdI0PKOSlkY6rw/FzRpO+hRB9/fQvSf7evxHX9ZK/uMRAf
eMs+9wVenuF/K3Vn5OiJJXkXuXsX83oUR/HE7lZa/Ddf4Ztfxqu7Dr7C1jE8W2h4siwKvyqVfd6k
bF4qzvLXT/em0L66zeADpHGi1gkOIJpGyafIDseuw8yg/k5a+jef4N89z+AT7Bw7ZwHrjKlbfGwj
eeSKKafV5NdPg3zAG2BhjKxO0OUNG7dv5H/9GcoVD3lTVcaUN27kmlVTtWYROMUkLJrHqgjKkV2y
UB13Ktcu2zZMbuPQyLp5ZVfOxCHqeRJ1ZCInUms1kUqtgoXBiHhtGYzUnORXqXCUTyzLtfMki/VZ
4UnNN+a5kTADYRfdRVHIcmlWDs31y84Qn2JaXjK5zUxHEbIZNs4dK4vcxKwQzzQU95PM0lWo+vdg
+aGqwq+65LimL6lzJwvVkeRqN1qpOlaQUqstu3HVBPeh5lx5hXQZOQY7p7GeTEqpy8d65TejUHXq
SWkzS0vLa9XtIrPr0syUZXFXMMmHCaeMmlY1TInL/jdD0sjYUyP3g1rplhE1IzXll3JUJGbr8gfd
LRe5705aBA48k4bMv6pD/Jh2ej5t8VavyrqVHh3aObFJ3Caak7CTpq2ja7DU9XZisNRY5WqWma5S
67OUe8FM8nLpUvJCY6TklWV7+nlhB8ucSJ4JW7+YJH6uWXUB2IyO6WahhZ8Lm804J1bsN1dBHF8R
we5LNVyoRjXWOv0r6cqLVsubUVTZ/iiQsqlD6+nTl/WvidpXN73YSL0hvOWKvrQ879qoPeHGRpUx
HgNxQbh6CCzIT/H9jY1Ker9SRqPQD/N1Y6PCEMV0u949RFH60ylYz84oTFTM4oAAyziHFMYeJoL/
homKUcQ7SgHnWGJUIjqGFQSm+yPGXyuFJFOMJGxlMnVJDEnMnMJsHfV7TLkNMZeD6i/ZyN3WzDLY
2qbw9Nw3WaDkZNxyLzO+sULUl7XK7zKqXWleJo8pj+dFGt6qIrkyCv2zG7sfGvxh5lF00xbqOE1i
YtLUKxce8c67jKjwMu1vtgyfTItuWc4mWHSUl1EzSRR91rbkvim56Yr0gnrMjPLge+K5Y0XoVtoU
X4XQmanK9qSw9cyqHbsxQ55+UaRMshwlgLPWNBPqyqNATueZpD3AZRh5ofdVz7RpkPHPPLMT05Uk
K4qTsaYUVqOyDyRJJi2hfyWxtOC8fnQ64oydoB03bjOxY/0y6sp03Dp2ZnqxdxEG2TxxAse0K/dc
ZPFn2RAXUDK94R/85cvlDJOuFiFJPiEsMArbdp6WSWvqQXMdZv649Z1PpVoZo0xuLCPNK7PpnO+B
XXejoCnHVVKmFgv9+8zQrbqTStNxqu9xmbUjPMxjyZyRnNPryJYtVTIC09Gd86AprhHsGAdectMg
O2F6wp3qintRcXvis3Ki6mLGgmxE3Wpeavq0SruLqnLvhVaOa8LvBW8sbCOTVMZ5UlLkm43jk5Hi
eK6pRd2l1pLCVOBuU8MJzaBLxmFIL8KOm5HHPjmR80HxpTHtmtgsCfuWhlk6wrivi6KLPZOklcVK
OgvTYmTI9Q0KG0ozNaJRqRvfqkz5UMoSYhilZNp++TGWw0+1S74wh1u2pnwK6+xj5lDsAfXMDtVw
mnrMKjVnZLvZCBnyWe2191Kez2xSX9EsnMRaXFkal75oZfmBB7gXC+vYbFiNRxHnukenTpVZNEkv
HZGPGQyX2GZ/0SRjZuy7ozzz57zNbkLeflCKYOK3/oTWtWyiJuO8LrUvWhfepLUfm05lr5pUJBYp
vQ88gYlf6/akkyTHxJC1kVbGY5HRS+ys3KqrfCarPpnYrTxOUvLR6arIVGp/2tr8PI3j2rAcxB+a
1Kr9LsxMqtmt87EudTZ16orl1GzrVP6QZ5UZqq79RW0XVdoo3trM+1fBU/g3P1fwg7Mrf8Qae7If
6h3hBZyjAj29iShu1DvOCu6Pi4bL91xVtVHu7AyZXjQ3vGok3Wh37QwtxBh8iAghZhz25z38hnbv
W463zXOln3+KxJSK1BUa2AbmucOdNDAiUkxT2VXYKKpTOmpyIvzLViT6o6H61ZVWinLCXCKH4zRU
zzWXrjC0fkoawkJT5GGrWS5JysgsJWEvqO19sP2wUi0hWD6SJeNWSrybLpa5WehsSWsi6abogjA3
G81p5LlbNd28TjtaLm3Xzu3EKjQenndaDUNRR0Ss+IL9jo49kidzViGS6QVCTT7GmhGcE5Jlym3C
fKm++NdoeYqf98eu/fyb3j5H+ccn/XRY23P4vDdL1qNU+0T15mtWUA6KMV+Yjv50+nlfp7D5ntfG
CqwUZLj7s6JgY2y+56fqB96PLYEx89Re+RvfM+kdu213sx/ajAwszorEnBNl4MF0udPpTq2rUz0k
c4Kwt96ZojV836o8Nz2v6q6p7yhNtMKsFMfNE4s5WkcXWtfJ6apOAxGNNTt2w8ukaRlbu/n/qkn1
l3bwYLTzj2+qJ9uoSXKGUa3QQDhpbHM24ObDwucGHQmVh+qn5w7bzYeFMaEcnira6hGiQ+c9Qhib
D8vAdGeCyZJIB6B8+TfNYDZwjXH0Sm+fYymcdcaRBB58WAybsBGFmj1tcpc7X4VTIcFSoxa+WORa
LlmKyAsT6vwOirvLzBIbNv5juP61a+iOMBu3UqmJA21hOAS+AytQCHccRjG38ry2p6onfSxJsChJ
u+RpPM/c9EbOpFlSIY5GI77IKj6rAv5VUpIPmc/mtSEtbIVMwgD5Dz2vHVi/5bWNIjGLuKQa8SK/
UmqlnaYRiZB8qaob1zaM+mvjpW40kVyp+Kh2zV0gYK6abU6ah1ql2SLMMm3UcJtNcEzyh7DW9BFc
R3ukVp5htqksnTtwT82Et99ECNu1rWBQ66lzaafwDP5VwU8quB9Z/HMVvKl83XUbe7qNwKDmDxVh
OOD6R0HnRmAoBomgJR0HM76UAz4LDAqRVBV97D/GkLwWmH4IuowkpkZRaUjV37EsFGUQCe7njRkY
JoZkOqJJiKH3wbNX0VkjiqkfJ2k8oy27aLLItVot+ZilVFisDT4HqX5TViUcMBHBm8h1z+r8+lZ4
VDHbwM1nBXeaMW2MwlRzaann+oVSdp+RrLGtSM3pNK1k7Z74LR15NtEsktHqE/KQNF7mjlM/wpSR
xTSJ7RuaaY6p13Tpxmk3anTvSk6029ytHKtUs0t4oB8Vo02Q0PO+FGV6DYlLJjEXuekluiW7xiIK
ZMU0yiY0lTCrzUy1R26i3OARbrnu30VGNpMQH0JZwajWyksqF7nFUaMySfX4MtcMadTywnIZojhx
a3lhYiWKccPK7kNM/Asa8lviK1OhxzeqgdihGjYXSKS0pivzMfzTwoziBckWVKhTIU1cw7nPo2pF
/G6auOmV4SLVjPh6o7TzNky5KYf5uV+IaSaJqRSGY0/n0zioLzRdWJ1uLPMqCsyOcv/ShdNMq+Ra
shXdalojMbNI+Fdu7kyy1rsK/UYySSDfdZqoLZy3PtOLkpilI26RoQ1Mong6cqkuAlia/9XJJLLQ
G32ZtnA/gyb5onSlYeZGxMZO2FxnSvoxzg280bowRRVO/bZcuU1cW6WhfmYVC5FKZedhkNyEKnzv
yv8Wq8VXHLDDzDyJmoUQjZi4QBtOTeGOwjL/5ovoOo1ThF0zKZwhAZyMm7qeNrQNrMytG1NvRD6F
bo7HuRLpJsnb9NJ2u8q0nbIdGSS6rsvoMTGaj7wA1zUCgl2QXAVK+SHyqkXmJX9VqXcdEi+d550X
fGvdupy3BjDM5DCa1YX4noeNNOqcSLrpirxYOLZP+rBpY7ppBj3t1lNbSerLuM1KU21TZ1Q1ZTau
ch5M9SALzbiCAypYHM8iEXx17ebCze1ilLdOZ0WEkLmtdxk+HaaYlUgMMyVx/th4pWJpjkNMJYvL
KymQ9U+u3DRWnRrZpHULz5JSdh8oIQINxDVVhwsUFEjNdVzFyqhQ3BphmjQepZXNTW7Yj24qVLMJ
PXVUhMYXJcq/o0VzxUpfWCjKmKZpHZixpP9VtChEcLxuhmLVaITgvmcxV6/PnaK+znOxFDHM+aK7
FU3z/d/94Gk/4L80ydcn5u3uBj3VZjfAMX9Kf8ouxwze54Ezm92gt8th/mDuFDIe/az0F7scuwEC
hP1pVDrijyg5wfbybD7hErYAlLRQwpEB703237DLUYu+bZg/TZ+EMdaXMBMkovu+wde7QaH6Ruwo
VTizS6nUEFkXra+gSqNTHrQocL7aulqN/TRjd3YTO9OwU6Bw7FgxGy4k+JfuCop4qmjNzNfUS8cx
5phveOHAakHQ/tKz8wvYhw+tnI1j4o70yJ0WOvnKhGHlXNwWYTVR3HIa1O7czasPjIiPTSOuqyDo
bbCbUOS3UenMVEPcdJHSWnLs+2ao5JeKo0+kIJ0UQYKcg/A/1Xa2iF0JaWd74WTRbScpCxhdnlln
6b1rZOe0cHMzzGF0uZ523rn6mBL3k+NmFyWDUKiVg9hZuZI6/1qNvTtNGK5p2OVVSphrilQLTCB9
oWndh9AlnonfOGbbouKnleyRTlADZOfROK38yooqvtBdft4SNbB4YGtW66UPvAvpRGiSO+JluCht
wkyfBPmEaMb3zFCvi5YnUyq860RvpamEt2wpsS5MG533VpKQe8fmeAOSUMxEsE+ItH4OhdJCYxaF
mduGPiVlF09cx47nRtFpkzTp3Klh5PXYRiTK9BpkbEiVqL5pJ4U65ZFWmjnJz6Ugu+pkGaYqjwzv
sxrV0D4oe1fGrXDV26b0LqRW9iziGxd1k8MOEMyec63IEfQs60VYtsk983Q2cTT+2LFaMmvJubZT
rBhFMFvzUJ+prpZYSON/sMv0C/LtC9tDzVKdSnkfVnbGea1eiK5y8STRg5KQz44Pkxm73q0tedSM
alVGrZPCTMc2iFknxRe5y13Tq+Spx9SVHcQjOw4ybNLFF+GIm0ArcFW1Q0tu0jtHSAIr6zM9DsZp
5KdmZdP7MMnw9AZbkIZ9inO5tto8OHfT7s6niW8K2eOm4cECKkTuWFWtdxareWh1rq8jaikrk65T
p6lmXIdREI4j5nhm48Wo4eKInYaJo1qyXs3DkFNY+vmdXAg28nP3mikiM5tEuRNybFwgkPmVIxLN
bFeelj7SeU1iP2KYBvR6GPCRq+VLIahrxnpaWlHoaRPdCT2T+aGKhF43KgvjxmfduVcEH5JatFaV
lXAFDGcqcRfukApjjVQZgr5+OPcNb4Lvak6D6qNW297YCIOFI3lLCPScdtWce95UJOoHKtkTlgW3
WdmehzV3rIYk3YK4ytfCSS6YFn5CTOGmSfUGu3z9SSMy7CfVpSO7rqjp2wqssVBF3Nk1vtRau0xp
PJdgFzmV/9HPomsM9hmTJprKij9DuHyGA2rulUr/UiQJHaW1toi5PhON143yRAtHUcdv/bo7xyFg
o7bGEzlCu6pYdJslfA7Tp0QWwb5v3QimURbMQlF8jcKCWHKlLYrOnQm1gK3hTgInnjtJG5uuj3xD
oCpzyY9njAbXSUhR3eF/8ip3pOXVqq3qzypP5lmd5aYkk8Zkjn1TKPGsqovPcJvxusS4Lj0PZlPw
1SiDcSOpUBaNXFqcJeeSxMwkL2/VPP7Simpih8G5UhhXRWh/C2lyw/Ry1BnVPMvCkS5LgeWV0Cxy
Wpwjnp2M27a6LvPs2mfaNxEl0wRphzoLV4kdjpAa+kaZPvJdcUmS2tI8Y667uVWowTho6HdRyucF
1eaiar/IaT7TJHmWhf7IYNKU8Xrayuy8cPIrXkbTtk1CU9KhuFD2ZEZUvfRguWV1ciMZ7qix+Udi
xJcCXkBm2/OkVTKz86qVRoWwMi4uGxt62K7u1ChDrQcNZ75UXPPOue1SOpZosZR10o1zUq/wpatW
WCMz4Up31EluGwPpDElTb6JIGhEtn5QNX5FWnwQNdoimvHKT9q9WrcSYatQqkdnJI7GQRDXTWPGp
kZNZposPudZ9av+XvS9ZkhVXtv0izED0U3qiz76ZYNnSCBC9gK9/i33OvTuKnRXxXtX0jcrK0qo8
5LhcLve1loTY3OjZeBLj4UFQ9fsqGt2oScO0y/axOO26uvciLTsyk257CajCnALO5P7/SuhXJaSg
8fL3N2M77Zq+/bMSWv6r/6mEQHTUTIKWkPxLH2h5beB3JaQvYD/I5KIi0gHc+N9KiJgoklBAASMI
ptVCoPzfSghoQHCvMILFG1KyhBam9v9SCcH6eYMSfSQC9Ud07nEEgda19E/P66DW6NpSNWgWzG0X
ktbcZ0UXUJw5SiZ6Z645/afreY4j/gWFO2uG/seWgeeDl46o8UczVOwjQatRyAQRQ+ZoiU2yx0b5
NMjBnI+VeVMquDbn6FjlV+AqCx3iz1X+tiwv3bSzu3+CSiHD6DZDAlODbLgRh10dJQ7pMktsKyvm
9w1/MOIZKNmjNOxxj47l+D/No/9bqNt69WtMFZPENJ9N/IZe1m6HqbplEdlc9vAfRe3yMc+WifL5
fJmNGfG6EuIsaPTZmfk3JaPVkgOKGLTsbi/bWgLjwsdcY0Urce5YUSdZ0KbTLW0HtOHGtzI1TpfN
/PzlsHnQI1KW/fDXJfW6wke0LhAzmnGSi95vSvKfwcrffpi/icvfNlZ7QJW6aRDKKA24UQAMJlqt
gtl/c18Yj2jEWCKdrSLSrKl6FNUrkMFry1u251lgFi1G/kkrpIGB+X/UN+FEiq/LHry6vNVVZ5Rl
NlQ6XGjK8TEp6Q7QdZxXRuKgqHsQBPG9bwp0UXLNTrjpaxnPruy/n+JSw5uWcPHyTOnyqNL5KruK
VV01qmlQTsYXx7hNbOgeMzRcJNT6lWbKFa/+lNQWRVsQKvAQ3y/VrnN7tVoLgqJ2aaCrLbBcxbSr
asGiwOLSVHu/7N6f1nZua/UFeQlIVK/3aVAU+cEc+CZX9JBGja2nVThOxvHfmVt9TJbVUa4LWFpi
8nsZQ1BLTo3Y6rnuVCMJZjl2Lxu85ssV3GaIhEIVI6yvrb57s7TVPnVS9kmq5kp+XKP9fiXIM0/+
Gnmc7YVEjECO4UMajO1+Nr5J+Z13y0VqQtcU/SJgY0TcSPXy333AhSx5HiwCRz1kaPCoPH73LQVg
8kbOTRudr5joV9b4U9I8XyJZ2RJmPpMKS1TFpwFdhyk6Djy6stuuGVmlzLSOFWRnfDENLQI2FHYl
vrVV71+Oi2tW1nFf15XYDrCSa6Ewy9Ych6hyrvjrx9x17rBVuFPgs7JRgxW5MYJoZl6Xl7dRAvCQ
OXtoIwZoPrkdAFCDXgLTqe8vL/JK8K+nbGIxY+CxLFI2cq/Shdtcqp1EY1+qVBtXPtt6VryOf31V
pEhJXhlSj0BMo2HfsPqdlLItiOqtUZv7ptVfpzF91cyGWv2Q3lczu42FJkyqxru86GtO11c7gtJY
EgB2SwNFuKOgKVH6XI4vhrThRWfpemuhJg0EAJemOrnihBX+4w8frDdIMSOfCzBN0q+6/ZDB54r7
+0Z9GupvHBhXrF3J3br81+3YJ/nUJhFPg55+o+1gNdIbbn9Om7oRra+E8pX9Yqy+rm7MY6s2sJXM
rc9F6uOgPIKPR67YkRYXrQuzsy1jrL6erjZGBc4aDtt4a8SNk+B+HQEBR8mdIeRW1b1K2rMpbSey
ydFUvBw7V76fsfy4sxw+6JkEah+MR5jFovtot5oQUn1fCSqmDOgGjVeQ9b+IKJeWu/qGkYbWSl3B
IivUm7EW7NFUvbQE+67kIVp/bm0op4plN0yRXHUqHDZnjt5UXyUGd32ZFABiolc2J1szQgd0UPaK
3jL3sluuBNq6itViUWg6hryflSPA+cQicuUXMt3rTAkatb9S0S7D/z99gpslqmZDVMTVCTAJcinJ
9bKBjQHzRNXWmnkzcTmyRmW0Z6AArJEPYUXbl8vr/Dlf/ja8Stdjn8sqxzMWgcE+2ST6PN/xEeBO
8eOynZ83E2bN4MNB92+RrzgPMzRGSAqSSBoI8qOqHmXFq6fvyyZ+juTfJlY+NFnLpG6JZE7uJa3w
5TnylOHQAzBL5M6q+vCyvWtLWv5+tnMypdc62YA9sQV4XmusSrjrQSf9d1aWD3hmRTTyksgMVkza
Onrd2axN3CT7L1Di769UPyeh395bBUKV1k2Wyw0KHWNCr/p2Fh+E+VT1pScKJwEd6mLYUrlBM3k3
1dcqyeXT/Bn+v42vStY+AQ22zLFIdRY3qt4fs5pduZb+zRn528YKfwNicqHnaLMFzDxJ2pdZCPaU
nxK2BQ1ZMA5CMQRT4ZfjlURyJUrWNfJgtMUY9wh8vautGpP4XNuq/ZXr099U4v+7uHVJHNfEjCsF
VqR+1Cyg+o/JwDEbFkM91nfJaDIrznHZiMptkkn25RD9OYf8Nr46QnSVGn0Pln9ABLdNOp+MJjrr
r2qj/ktDqySi5uh5y/FSaxDgEuqnwtwXcuYq4pVv9mPyl6EeDP0G8HRB0f3LnpOVimTZAG+aLNqm
HCNHtMnBVnjHwOp+Erh32X9XzC0QnfMtTmgNsvivA5HNQKGwOy1rwqgZ7FSsQoHTKyXyz+aArMFh
g/GsutrpSTMgBJYKfeqKZ6lTjhAW2ikGOP9VhKGFOH9dXt6P4YHm5//YW23uUZjqLFqOmMnoPOAS
QvS9t2avboH0vL1s6trSVh8uZ+jAtjpMMaEPO+NI1NPQVQ5UAYBPe/pXttYbOyWs0uIl/RPpJq7e
zPiddy8Z66y+uWLpx4PttwPXmxsdk6FKyC8H1u6sgeswHMnQ203b21SJMR5oby6v7cd8fGZxFZED
m/u5VhAiWVLYshY5Kigol038fHlSZPSwARAAaWh1XE86oaCRIx8P5DY2SktmIWXffUesXt+myXdT
nvrZp2YEzONgzePLZfs/LvHM/JK3z87VXhEUnmnLcdCbNzEhp7GarjR3f9Ff/zjWzmyszm5JT2Og
jGFj0mI7px6Y82VTWZK2mdI9k0NzODJKbTY9yszHsG9W3vXI7VKnHfazFraSj6t6XtaBlPusf076
g6gDhYC+hzfzx6ndcK21sjnAKNFSI1eKvZxIlgZuo8osPQ6SEuyR6V7v/6sY8ffVwnIlubSyVQ6p
G6A6pwQZUjN7J82EbWN8GELIm3dxMKwiEaxCSPx8usXg8Erg/JhOzpy6Sidd1LbjRGq0Mciu57d1
ThxV6lEeX+vK/LjtzgytkokGIkwkRRUCFCM4Hn9phi/mgRC/9I0IXsfD5Xj8MXX9tqauLoFiNqMv
YMKjIpv3I6l2MhBeKrbePPf2GM3XyqHlrLzwBdXVFhebfhx0bakYStEWM+ozYjgKZ+E4a76hqFYt
iGEhDB9R1RxzUdgq8ejpbf98ednLNrv0M1ZHel5PowGQA1qIGLEAv5dHB9b+owLlzLerVIPWDzWq
CEZAvEvsUeh2Q6luc1wtAUG4u7ygn2/zZ8ZWm15t1cnsOmz6Pnme2+2InnkJ0RjNjK00ri0933fg
BraqRzvBliR+ZXv87NBlAglAuwhW0F/zWlaqbWWKMC9CJ6YXvlq+BX3fu7xITCx/+my/raw8SkeB
j1qO6GldeogD08u9di9Y77cfO2K95Ba6sbZgxdYOCEkbC7ckK96YdmoblmqXGzEAaREjDfTBzeDy
T7u2/uXvZ3k9NjFIiHWsXxeyW5VA40hPdngP5vGymR8doOHdLiimLg/SL38/M9M2VVagqkkx1f/U
27eI36c8scXu67KZn0/JMzurRDvHQ580E5LQ2Pmz8sY6EZIlPo5HxhsbeikWMRtr0A1bzSO3wMUs
Ea+1OX88Kc9+wirhDmY04IVvfOtiAuqOv2ryw+VF/pj6zgysE+0kTKaWYnsqYupJ2ZGTRxJ/sni0
247bl239GB6/ba1bthUG+5RS2Krj0k6a+aUqQGOtkitH/zUzq2zOG0USxg5mzCba9qNylECI1el8
pZe2aMn9mT7PlrPK4lPeRsLYIgwTGttyJDiDZHqVkNiDOoVJR0/5MPrKENnSLLh5VdgR+msGRweh
lZwpB3W0jIttV082UUZPrSbnsruvbBN9lSeaGpJXsYjwZWZrF+KDGY12pom2MbRX8t41Tyxf5GxD
jsCVF1kPTzChdljrRdWmTPy0A7I8UpxUZ2gzple+8rXducBp/2I0mdWpG2F0Hu54stGVW1mmzghc
3JSipvtsNWCjBtDFTDRzd/F4uOzdKxtHXyUHPvd5wikuBqPIHF1P7Ex9HoQgn0ND1P/dl1x3w4c4
7mtgAbFxaGrl82gN820FInnd/6OJwu+YXrfDU01KZaOBpbZID0ITc0uU5qAz1XDIMq8pIWgny5//
xJOQ3zMhj41x9+rUjGYiq0KxRA+963M/IR6tAL9t3iHo9o8C9bep1ZboSsZA7S/ToIvu2/qxlF4E
4zVvcPOv79X2sTK+Ly/t543x294qRmcomfQC8DtBXhxj+YlO+QLHtIT2LmMVIPe3UvR42eKPhfPy
9tJ/nbkKS72hgHaC8wDmfWEryZcitZ4YQWiwLey886Lx2gzjyhLXMkT1OJOp7WGwFFNfz/pwJGCg
jdl2lqb7RfAvp0AoG9K1Gnpx3R/F6++FKqvsq8VmIpY9XNtXEAOUe4+Z/WYWidtlw4ecT4Du5seI
xs4M7r6VzhBZYVoWGJm5mRT1OW/0oFSFf+QNXZF0vDMJOuDywN15UuoVBQWmlqdB3H3MpWDJIwhC
+4S+K6gIJWZsen4lxH70w2+LC5bu3CIglmhwQqEiAP4U3CHcWmfUvOAMqv7lyLpmaHWsSvnI1ZjD
4UM02xAKcVsBozm59Qxa3Fw29SMCTT9b1ColSJ2sdwkvUJVQqCLwG2PcNlllj1SFnM5dFR/G6Vkq
AQFSXAVSPOWu04Z/Uqyc/YTFHWdnGvYLtDllfMmJt+6UfPVy4kIw6kpCWhLOH1F8ZmW1XUlvtpoK
rRJcbcuHSRL2UypdOah+LIfOTKxKSLyKKyQZ2HGBNJS3Zp88FaW6k9L4ynl8bSWryC+UIa9YDTOU
D9tyrvZUuVbY/Zjbfq9EXYU6JH97vazgrKJHDmWmVXFoMxUbgeG6w14040oYXrO3SjGJmY9zWSIK
pTR6ZBnI6CaTnhnG+Hqa+5CfspWSXkEs/TwqOVvk6ogiEQgGogqjrcEtmoUmxSj/AXDTSvCp+mnI
b1H3BtLFlR23rOVCIC5PN56He2nmMW7L2N1A0xftIZE++DBYWb+LGfW06t5EMVfGz2oTJKIYXDG+
pI4LxheJ4HPjChVF8EERO4OwAUnHmE/QdxEZtQzATnMhd1I55P2dem0Au+yuS3ZXvk4B18r5jIBi
sYnkMnmVotmDRjDAqYPYINe+7ZU9oq2cXJEujxUFTk5mCbAQQCehXlRn7Qs42pAyWtR4BxC3DSeu
NM8AGScXTVsXDLvj7PaKzxefXlr7Kr+VLfp4ZksRZ80nVBUM5aDG+3xOLVDDZf1r1gDqjLZQDMl6
dID1a4nv56nZ7zjXVpmvwah6VHvEedXssyzM+KGiDGI8zw0DbK54N/TEksq3y6u+9gFWuVBNiEm5
CaPMfJKkw6gXV06NXxIVl9y6SoMzE3SmcbiVQdRyukmr7zS+61JX5ZZC7wZuJ+3JiDa55FEaTokX
DQqWGZbyPS6KZevTNuyoP2ieqIDVAZKG3Xd+lTlT9ED512Vv/JxrDEnE01KQCANj8K/7jsm6WM/z
8mMHYo91/SjJr3UtBPWk21n+aWiRTXUSKPPk0+LaQPHHb3FmfLX54lbUOhU0pSBDc7NMoMoFuezL
C/wxgZ+ZWO23URPUtgEHKqhGuhtT4gJZa80d3USEHdUIRXLK/kmVdGZyta24wfQ+6uFSTgtfV5C4
nwvCLab8g9m2BlVbDQ8mgwEM8Mpfvx1uAGrMgH4IDPqEEtAa663UXklYC4N0nSSgvAxpY3TaoOCx
vpql0IIsujRGYvbYm/Sc7PpNFeZH0wNZKuy25qtyVwWzP3/Xd/XR8JqH6Qo2BzH4Q90JZV3N1CDg
sSCiVwtNMxW9coHFQZqgqxPoQGZB7Ut0SQ+lbzZw7uU5eU65fkjYeGhqZoD+1FZ+DWFwO9Gbd7MU
6tDQ8vuyNHdabt4VYitaUgxyGHpFH4TSz2ReKJh9+pgxNIWhmfkoMGiTgUIqbHszvkW3JvYAb4wg
85iXljaO3CrLKQsISz/luk6sOlYL12iq3CcYboHXlt4OQ3mEWMMOcm66JYnx9FrNtNyUfeorfRzb
U5Kifah05FQMUCyTJvEWDbHCapJI9kkVCbtRkW54ldpUjQ1b75gOzhQ9xXnR2FGmtbakIV+bEE+r
i350BFnZ9ZR1DuA+R6UbwQEEXoQADdyAxBHVzTaONbuQo7uYskCOjBN6zJjkTFhF20A+zXwBvv6Z
R5FX6PWJDZluVSPbAzQa5CCtgu71YHS5qxl5WCVUcbSo90QJdHIVPQJNQVE2G/Rd6/Qjno+9G2p+
NMbclXrjsY7iyS7SZgeS+veQ6qJVKeNDVhYaGIeqP9Ik7MHuTLXkBdwCJ5X0tzwjJ7whHiQy8XPI
tI1le9ejpSNhHFJPxiZPM4/FAlQoQI8RpGoKZEowUIm/SzXNbGq2taVWJA6hNgfC/JxVFhGbyBaG
5huUZUfJh81klK4yTe5ssFCpMf2oa69QRGglik4Uf4hglI51f9K7T2huhBwY0pIUFoO2AzrdIH5G
myYtbW2owz6dfIkU9sA6m4yaHQGOATqtT4g9Q8/TSOQ7orInAzUjmaJN1qa2KemCpWrCtjVAO5aY
m/MI2nG1YyogzE2xw2cVQncnqXSkjDmkVx211kEthQaFPtyqpWLjBHXNNtvpgFlJBUQuBoqfp9V7
Q26fiFK/8LnbKmkamiN3pPwJSjAeb+LGMg2WAJj1KADvXIqiLZe1W7DvHBowCzWxg+8Kbc+ECJNM
CONUWiDhw0da75hJ8ylQ4qaVJNtQSMVE57XAaLW9pVy1Bsg38llxqT5Zmtq4wEwBzmagUQ+lwDaz
Izn9ELvObmvT7iUFzObGaicnQRxQCCJUyeCYLLEhtm1NveH243bMJrsaj1PfWBojoYh92i1xSVpL
TYdNJm2yQfEhM2gx0joM/ECeyRa0XB09GqD1UbsCEOpCYxvqYImpanUVZBQfmlSypArU7fGDGoo9
VWEhy1YEkTSivtWGYAnx4MkTXF7uSrl0yvpLAgnDmDZS+TSVR6rtB5MFGcsgd/Y+8JAPpZ8lmJen
WwhxOkNXO1M72l2FaWwJAV3ylot7bDNLaB6lqXbppFnRxBwl+hg1YOVE/Bbim60BetWMv/Rgvld2
JgsB1Wprrm/GZRe9zcmnHt/38jfhzwo2tLRT0jsWAYeg3qr6XlL2LfSLYv7SsdROAF9k01ckxk5W
m+7U4vUFQXCULsD82K7Nh17KbS26F6Icsr2mlcfFbqSpsAceNBfVT3OWiUMUsd1rlQPJXdOPMo6N
mBySYRofCmk6zbmebHOOJysY2tnDUVI4Or5SZBy6Cu0X/Ge5BFb6IZdTO2/f8WSLHQuzb5iJN5SQ
PIC/HsVZw+pj9MNBvLUi6Z0WjVNk90aHxiO4t7US1PyFmIU9jvciwjOnj3KnbhrIapNJsIei2XLV
6wvknya2ORK0TGLbzBQE6EdZfYiY+5v0FIGdTQYBdZiGiaCAWvMhRSdw2MoZBJdwhIpQ2pxrKL0c
ZsiomIPi5gOD+O9DJwl2W5zk5HMAEhVynnm+EYePeDCcnuKbD3s1e+u1oymcOnSeSmHaROZ3RoZN
NzROE6uWruVOMuDxjD7DCxiV1UPvE4Wu1U33PSNuTd91LoNmDxXUFlo2LSRIuOmUJdDr+OfIAIGC
K9TkwMTjhFOIEqdXZdXVusQj0qEEJpFE8mBPDXSMEzvBbY3gW4lqCF0uyzA9qI8A5xE9dTPmIdOJ
z3aFqBF7atXpaFVNZZv5O9W3ceG2wDUYfg0FYpx3Hbi+se4o4wvUStDLa63yM0mO4ryXhKPJ94by
3C0bn7qdOlnYlTx2R33TtOFg2rjVJIlT4WLTJl6iB2R21MI25rBL/QrpSwmgM8s1l4v7nh5HMdTi
x1nCYxxhP2x5tG+NxyL9bJiDY1VQT1P8kFJcCE07V5jF5QZ6taHE91O+52LscUgtqMlbkmwhb2MN
mVvxbak+idFJiApLV+0s8vnktvVLK8jI3gexeR7LoIWMQeFGypOA34V6pjml5NEs383YcLS0cssP
SXV1yVVmX4n3Y3qKhgcTGb6+T+rvoqYAbD62YM2bZWGlHd4Mia1Rc+nwIpItpBWATAXJCRDihFqt
YUuRV6I0KJkTDaE0Wxq2qfZKZluZvJ7tzMnFpuWFq82uqNlKbxWv7YxSwRuy77wGdre28O+Q+mG6
ncu7RHehQQQuVYolI8tN1OHlDo+rADWtlhj1INr3ubETOxtyi13mm+NNhijiuaVXXoLHZYY0rCpU
A4dSu5FVe9SeqNr4Enso1G1W4gmIdzP9LvrbPLeVFPiZ6LY0VQcKT/1QWi1OyKl4TPlNI+4Ew0sl
LzbdjDqAgBXdaOnDzdAjGXpxjejNUpdPO/5NqlutdCfkORHOwvxrRBJYDiR2G72y6D5Vv7ISV88j
w1ZWJCSIGIq3qdMrOBxFf9GQbDkqB3ghNSH0Idlzu1NEaFcoUA/WjkSCDm6A86mb/K7e8sw15A10
JQi0caTRxnlXyh52w3gnKb7YHNA8Bl8cHoXk8LGNb9uqtktEKzbJPGU2Gx70IWDSSy7cVtNJbvdi
nVsyPXDdbWq7gkivNtmNvB3ioJttuEGMwsLwJn0DgKQOtbjaPMkYhksUck3HtNwAgCBrLqZVYPQX
lZVVDwnZJbXFIR5bbqGerHEnVjxR9RtolhePg3AaDE/ijo6juj5IY9AganMThd0HYjdttyytHbx5
Q+TcGsmdpgT6sCURBDl0W86eWzGxI/1xbj51eY8RS0fvuXrfZmEnhGMcMlxPpcfEDEn9rUKlZHzG
wKzujvLsM21XVtDhLaycJxZHcVwny44p32PjrRocImzmOADxXpBcLfINfjezDXbKKEDY6VuTvarg
Vpo+6mWo6J9yCagJVJ2yUDK/GN1m1QhtkJuCLFhnS6WhRh6iepM8msI21t1CsWvNn3K7R+JuXI1C
5Vy0qebVFCoCwMXd82GfR70jVU+AqrVzgL3QGwcz8zQd6g8vqfCmQqGp6yE0od6r2QH4vVTbCsMN
m72q8k3uDDL+38ZmUdqoyV5TPGTNSvJmsjeMsNLdId1rOGSFb1V+LaTnTL/v8FX6X5nH7K1EvdV0
V4MWTe1Xwxvl7vQxsXDQgpHtUIAYdSizL4aNoxuHnCJl2JluQ83YLE/itFXkh3jcCOQdqhNahLMI
ADQbw68hCYXSmiDdb1qpfjTkZyptdRGIjWHDyaaFgIe5Hyc/p5BuQDjtSb3L2zAekVByV2z8NnIJ
hwzaswjk86SELQOWCEINGxFndSZuFk3D2kUBK0CSmZxY8Vxoz0IMGZ7bRgmg7k80uxk3M4RU8ht1
9KD2LOn7odiq2qYYXUoeJsGd+aZkb2Ln5vA2vrPQOdC+6eTMqSQfTJaoCeXW6j9zXBMouMLQRSlc
fXDj+h4aN51sxzgoSpuXd3W10ce7XDmIUwi1kpr6Jm4DgzMqByW6actA4Y8yAEqQOsye++GEmpHw
rd7c8fijJo+xcBxzDJxuYunU9d4kQNys3eYfEvMgnRzjFOXw7ASeklN3t9C1wNr7ySoAuGrhYlcy
/EY5AfSrj7tUDNDUxeV9AKU5O0j8lUjfNSpNTbR4cRtDc7SAgMeuM3dKdsvlHXTROTqU+c1I8YwJ
6nAcCIhIe6huRbqH/mOX2Q3KXbbJKo8mnlDjEorT19G6YMyRTYOMUEtt3XkIEnNflu48unm2TYxT
pThN+5rmqKE3tbgfG3ciLm4zzRSoqBBJ99pqQUX21UL69PtkU+eowqLDKBymZFPmYalYpHBLiLII
bpnZYrWp+h1tbZw35UfNPUKhEXkcm9IamrDRj3kO/Rv1BhXEkPl5YXcop6aDapwKcKFE5RE+iMYd
giTJHGl8qXOczEHWoTz20sLR6F7Jjj2qBfrRsm2DkVtCT/oXckMKjRbICOU2yvmCOLPyXDdvNPqC
bBI+qV+bu56hXNdtSInUcwAJkki0tB4VDO7QOh6qOBWtncU+2GCpHjSaL0gO6w4k3snGMxxXJ15z
LwvbYfpu8dqZduzlkJJD1ATIr5LwqSWujisYBF/6Y42bzAMnD5Tua/5lKm43+kANUACkinDEIG0G
PxKV5ZbOyHzWGCHNAt8ZJiSoNBR4ITUARg9SDjbxCK101QKfXxtR1h+1DND4DHKFsTWb9sT20GTr
Bii7oFtxyOpwfli6BACm4bSJnLR32/KhEvGQio/aFGTkKPvQWNgwP+WfdK7xLbf6tNWaVwNlex/I
mcchONTfZrVbQpExcUHUnlq/zAOqB9QMNeqha10YD4L+1KifOH4l85jxvYSX2RqUz6FcvzYfyfgI
vKEguzGKpg5tyte2vkMVGunfEWKywAlw4MlnLvoCrjgypP/cRPG0QcW11zKbEMy0ut8KWSgMj9m8
y0pbrys8q4Fy0qXNjTkFJfQQ861JHB5vuIQmBEpbO8I7GwbY0EtSaAluV84cAVrrkOW1DAto2nEU
Idd+0IVH/WHgnhKjEQm99t1g3igdhK09U7kTB9TtTyo6KgzpkHeulGJYEVTKUcapUnhNdYLqYN4E
fe+IjUWUUBND4HPYjAG1oxc+nrji5tHow355WM/C/XtKnQH1mx57Yv+cUYLPfZzmo1ntW9nDZqfE
a+agzvxMfkiLjSl6kMfGlLXJtyANjqdOsRYSHW5Uqa2MuwLiTaOPd0MsQk8iRWs3wJA0pbYiQVHL
E433crypO18sPVM90sxB2VO0bk/cAicpijRjW1UuGv9VYrfDQahxi3mIu/1cIP3nEK/xO723+wlt
F1CfFFfFXCqJfFyQE7w1pHzL2VaZv7v4U5l3dN6bwAdmDzmCCfr5SIhTiTrKG5t9TwIh2qeDV3Mn
Sv1MdFCUIeOQ0iXaKVMgsPOR8h1oEQ1u+milyXj3x6lNjxVOzjcjdePBbgFPH50k/uKNF/W7Zulo
nFK6GYxgLoMBb93oQdXivucCFjQOn6Wi2Em0VWOc0/dzukNnvIMiqAQ1Qn8Y/NKwSvMwvEZ8O5eO
gIce8KQLps2tPaPTAQmU/gZHvpbu8DgAFXaLtuEUlnhPosQDFpYw3ihG2PGllNEgt1TnT7jbmOaB
anbMIeYlbRj0bpWQfHQaGiU0KPRQhBcNrXZIjmcCTEibu3gEYUSQao5c+8DHJ6qH6JvwfgWE1pw6
29XpfoqD9q1mmzhDTLopPXEayMljP4Zt3NmGvI0nH89c9Bz7HpcKgC3TpULqDYfieJLBaA1MENrz
+KDFG7xj2KWejscFOF5QeBzpRotuR83v5j0zIiuXb2SUFc/KEMQ64mgbKzcNPYLcb4r7KcMdZQ8m
eVO7bfHEGEYolR+1AabXVgVsi+JBlapkngS5itInkSVnh7La/h/2zmM5bi1b00+ECvgNTBNAgukz
6aUJgkaC9x5P31/yRHVJlFqK6um9ExZJ1SESbu+1/vWbrDjj1OcUxe1UranPFeGqS7Jqhps8OxnJ
aw6oJqKzMW3H4mjrZ1slAWOTs4uOay08GOgiFb+Hz5ZGLym6cnaMqnOakGfrGueIxaeXyUceyIjS
QN+Lfq2ihh61S27vZ23b2Ro1DkIlJ2ftjby58ZJ43evfTMkxgm+4UInwTutfSQgpeoi6a2wU2oxX
7p1uQTP9ar5Lp/sS99TknuIDWEzkd6weU3gYtJswX0+v9FrqqQtWob4S/bd6ad0w9YXsdiZ71kaO
973tS1J1LbWsYhOrbl7yArMk+BVgkeJpybaePLM/MSKgpylTazXMLm6GdLOjudbLY0ODLJjZsXiB
SbbyK86jFJhkIIlrMtA6LbwseqvYHwSbe4JtHiS/g1q966U3JI9F9Bqn3gyskNDpP+diq2g7JfHZ
BozHudhYJADZbs4mzPAtgsksW+RMPFpX97jgSbRvNZuThr8zxU7mpPm9Ffr0Pya3YaKqv1HM14K1
bnYH09GWc2F5Rr3HUlCT9lngjs0DNnCMV4vEHe+S+D6h9zdubPugxO+zeS86Dv19KNZNfNt9I050
gNhYZs+yfWnKfZR4QXm0LY9Ho2xvLJoZ1pHprk7XarnO63WAoWj2Fub03Yw5c5za0m1OCFR2HEtX
xvpUf9K4Qsb3RV6X2oOhfxlGt1FKJ6YjrNTj8pyFoIVbTAXV6gL4L8sHWiqr20/MyFDkAkuilZxk
n6NG0jMvad7WCCTXRUKZS4hTvxHDt0BBIOGNvAsquozkyMPexx6ZU7lx6uXa7caNVrzNwT3wTEBz
YriSQLF0IyJvsPy89qbgPWy9OGAXOWPD1o/3TCc76SmJvhT1CXxkCVVfa/1E2tbpe247eril/IuV
k80KLg2+WYRYqbCLA9UA5d1OpZf2W3vcBCFb+KVHHLj0fqd5V/fw+JgvO61w7G8ic2t8A2l1WlxK
Nu1E43QxiFalamhIivHZAqxiz4ptiUsRv8zTPkxvqu4mByx4ak0HUXapUIjtp+LYqNtmuU0KWox1
+x4MnIBXEET7BUtg1tWm3MqPyeiMVPDiK0NYSqbsGWtaVhx4XUK58tVKfC9rP1ocNT2J/BlLNPKD
mBokSOYLpiLYHqwS1S260yzczPxKWzN3Pqj4aPIMUvaRd8JGsrbbV+NVB60TDHkPlvGuGnv5XMNZ
MqFPgzwDVXpW8dCa72Hn9i2sFddOvikE9oCgYZOsH+r6UI33efVcF8ekoeQE1fPt/F1unubWtXMy
aXAgZULipzhi9r5NBdVfN5MyX9ego3bpEg+NSMZPy5PSHU312PVfG2Vdxi6mlKHqxsaNKe2t/hY1
LFkXq7zfjQylO0raI1BOklJm7PhmnChwPEvazurBlkkXhJlZ0AP5Q3XWJjqAlZXfFe1zrGzC18UC
qtkY7Vti8GYDW4J7i21o+TwhWrNODD9c7jSbFKNNED8MygFXwlSj3fWq5inL9lXoVd1OLfxWeRXK
pegvFV1MybBiTf4Xo06CndaNeVsUOL+sLX0tIpfGOTPWi3yMLQqstRbcW0G6MhVslvehjWOip2ps
sCfSBbFqdeYHLeSFuR/bfdO66XCZ0/WiPWjqtzY9sYIt2Vo0GAM6DJdIS7IB/XDBDx1gJKianXKo
Eh9tnKkxt7hP5p1iXfp+q9nrJGBkku2D61vOy2sn255MYMGoxKHDNSSwFsAkAVB/UkBl9V1qeY3x
PGvHucFKA0B0lzGSyVjOx0M5bvORbmk10XgUrs1UbHSU2cdWpeQ0uq0IIvbgm1y7jywykrGsNlZZ
+ZzUr0FxIoc4oUZVPDXYmi/pgkc/5BbfxiiT1UqRvIa4FOWcBJ5V0lIeR+OrXbnKe8+IQn8iTgkD
RMZoZcJUp3ObyV0qF253PDlE5iXyagAaTvE+5YXYXIvO4Z4AOWsgxe1YUTTOMNYqhhwYwewa40hr
O+ZUJrWDzi7E0pPuXD+Y0zcK3CZ3A3a+295wtNkDNmh4ICgLrc00rnFqYvvr1JIzB6A9SY9J4y39
Xu3Xsem3X3py8KTjOL9PwyZX7+h5pNyPqjX9PrVcx+6uqGDabqSDze5n3Z0VJmXrPPUX663uHnTh
6S9XUGy4lVlxGuKNQuqZXajixuYZHU4qHm6mrtoQ9eJY3a6b19Hi9c9VubGaUzTvBm7vg1zsUv1C
kJGOjksxdk16Lhq3Sz2lObIUECy1jPdhCwdgk8SnHkpEvgqkFXgerJck9Qz4ZNPe6HDEPWawJWqg
z22Dbnz0DdoGi251JaadoZ6z6bj0W73YB1PmatPXPD/OixcpLxYT03k7hn6l8Vm+jcoLzhIZiU6g
0F6pu3bh5yO+7O2G5lyumZjcivKZvgg/+ELl5dvoKauNvJKqlCfXSRZypNhCV+jJI0oZWm6ZfmnC
7Lh6rLna9Rq3WWl+g/JuG75N7k5woWzhuZ+1hwXokGVTInCwUMBLqoup1auIJh00qZWx1diZpJkV
T3T9lOqF7hXtg1pR37z2qN/09VJvJc0R0Y0esBh8GWZU5pdZv1HCbcBKopaeoGVg7KB2tL8Q/c6j
2q3k8CHgraw2RTEBMHmNfpoqf1QBdtaddZ9im2kEjhp58ruUwfM+5eraiJ7sal03dE0ro3aRptnS
cx3jC6xSw7mR6sjK4yj2QXnoqA351IPh0IYE9bGICia8vBc3U0LE1bqy76KkWSWjV+W3wn7ETjRo
/L56tLFuCK0ZsA6UtHX7cpON9zJARuxMeOk0+kVpPa3Ya3RclR9nu1zatxO2ymu78yKyHDFnbWXm
J/fqguuwr80btgSgjjF+oI2e0rvFWiN5Nvq9FN4E6r0sPyzNQ6O9le3G1hc+0krFsI5n1fTsZEOC
HGLPWvpSLdcOOxnWSXtvxnfN8PBhzfKWJqeuBdPfQYoQ5GMu2iW55rwBcfRri+lWfc4DV0rX9rSV
DSLSjxaWvNp8Q/yYpd3V4kYrMVGZbwKGY2VnuUMmrSqSEegD8p0lPUzqRqjbYohpFh9s+R6bWW/Q
eJKeSulOT7/r3WtZel2JM4tj2I8ZfWdSHEd1FU2XLnxSosNkv2SsaaGfg0yoWDrUK55svOV7/aw0
T5pyb5N2qd916Y0d4IvAWi78pfZiFZh98FqBbu48FyQarIkdSbK12rmBtDbE2gLbGYvDwnsOEFBt
7AKLFgyOQKy70JOKSxgcFpbEKPwqlIc8/E7iGyiOsRrHu5nsqeYeH/NVkr1hQ9Vj1z+xrnCz7opl
C/enjh6Z85uNTN2U+TIwVZm+xu24ytMzE5Wx4ShG7PSsOg3Ifpk9VJaH+zJPCWqlRJwHDF3R4kZv
UhwF1AgG3TxhpQMauKCa15g07IfZDogyDo9FOeKebSOxDrKF+kwuZVfJg4MV9edisLG+nRamk10x
bCIzzTdNUBLmgIpOFsxboBJZBiWVXLlmZDv5PD8XV+u1fNZkt6lrbTX25nPakacaZETdrVJlCRX2
M7W5kAkcpqsPotP/RhMRY/IHQ9nVy/yrm+z1P/m3m6zxL83SZUWQz65p6DEhiP3bTZYkNtuwFQvG
EQQW7GT/r5ss5vnXjDYc9zUVY31ZgZH0n1gim4E36nxkh5jBojr4L3z1f6GfkntkIxM1FBsPYdQC
P1O4sGUv7LmZZii15ySpgKS1TQXmOUPRSfX8L8w0HLE+s7lMTb7yxUzVxEHXsD4db1Q0gwmzmHDx
X9iFFQva35dAtaOvZYnM8aJioR4CkuYp40WySRBOlbHoYRk0Wi1TCujAw0T9FhfLyCInlWLoNDnt
eys34cZQQ93NW+skzdFzJXA8xEQ2ckPFahg9Q/TopybaEDb0kPfM8pPc7KC7pJtepzHOLUJ9S6Yv
Upo5htYwxjREnGxNo4U+ohUDk5kpk/ryZgo65WGxiugcWsNLp2dg+HbnkoyysZSajlt/qYN0vk9S
RXs2q6DLnbxOpJUazvHOmvsOPF4sm6aN8tuyDkbPaOTqDXAtvUb4Fk4YzAdF625qOYTzH2wj2dTd
Qsvhm1wtvEmePE4kk7Q2lKrIeOvrejNAcfKkkH6/Nanb7EqHPmvvpyqCM5VoO1AC2GXylWMjm8es
eICkpvmzqL/JRqj5pU5JPg02vZ6KPsXQvHzqwTI6iKB5NgybDud6Ock3Enb8SFKzlR4Pr7nEFm9g
+ZjWHXhCYb1GGsyBSAq8ugfENFrtmFYZ26oQy6qqYtkdsDMnZJ3mWUA9itRB25hLoqxqcradWtcO
7RSthbycRhzys3I+9LommAxwzcpBMCcyv2RaOQOhEMEpIus4dXSaGhpIPA8m8nj68n4mQzREn9Zs
8nC4nUTXU2o2Qbxu9CK/KBPpqVpQzLQSbBqJiUQmvhIyLftcFUV70HtFhP8jF8efFjpF1ni5/99O
2+sMNeA75OhvWP9080dm2z//zb9XRpmYYdTTMoEeBg7T/1kXxb9Mlj2DfEqV3BBN8E//Tp9S/oXJ
t4W9J/HiMqbUcJv/vS7qhLzh12MRbntdXmzjv1kXP4cWEwigGYRaKtcQTdasD5n/D9qbcJzkxapK
MnXTrIOd0cQnCarVjsH8qZsGxTWzCH1pLqX7OJAVp1fr0inr1E1A/+FckDVFpk4HWcWqmtHB5K+g
h1CdOkP3bvcFHGs4O61Rw0zjtfTtCCbPD9f7/A/j+0f77ivP+wceOKkOOnFcikZ4HVsJCVo/r+11
HWLZvyAcl7lVTtvH61SCoScFsCQLVR2cpcZsxRbvokTf8OdjK1chzC8Ht4lyJLsUSzvz08EbCE2K
khud3zAXs4bSrzMN8JR5ER4lI8l24akyYaYRIHSl5PXO/8fxuW02dC6eMf2D0vvD/VuUKa1mXe/8
3GrPuNQSIw91wGnBeHIRSg6rfh2Prhwz97AM4oL/cnx2/F/OX+Ps2al5LA3r0/lPQ0eRaHDxDeI9
aPeH27CBBgufT2GKGVloL7rQFVb81gxWxohzBg4idVL2ipzhFLHA0l8uye8/0TV1k5dLsa8pPj8q
XLopCgJspjomamC0SjJFJN3o9d8k6VdC+8833lB5XQhNxKAeY4BPh2lDS2uHOuj9aVFKd7bKxGsm
M3msQNpTswu3csh4eGlLx1IH5aYfpfEsmgYURtTqvtJ0fGMm09wlsW79pfy4XvPPH41cT1nVFGLq
zM+WQ0Y9qBgwd73f1u8iCDUmb9Gbjjh7Bn6NdUg5ZpBUf3kSfr3shqoSJIqPmKIrrFo/X/YgSpPR
0sqe6ZaB90VgM3gnuNv78/P2u6tOKUhgHlR8Hdrdz0eRrVYloifl1EKC3BaL02hIz2Vyo9R/eY5+
dxV/PNSnG4wbRgjTPOt9a2ZY1WeDG/bJe5VQsWHv3VI6Rm4czX9xLdM+VaqsZoZq4elK5gHpDJiT
/3yGc5Sa1jjyQmPhAOlF6oobO5d3XUzptlSqvhrsU0Qg3KECme2ETuB5PTAW0NHoSSKlyaWqGRM6
rtFUb9JMBHxudT2YrLtWP1DyItCojQn4rLcHQuni7+R/Lz7JdodgnganaMLvLXT3mzk9k+UxO2Fq
JFDm1XhvMUbrLkovfdVr4KI/39rP6oPrmWuyLmgCDEuovzy2VhuSwtPx4mbXXHBlii9aV2irKOSs
pGi4dAyZ63GQ4LXY9y1Z5eB30CsL6qVpMgbPLO6yFg6OLJFH1IOlV1Y5utqcMI+CPFcMPCzqMCAF
a6CeZkZ5tASYJLyCuqYjRRu/N1Q9OUztW5wX5C1azA6D59lsExieoBpq8vTnU1Y+G1v8c87sXdfF
iuiMj+35h+U7sTMzXYys88ta5DTqICt18m0qATXb8WFJytRZektyRsOYMKnnckjG99lujzJzzGpJ
JESD70XK/8ryFzU2S7epFJLxFkASkqscGqI1qEDpaB1hUAQo3tt9cGPLr4lkRQ/51GH5RPjVSqrh
hKusZt2Qz44eyPJK7vJdbrcYvUn8m57kl2mwLnZZPXT9XkkTkKG5XlmaOKgdyTuFwUR+lyzI+7RI
qKt4rIlzH/CMI8ACT80Jz10CLGO3hFlAICV9zV2TGMzBTAmiT9F73WAFTlmQawgc1OiSWC+C4KFS
ZVrS6/Fj7DSWAs7fYQtmhQ9aEp97MZwa5HNZPEAFmce3GQasI1XFDIsEVf7SrzJBxI91ZjZq5tLN
UPX3umx0zkgiTjjGu7TVGWFWD3VM6T7rGcA2sDIMxw7HsQ502WjUVTZIt0opGFnbb1FjvJWiORv6
vVkCiea1AW3JJCJWfxZ5FK4ke9rkCpHIgdBMkrz5I83QP2CiN7gJLmk+yUHaivUqXhVNd8qi+S9P
1a8Ll0XcOVGiBtEUphCfVpCpDY3eGHmPer2DFDj51pBiwRRP98HUIHiMZICYovjL+v/boxrsurS7
4roR/Lxu2VDELXtJ2XblxxYdeV9m3/vGPE6L9NDoxJja5vNf3p5fa69rBjKhezZdvYn/9s+HbEMb
P9UM0V6jD92qQJAxT8ldI3Wt17wYYlg8W97J3dVb2ljOfz74r0XnNTf7Wp6DK2Arft0Of3hxw94Y
khEJCoFe5XPVqOtkVqWNvqTSuurUrdxhzPQujeC5fz7uhwbr5839Kg8zLepctGJc6p8PnMvkHnS4
oSBsEkebN8zT8nxwsnCeNinjyZyewTEGEuiyaDm2LJ6AhtmLCX/I6JW/fZpfd30+DeG55PMIRbB1
/fxpUDAsilnZrT9NVEHyddkIq9SzQ7yCc2vmzRxb5dgKuEShXp7SIHCzzEq8PGK8azJhMxg2/fkK
fdaFsqZa4E/mNXDGQMT22aahRviEVYNofZVEVCfLJK9C3rceII9X4fx9uBKa27qEP2iqBLIF2VOu
lbezCOR9mylf0omu+qbVu21kIT9Kr+IZssOSFffV7eTwngjaQwc4eaQUGXzkaUEX5Id6ib5HOhFX
Rsqf/vMpfZQ1n2+6TaoSHSHR3cbnmjbUJUkKIobfQl9sv3C7sD9itcQoYyBXLlPSEhZhzCxC03NA
3yklNQn6emZcX3yI824rmy8qea0rcyhaB4vlsao617Rb21ugDIgxy+BAQ9tKw0ADJ7LuZRWSdmhG
BAHrM0uYvbeBGG5AH0Zu5SbU2FaZG9yEXKMyBtz98yl/NpX85y7aaBA1/FtZzq5C9h9esEBp7Hy2
xtYfQKe7KLqJBET6SJpvllrZI/pxQiPSN9EoQVpm1LIqo+9JLLlGRME/4Ht5Q3mOWCaYTJcGcFxx
bZYVCjHVGZPyOUdtxhSdZraLIDVlr5I1PjRRhtqtYA7SE383p6bm5lWjrVRjgDaqVhoCNACUkEl0
FbRwweL5ZWnB/rNUB8YJWs1V5fZuLM33P1+Nj6rvlwfgh6vx6T0bu2zUwxL+YUj2OYbOcwOxFKCv
FPnoVqmVQzBmGx0/Rs5D4tgqKVZCGA9D0v1FqWr8bqWnAGeTZhUiNOvT0mfNgz7ORt9CBBCDP+oW
5Go1fSLE3TNrZd7HqEidKob014QhC0KmnPKphMtwHWPo2c3CB2eSxejWqGwEasW8E3aurZpFYjx0
rXGSonYmPX01VP5IXJcvndIPG5v4ECZeZOxxMe75s/eN1SfuIoiUjAYUPooFLphb8fes6GZY+JCS
CKJfG/Ct88oAGrW7eYVd+pUHxcgPnWGkskRZmgXDXUa5M9k9lGL5SdODF0WUD0T6srdXtoep9VNP
VrVWR/E+rkmebsJ3S0myvzh7/NregBPJiq5TA4OGX5GnHx/6a2eQBgnLqaWnL2HA6ElaEGyVCzX9
n5+o3+xfOEAZuk2jzF+Vrzf5h9erzVKzaEql9auw+J5UtZOL6oal84xrGo5Q6PWKXI9w3dDv/3zg
35S8nCMx58jgQeLlz40z+tS+EoHB8lwwmhoSaOvWpG/Srn1TNTEhbA1coQKEmgXqMSOUYy+f6eQD
6nonzVAoCetdByH2lwr55xxBGS5jkgTJbv7zR/3Ng44/F2ndmkZxQWP78zXqwrhWg0SG9Bsh2Rvr
XdkmL4OcnSfJQGIbfycx929g1ufYiOu6B+Kn2haxVJphft5R7UFqpzjm7VIGfHCZcbH2u0LEDIXF
PrQCRK9mC7nA1m5AGW7VwCIdDxXhaMOIJ/j8PGlN50ZRh71FQKG5xPN9rIy7Dpv7P1+eawP8aU3i
k7J1Cu6LLn8uv+K+GwzUia2PEr9z5UqYrINYSZgy/G4jSr7/+XC/fWJpkSwmSYQSft4DTTtJQ7TX
LW4wh7FTD7rOUdXCPLI4a6uM59exFwgJ0t8e2F87cotRDsU0Kd6crvVpvUtaJSwVHWptvnRP48yc
XNAdBpGAcjlhGovplhLSf6ZTJDlmCBEyMVokiLC+xyBEhJdfoXt5gI+cbhfcPv6yVSq/WzVwHb9O
y3SBzP3TqjHOvbFEbcobJekvrCoDjUyXYO3WHugbv0Ux1fGgWwgT6dfEfFfpoRvoS+WJhoE8q9h3
UuD/5v+m/+5+USFzp+hucdL99Km6cCA2q0AgM/dwd+V8vgptjE3WEnMyzRSvbWejW4xDGdYAulkK
xw22LZHTJ1Z+vmYUqEZ8p00QdJJovOuV8BJhinwMi50tacuutqLjwkqzr+26RyBvFH5MoXks2Bfs
BE6XpSBBstF5LBXbRDFQwsXybHqRaQ9PbX0oKjqEeALh2bRd95JNxjNOg+VG0hLxqNbh+1LHiAuV
yB+LaDpkCtua1izVviSJhyjl/35FtmyGoCzGglr6Ogr9cUWOJCuejcKECB3CQlogU/b6MnhjgfNg
2Rv3cdRfTKn5niCB+fObpVxrqU9vMo5OurBlochYP3xa6OJEAe5vRO2bUwbFS+71m1gKAjjMWupY
pangeN1shyEnRC4A39S02thGs/aXBeU3Twy9lMG89zqN+GVnqIpq6SpLr/00nk/NlcZUY1fkxWNR
wsJRXiZmm8e5LPaJrv7NV/M3QL7FwUFzaWLwQ/sMmqpLECYlske/E7Ox6sPIV63yNanCcJ+TO+HF
Ehlz4bJskgGSTQQL+8834TerjC0D+emmYiq6YX+6/VRKRWdHRu1n/UIymr3RAiex2nYVJ6h4Gvmv
Z0wrpP3mviuMnmxhi2t+/adX1Er1sg8XhWMOuf1aqgIyT9WZ5wnQZh13zV1WDBnqo9q+lwxL5jEM
3jWB6leQMOyHU0DKtfRSJHLk9fmMRiSGIpOOWnju1W7fKjWCZsw9oFVHsUvmtvRgBa1TzY2BQUSb
7qV0Eo8tEFMrB9WdGmVP7TygnG+b5KWb7LU2t9mlzdC7ERVpsAPKtL3FFD8UXTXii4CKI1cnzB51
/XUwI8Mb1QkiFz3RIVSuf0hXgpdUSD5EQkWV5VvQHOleDygjxWg8xjamX8BfwSGImd6WpS6dDXlo
LouKTL+HQs9go37ovmsl9u7xNJhPlvbYL0rybQDXb2ACNX0MfzsyL+VoSIexgfFb5QU9txUF9m0i
SOkMw3kX9fF5WWblsS0UEq9mzX4O2qTwNVECEam6fsIV7JFKpt80SbgcJ1XeGVWvbLvO/koTlB4q
ZUr21pIhhFKt4nGak3uYAL2bj4tN3lw3f4mo23JsWl/00shYO9QUKw50YamcEaM+9yXUc/GmRtXy
JqeQWq3sS5fH0rpQdVQWOLIc+ql7r+YW46R+RAFg5WXv5VW80O/h4BGXBR1Yly2NG6cN5EklhyoU
D5MjMq3dLmVFVd9nT52U9Iia+enjVyJaLGcJEJFqsoiP7OzxsSvLDs6ySgoHPylWZSDFwXukQAST
XL+Usj78893H74IUGfLQBH48Wesk1Ugin2tz//Hdf76MjMERooPJWUaVr+dYsO2pZXwIxjk+hDoe
BmOIH0QYpOUummQC6G2pK3e1aL5OZkn3sgTdNg7Hfvvx3UJwJvYDKjH3Q7icpLJZoE1C+wvq08dv
mPzNpzhL9BtrSW/Kxtx3RWCc//OlRlERU6scRY6ex8CCzC+A32/auZiocSv9YUq16KZDKzV2PfJF
HB0gO9JSbe2hfpy5A+tIiNDLFCO40y20JXOhPElRWSIQopeRKJPlqpJuu0qRILzXlyETHcnghXRW
GrBjO+78YJI01wjR8IZRiuS3RQD38WNOiX+Ylwzu97RpBimXYCan45kyoRlnyHJkE/fnNkULnexU
AukudWZDdJOmbDNUNW7LtVmuE9lMLjoWNhcApsGbZvLhl9kEfjeHaKfJ8bALlgrzDk3AoZuTzCd1
VXhdoQaPZtJKTqF3ObWVhYxnIjZcR9aZhMNyKKRgeYQis5UwZ7rkctM85l+z6y/1NoKL0hP7oFXC
r2lfHsLAnu/MqzhJKPVDPWPu0hIsD0aOMNwse0Z0tMQnkgC008d3lK4jvQZi4RY37rGjRkpmrdmL
ehFrUadftcwytsLqUOFGmcnzra/0DinGMOWhw3it8Q04Nznn8nDFKJGgWVhKGJiZJIWm3Ml4kayk
4dyXVevZC6dtD4H9MESF6cqTJXwt5cBD3GfupIzVQZqhVU5Vu27VndKM2MyA1F+6Yegh+OvPA4Rg
BYvEkzmqGtkBPCckGeBE1OTdoR3LlW5W0Xtk5jhD6KEBBiHXmPaggRxaZJpJ0eV3S95fZmsyv+QJ
bjztUE0baZLaZ2Miq0zkj1qse1olARwXyeAHeW19uQpd1dn8yvx3Qsm2dDct7Jtnw2TQfv29qVHl
ZhVa/GFiWdWssn0wdQmf7Qazoz6K8btYEODM8VcWkuxroQX839O7BBX42VJS8zFKUDnF+ePUj/1F
s+JDND9Weq3cW41dnqx8egj7Jngw4iU9Jp309vFThtPOoWjxLMiDEuljIXE3wF4vbDKoC83gzr5+
mTv4PiWOU7uMEahbJWoDwamHwgS4hJpXmXHqhnMUx5XGvK2cHzLdSNFYy68Qj3KnLhOckKZIOdh6
fNu0Q3vXXb8oE/jBVFoqhNuUqLLBAHYu7BEFl8qM6vpj0nfJXYyg3xzlr3beDH5tTeJmNO3nSStS
+jWTdxFDLFyABIziNH5tv3GjR4wZx57Nx9LPgSnoxw2sC1rjyFguXxVTavlW3TGmGJGhseCZe0Oy
Ko9M4cid4nA+wfqaTx/fDRGFTHkleS1Ssp4njXne1ELwzKvoZGaPdg1dOB8MG2gsVHfyoCk7XJzk
lahJ6TYlU92aCnuvXdvLjT3nYqeBr2EifxSzKKGqpSgzqlzGxSSxUZ4k8EWNYs2Itr2osZxCDdfF
rlatapebOk+pWKLTx2ZX6vxrlKCwAXRdjh9fDOYGSornhNw24V63kaaEirrRA5x44m5nRl3uJfW3
kqgOM1DYc8DZOIGdPbQb/MEbGOqK7ZZi8mK9Q10vhyGOQgoi7TLfqvNy09BGrAwddeBg+5pWvcdp
epumgcZsF8bqEn+T5sZvKtwzpPHKBdf5FNR9w9R6JVadi7owfA2SfRu1Tx3S40Bt3pMBaXrh08A4
U4eyKjZvZWlGqx33F8p5t5igpOCjxp4/IAqtqSGlXEfv0j2pc3dexutUuTplAq1E1DNZCnSYJFBr
RfpkqQF+gMabqkY+mWf+pG6DASVJKn2Hs3ycVet96aZpVWiEUIQBRauwRqfBo2OSu8phFBpDxSsH
T/QLNPi53tIMJVulXB772TzX5rDgVFVt0mbZaHN2wWRExxsizqpxMyV6sUomBXr84rex5M2D6qeh
6RoZI0cxf6PjvFQa89VZNLqTVzoIJJRcLhslq8FpVQW1spzuhm4Y92aFBLweHDMxbhNdXpy+1fGF
GwKqAgO8NsiJConJ1lEyrEViUjOWrLsUdnBrzkuNoGhW/DahMpFk/FpqRTgjaBz+c6csgRC4LGPn
FHaOhU6xzTUTK5ZCOsXT9BKj6zLKRXHlBkZeoilfi0o+ApUMjoUcSFZdsdB72u3yHo0xRmODuukG
ni/2pMGpJfysm6bBYESqD2oqI8VnmXDqSjvLDc42rZElzqAkDrZ4KnYY+D4BPhs8qmmeofhJk9ar
oxr7EomAwUlp4OYNA7KLIXXDUj0aEn0EWUnxuh1UezebLAn6/2HtPJbkZtIs+y69RxsAhzSb7kVo
nYJJJskNjCIJh3Y44FBPPyfir5p/qmwWM2azCcsIJpPJEI5P3HsuLv5+QLEeiT9WLQgR8BuxKha8
tcPyYncxHbLju6skCLaeazXrou7TQ5FgNGHwb69T2aIKzCyznUOWFsFyDeVgTpOU2ZoU7n07NhfX
yT73y9IDrvFPTAL/1IySU6g6nak+ojz/IzqQsONStytDZQFcRu+KitfYG7ovwQC60lEIDDAC+6/e
U2axjE7jgbMOm9Zkx3qVuRZPME4OafnWWuUADKNdU3RqY4+mvA5Julvc4AcqjnTVtz4ur8BHP2kG
LrtOAIVtjKDV9BeRe+Umt6evvmNZ+3Acn7QaxCZj87ly2vFsGq5Laggx3mR6n9TAYlJ7OXat+VVz
AcQvkL30s34acmJfTYZFtm7VdC7GeTo/vuoQa+o0Nkdy8K6Mc7z9uKTqrCbRnLOQNpc5o+8obLyR
ZyEFIY21bptVa4d6G2dxvWlsZsYR+J6hSvU5MqlGZdDh1258RvCPB00u2rPqAShMY7RndwM/0tJM
FBW+SDsu2rNLf4O9dVTu3tjmGt7/wdab1TkMQk5P4HN8SqNVMwHBmRovWj9+d1lN9U6E+S9WA9kZ
tmd2DujdV3XWQQLSg8txldrwxYru7Le5h7zvLvvQ0wJrJbqRyXVwU02YYVL9HFJVA9ApoNENpjmb
+5NQ5CwX4pqQJCuxzFn64XxoZn8vWbZXkztC3kmZ5XDNXFk0gadI48kVQWdtotgcZoVsZBzxcovQ
7c6PG/aCu7Bz44O2/O1E8MFR976HRK0q63Up2f+3OqrPmW+9ayvBenW/93iIFvyS1WG+XXR1zqBf
n5dK1udoWr5HPsWSMAjLGEQh7Q6CFun00jer/P4st13XAAlZ6jO/HuFjCZ/5vhLHPOLCL+3y3BMd
cC7uXzmj3C++xD1am6/RkDQ77iW4rrhplrDfebXzpYbdxnGC/+HxeF7GHJWPL0cfBhEpRIe2ntPz
XBTy/PgqlsvBAkSzJKO36zxnPGRq2Ie6Ba016PZdqo7MqcddCxL2mbeUweLm436SdHkRkggry8+P
m9nyM5gW72WTVn89HPUeVv4Ad+i4qLLe9Z7o6DUSBIDGWCcN8MyhMcVfnUcnYfB7FOlwEwWuGRl2
1zbbR7WO2KHZIxtPrmtOyNun7OHhObziK1VlxcGhgwNz44XrpbQ2WWRH15KJ1bWccGrlsY15yVIu
H/ICwUYX6l0qP5bISc4M+fS2LDS+tvqYB6298xOf5lpEp9mKl/VYYL722D1YLb1qWdi/RmPhMcTr
tZ7t+Pfs9rspknBwEhThY4+zlXT1Zd1ZbX2KKqbe9CN8uWRe0535ENen4PFonFpRgY98qU+PR839
u/zWybciYVRhzc52sW15eDwuZO3wobj/bTswkUBwcv/2x83jxz++ske8UXmMPf1x969/56/bx19t
LKdeVwY22F8PPr5LPX7dx5d/3ddhAFGHaIq/f7fp8cs//viv38Sfy3ffXWAi3X+lv79RJjLYTpP3
3rhDRs19/9PC8g+dP3GZTlV/ql1cmY+vyvtXf999fPV47N++DylHuSPY9PPj8cfNmGr3rp39548K
UzBa7SSfHg8tWblsddX87PqaVjlKsDHHobd53P37ZslppJul5dV+fMmZjmkwxvgdleLUONTisu38
dTy2+ISa9jLYlndFQwk1YPE7csPyaj9VTrJRUxit7PsuEESlB1Wi/zPlDhTj1PHXWRX84kKk8OzP
cl/gexBVvWzC1IjnfiaSo0zq6Uo+3zpTLLmriuGM7mJn76m+XI0IrFxoz6U92ftFVtgDYHzkmNMN
297M/hnRujxJRh302Z+q8BsVm9xoDvJVWy0htk6BJ9Hj7AmK8qOb+pv2XUgw2OujKcPpLpP3hon9
ygoWa2cv4fc4fPYdnPgTFtkpLU/J3Jpt6MKn65P+c5nT0hkN1XYIsj1oiKPUuAHt2P9U94iL6qU9
0Fo9L7PYZTG40y5NktXI8EQ4/aXUJUgMY8/rGLWfCKBiFd60EiNL4KyJcWPVGuAOTNuqbH9mn8ah
fcm8xF0pIaif0mfRTM9u3vzpPX9bVRZ8gDn7GAYn2cuexiMSEG87OOVYK9d+zhZhQmFBY8ewiBkL
EzFNhdTTlFrD1mma6FIJ9W0yAADqV5Lrx70mKRIbMR6EcGh+DnUut0XU/lapebP6dt4ae1TrrJ7O
aS5/VDkeWg3rJrrLEo2HA1bqbdWafdjU8TnVaBMyaiOnHq2DcT+COnEOcvgskW+9pg7ljMqSi4U+
5ezMx3loUCMJ+xLHvdoWcZ6tM4MP3W4rOC1Z5nB5vuXqd0MC4LajBd45cBhXhd+U6yUDnjTYQwgs
S3e45OArzCmG4I5ksk4XjLWc4maR4nPokuUDjWNxCz0Fn01H52qYMnRkw/giEJ5llXq3SlzWoWfw
CeaGasdrm2uZqYM/ePZxhmjN6OmLxa9w9hl9kFcL3cVLomm7eFBGmjBPDp2rcOTQR7LDgZoRutDu
gGMYSr7aYi2vDECpegr1ZmC9iSC9ZaNYhTSEDb07IzCMqUwH+IPsjYZmJmstI4SAvew5GV7QMcVU
JtQGSA3OgQ4+D27UrYp5NVslEhd7k5vKOoJgL7Fj196xCmp1qTPFlahS1MEFI9sEfffCJBFVlPwW
YkBZl4vINiLXmhARZ9VFKLO8KtJr5aeo08fo6+Qo2DA/i8bopzbZkzyXg6NxbyZlwtBNFhZlu7nZ
DuqPwYfx10k5ATwYqh3upXiP9jXegEv+PpY2wBwvAM+ZUe8bFri0FYBUsncxIS7NahC/eUPjJBuK
VJ3WEM/acmdZZcf0I1ObsBlHxlg15kdlnn231FvJD4mZcx0NAFNQrSPvmjLazjUBhGXk3kqXtXAB
NneTBoG/ThoO5tL+cdeAKQuLlsWzQ1/HRL9c/tSskq0m+2Y16o8ZJ+9knAVOap8G+ypArlUtapf6
EBbQHVawc3sXqo38JbNkN9U+qN0+azYyi8OrHCWcVpFhL62Rc/r3UAPmfhd0TtFGIdjm0umBvb27
33TTLPu8z4pN4o6/s6yZXzgBEcIMeER1O5lTVuTtbh6HYq2XKjhadHMOiu9zRe+eBm1zdgYKMGG7
Xzyrgl6Nr+XYOManBLLiwzwk59bkIBXjXH7qJ/E78a+NunU5exxrwPpMHZE/L40TX2Uj1tXiU5vp
io/2/VM0inY8tpPzFKaaJi4eKnaU4T4Q8x0iGgMRu99AFZAeo7m6D089fsS91epLF6vi+teNy9nY
i/hP0koKLJYQEJ4gI9JvMkvdh628NDUylTu6OmQdGLICZDjYQkUcC3PuEM6faSinjRuxv6jSRAOm
rTOG65xU92rS3ft48GLNZMXNKvQIFiylPh23dRgegrm2ALm0xz4xGoDvD88hiFwJlbEml+7mSzcA
USoRYTHaStZGRnKXNtB8GpfT2gIyxIhoPHi2+THXizyCVuZnQfRL4m7LdcXd8ug2UtBSlQG9G3Vx
trbDvjxn4h7qILNdkKXdr7EafrnklmUFxQ55UfSxEzawOpg/Glcc5wBXHGBkZqHRatKWuqBy3g9U
sM8O3uScXgYTIe9I1wAD5Br0FcsynsGsfl/6/CqBjJ/Tscr37HIs3m4YPSocgylTrx3KKz2/dQmn
bCl7H9BV+o1ho7+muEW749bQoxbAdEGszzX4Qe3u697ljDJ8MmN+puB4fGp5+mb5RJk67pQBQIYb
Kl9XhRPugHQx8sZ8FO9MLZ5iDIkoa+G4hG5WrkM13sa0gTGMyGI7VvceKyrnU1xaMJnN9Cw7CAok
d7okZxdUgGlp6Rct1K+siHnTeUNxnYrua9Hm2X5m+LJrzLDzmZptqZOBdjQI48iqjGBjOlfp0YU0
KbjhZizOIcv0bcmhvUlTbwEAPpwGObnbmUk9EBaTPXUxFxcxvGJSRj+Xg7NXd0vMoDJnO8OxFdXr
wAJpkxdAx8MawkjDyGvXALofyBW/TGjEj0Na/B4d+IjCCbwVnwkWPKX4WZZwrb1Rc8Yy6zo4eiFl
OcTuz0LtyFxmPvpGF+cO9t/Qq+RoVQuMlmj6aaGnPLd9jpEyjklXRlOJGstl2TYBzQnR/d0YBdiX
omzXjkny59ajh01m98mJmylaYRbNn1/sDCZmwXr1kPr5IDlt7QVG2eQecG7pZ5G8DlpUnzBKbso8
dZ/RKNSf0MYD0qv7fuOYb9okCnZobq6TzL7xcWvf+shQ1vtADuLkjzvk1dfMDO3ZVhZ02ftdlHHV
pg/c4iSGZjrKkhlDC2BunEbnjwXGIFL9VmPDH1o//FrNHbxAVoOpDOlV52Z6ivDkYW/A3mkxSvKT
nKgBF1Bb6IzLk+BphmbkVeRTU0LO/CDQDOVubuV3H95HmUfDiwokMVmpuvWTqt6yEnpgMAA9j8o/
vd8Pa2EAeniV/afon3JE/Jd2/MlAorsWOTatvkRaKev4lFfGW/tGuAC6pqPtdIZPl419wzLDOWeZ
NaKA2VeIethtUXbOrU0C7TCyJKF5qVNCNoSC3JpQpvi8cU+2+yuLzNafB4EKL4WrnCU0uEn/3RUN
LJ6qufkO48IEfjC0nOU45vVuyjArFfOys5QMngdYOd4sgiNL28PQj6++5/e3OdcgYlxn2KkG4GAK
Li9L/PCIdk/uhW3Hl7Klhh3rr9oF1OMyvERVGR8q5f4Me1sc41xcJ8EYQUxiG4xG7+3ZDKeSfdNK
dPBOTORdqin9wFrHQDQMx22RL8G2rMd9aTfBsZdZvUvL3iDxD8w6TD0uuMlcMk+YPLgPu3BICLXR
Y/40cOo6meO/ZJnvr+ykCqEu5d7OrZmIWKzAEJqAjMpgythjZw6LLpMjUp7jIsncLiPwI4KTYtTB
TjCq2viNrY66AMEdJPMX2YJaETgWVpWLlFlOVbyrI12upy5Tn5wSxnfASBmCotqroMIQnMC/SdE7
PsWMx1duC2AVi/Dk2N2RE2lC+hEMDD4G+RpBs7ORVXd+/OF4QKwHPMJ+JyDrz3dU2pgrUHIRlxdw
0bs04jJqV561dT1zdQpr3lUGL/m9/zwTocv40wVCNvnZd5cR69GL4u/pmAxX7W8dmWPynjCLlCai
TgpscDVZyERF0d3R0eqDjVhbTG19GQHzBy6NX94VCHJ9vRcZcYRJieI8mI5JoXF/duG8G+sYb3mB
374NCQsJ1ohPps92By5KW+/OxFYm1C/53CY7S0y/ZmrFS93QeDJcu0R5soDvKuFzeiI5aO89ach+
xwdvfQ/G30lYB+9O/kvNVbKN/Wm+eNEQgTNf2MOlCRf1Ql5ljQPG8erPVT1116QvnNdhfFOFiwEC
WcJV5lFxq3pOEkb5+wLByUslDeOhMguuQwmMlV4ujVBNR1UK2q/q+peECubPXOrwZmUzE2wf8Wog
UI1GFu9fxXhh8BMNgG7BTXS/6by03+lwCVeUjfEttl9Ye12q2T6kGiyiXpY3Jfv8wopiftUeUOvF
otcwOesn3/vadkv08rhhbHcAmfmhGsHyzi5DRKghSPNuxgyUzm9Lkk9XrgfDqzfYJ+nK7yNjYqbW
BLh0ElVaaMXddTEJORQTjnbUQDyton5pROGsrdCMjIYNO/alFODn0D5HaoxAPs6KqVyin0HKA32L
0S5uvRpMUhjA1TSyyi9Cdtu+iJZzzaAYuIlNmIfNzNOGymZ3Puvm1pd7Z07GlwLdyMiSss2n6IJ3
dDrFKeLtTI0fWQuUUUxkWrSqnk4+DWuTZd1mkC222ip1Nka66c6JGCs656JM1SfyR3iW1gLT0mUu
8X+IGjqtrxIgdD71ewIxpLeS9JJF9XMhBXFgLBiYgM6Qs9RXlu+cIl6d7aY8B6qLv/sJ130P8jPI
dy68621tcr2WM8sgx/+JFtU6+lJF+8nJTugNSEO431h6BBY18cSoJqteqrnZEhrqvA184gnN6Awu
ApsMlCz6VicpkN4oei4FsBq6piNiqmY1J2KkZKzVdimqCkaPMJtGu2yO2yCF705ItK7adB8upj34
9zC+JGByN88Ts1d53/EDAPb9XZ8n3b4fqQ7bDFpvt1xL0yB7F6M+T2GmWIrUXzHG9rwl4mwrLefn
7NnUvzOc0Z6eeJ87UbvJg+rFXYy+VUM2PSVJc55nx4U8LaD+cQrt67EAchDAKXNaCQvOImStL+EH
WQj4kiinFMpHskOYSDz56Y/Y/dOGg3iPmxFdX1B+ayz8oZM35d+Yq6t1wlts9IIjjXXA6Y3hb5Si
RTIArU1WEOgcUEOklSyk9e1N0AdEqifxEQsM04F90YOZwmP/VkupNknsivUYgrz3+yiA4tmbY17A
gupju72Zs12FH5FxEW+2ib9x/fnNCyrvaHqziuwOsYKLCLkiwGit+p6+I0InYBC8IbXp/VVmBfAe
0+V34KHCbViO0z2qhmvc3O4bCyKkGhC+Ywbp00btkhw+7kJESjnSFRV9gSgHER5zrcXl1YcJJDR8
tiJzQGlsu3uuDU6Pg9ereF8qd1ol8MuUR3pJ1UizVuhM92WyHIZaqc2kEL0XajNGKdtPtQ88In9G
+4h/ZFUw6Sd2SzxbjjOcEpLGGhJXCpJFV+7E/IdAoauurG9TNf1KXWYhlUnNul5mEioWzzmSvPO0
DGF8VVYB2uqOT0JNVbHQZInaggmthZttud7fP7r1upgqvRPT17xxKVPCU9tXnPeECOgAhuAkIE14
cU74AeVUBrG0Gevp0Asc8gEBYUeLkQy1BPo6Na77hm1uRQgkmYzya2uguS7M+GlS0fOomVZuAvCu
l/mk7GJfJPMdp7lzHGBViwUwP6wZfrl+3B+sOHNXfVMLEFjkUhBT258av//NPNzeR6LtCOaR43Zk
yVYWzQ/WZMF+hneLYgZrDVUQHCIpVllgnyu/IMVAmOS1Zbg0T+xrDe4FAPc93Oq6f20LCWWgSJFD
GAviU/0jdL3yhAx2WPXV7GxaqfyDuff1FoO1oc/EYcbeu7YyXAs+o3A8tzlj9JbKsQrfpRVHjBeB
jbe2nDYtgVaIHaZwx2l45sUixrzS9CZ2K56G2jlhvwN35tkjtSwicY1Jiii0BQaw7MTFQ5VzrMbq
OSbb6lLXOZOfTutbGFJzBj1Iy5rifUqK+KnMmINkzNayvPVXU9e/UUFBb64FYhnQbSJy842Hl5/l
Z7pNex3vF7tCTkHaQNuEG6tq9c2Ey5vDpuw+kQpPjltWQLXhmbgRT9yoZtr/gMijPnHe2mLpT5xw
J28OCkw34w8zus46zwHAdoLxntx6SSy3bkv5ljbOT1n2JVuO+ndH076fVA0ap/moC+B6SOyiXejn
v0f/PupyU5DpWO79CBSqi4tw50XJT9etn5L8MbdlkD277Mk6ifnX8K6OLTs4OrUknSNm/1I1ZbdO
ewVz1s8pZLEWrpe09jhnqw/2vDRZFeVLskCqswaGRZGVM1hQ01X035lhkECQFe/heJx7HZ4KB86k
4+e8OlHLVlRCPcXAfyL854cOc3uX2bI4TSogB6qBmkje8LGtc0ODzlFCHflSJ3+cUDcvtueDKWwj
va1Vnu+DlE9mGBMC4nFuxHQbKr7n/Ij7hbWKj0VJSlGps3Pazy+qBp2mW7h6OAtIqYfGVS70w1GH
DGv0Bc8x9UBWMgyaC+9X4jCi8YqeV3n0D004DqvAn4CQDrE4+ZH1s8RIbONp3TFy5HowzBFQM/57
3hSRqlK30G0TT29SVo5P8SwPIkTSxYSWXLCW9LWQZUshg1NaRQTNzA5MQyso9zljv93gfbNnKzq3
Ux9jYB2zY+jdiGZDdcSJY1mEEPgwJdyYd4Db8UEuYa6FyXjC2Nfs1UKsS8P6afICFvqiVahIwANJ
r4/Pj5ty9H8rZmvM/rJ2x/AiO7Ivek4i5V2kFj+pKe1fJWQ8P7FJYppbkkFkdg0Hck7abHDAMkbD
rk7of3Cc8QJ3SUmvGRyYt2TvedzcltFA1mYIlqv7eqxP33rkrBRMZX5y6+rYFl15Su1UH+vJfxH1
Pces5dBaipb13ppLhkwHcuj76VdPuWZ09J6U0CrlKAqQe0R0VbE1UQeIz3lYk9bb/SBhrnhTjIT2
rMtQeAzEmFRGv1FUzcfJBtm/1OWXmhpplr04DjFAdozgIOkL2jQlO06k0VsPBQPTOcJg30IUlb0r
T/oexmKmhN6w9TGYdwWtwIILw0khOAM0uCCZ292F7Nt6SqOXTjbD2pqUvZvn+HuIcA1caopxfMJ7
gHXLQD6C/uQ24jzNKch7erE+Z/xWgEVg0DA6Oy3oaZbGvsbLnTwfqj2xfURTFMSJMxoLr0Fc7Lsm
ptXBX85rnLzeyqQMdnkM5d1r+ZR3ymVCI+vkWtnTwZ68+FRSSx8HuFp4xzv0Tm5JzFZpHaZ0x+9B
X27lr3MT1uhtZnmLsQzKHP+EmzrlvmJPyQpq6o6L8miVrWvedCAdbS/fCGdRx74G3B1h8dpENhDV
nr6tnYKvJZ+VZ3K8NKWCPNYoqJ4qZd2qWQ9HExTdLU5T0AdKkrDE51KKyTn5VYPYZEoAIaCFk8VN
9h5pZaWfXYqEsMJ56N29rktOq9rOwZNy8EcD3WRoqXLV9K575Npxy2ZKRbtVz02aPwmXoe/iETtm
5cOZFzPkLQRSMFXKPqjCXJnKE5jV6uATIXTBRmr3U1NToyQj4qOhYDM0ZM7Pmpzr5yzstkPTet8i
Bi1Qdonam/F3bOu2El/s4dAPH73qvbdW2P1zlPdvdYd+in7YBbebll/8Un40QTB8NKCoA3+OSRVD
D+tbtMLZMl8GKwDI7E7FFT7cfoknBSyyIEcKFMO2CBp5MkIzHTcziZQFmpIkbYguIwcpddryaLFK
TzL3rcviV1ktvIlsuvO5EWqNQXpGsliJW6+5fiR57z8Nahkgt5ttwyjvqb3fzDa4rqLT07M3jUA4
R9v7vKAaX8nxCz65+N7jgtUYy+dZienQTepPpYp2HeVhG9D0Iyjy5ul5jJ30pm27Yt3wWid0voxu
wrPPnHMTYWZgfC9BK9u13Fop4Edaa//YdjrDBIC3bVHU/RotbU5Riw4OIKXX09S5IxF8Ki2+O77z
hDvZ2mPblDtXI3LjuAcMCXJaWE1/zJrxTr7XxXZxiwAHFaFSHl6nT0W1/FG8v7NoqN+82IhDSx+9
KvgsL/ZgP40Tx08eFmhWlxH/Y1Y010rfhS1eZFitLsm50ootCwEDGBqLm+tcUs1yu+lFhYAkfiGH
uXkag0afioF3HY6h7kzarX0dvLq7uR2A+Lb5JHyL8TPOHIi2moKm99duSMXlxKn4PM3xK8P+/jRE
cuNhEYD5mxKtOaAEHqNxZRdtcW6DpHxxOz7wjYizTSigp85M865x3jD8czHoTtKtQJr29FhqOFSx
Qw5Y3rsvzfQwBfub1pTBZQrS7maAoDucGZvunhlX3q8iVsnoNkgzlHdom0YWWH65AFFFT/qaWo39
EstTF+wxW5W/CsZT62Cyu+dueG56kNIl5gIaz8L5ijARA7eje7xgy/hOvziM10R50TeR9w3bHy6K
DuMfqsOQ7dI9vbRLzY96ItOLXaZ3qpzuOx2BfXY114Q4E1sbO3g4zs25R0/Oq8LhVJSDfB4n8dZE
1HqeI5mQ3G8iFlQgN8xLzvX7GRvEiyPgMcMIOXlEZZ7znFhF0J2Ap1v8Rp1P+mqSjrxruUnvUFBr
GcdDaQwhEoVzbGM/f00QxgV2uw05F0k9HZZzwADjMAfpyEimOo0WtkAVi/SLzhi7plWXXHjVaxyM
LQNor6i/lwmFCLCO7KWqjbvv2I5+YbeNTO+FyV7gFU9uheCu6k8qCtWXyty7Z+gCxChY2IauXmp/
Tlho/mlEyyUw9J8Dw6Rv6Gx+ahKJG1uhl2KkGIr6ZN7OUKI2jaluzTJk1E+06E2h7KvNrH+VFuYT
uGfN81pn77JlvNNG+MXGWe88ZxZ0tM7apwgdqkFdVVGSoYgqkz0UzGIn95NnXQU/ojSAGB4Mn1wr
fdISwa0p6mmfBB1NW8I/oz3ynuYoOrOnb9gEjzlzkjI51CXgn8Gbh5cRd8mI7+BroBl8FkX24uA2
ZFHiBis+k7g8kiPuv13QucFvOIZFkGyLhtnU4yb3nfDmpZ59hca0STcW+6CvpUc4bVDyhneK2v7a
ayDiQyWjsxiR95lOhvvSGqqrynK0275vPkve3Ax7iy+IqfI940NaqiUNj6pLnVU8xurnzIpozhyb
rALQByqK/ZMrFkMjF6Dv7FjVi0r8ipAKfe4Y4VAN+EC4Q2CVthqn13kOmrPVJx8T46DXLMkJDKsR
KsSPeRX02E2tJBzm+91Ad9Ulmv+EoTVNGyFQdgKVcdYQ7gwxxHfXQZaLz/4yynUGdfHUJYP43Dqk
sj3uBorrHbS4eafLwRzsBll4WU/VcR5nzAJV+n02IvtcqtdYxc2XwU1SgqdGNBd5/hKP0noCfLBX
MnljqjNfOhFL5Hlx+FLUifziPHYRZlKnISFaAN/nmyyXSx/7IeMUSJlFw6QNk9lZ34OFaXPEeQyx
RKWxbr8uCSsszAWKVDf0YVozc4hRswEWMPGuMLTQPiLs+i4vX3w97btqjPCXlPXNn/FB1oJN7ozU
fDsAFtyx3UVR6XfNzW2qP4waCJp0bRQM7iiOVOR8JCg2VlPFgj+ZLY4ZKt213U/LzsT0stTW8zWg
4F+rZhyo7yznEDte/zQstLyqSN0v5Ap+6U1kXvnF/sxax5sFecjWFHI81MjQVrovkguyb9IUgpgF
a6KDpwJFcUS07GASYvwoeKvO/OHlZECYwkufMyN2dVXcL8WOeKbT9Z5pKw2WHx8ktT9t+6kptt77
7FfFW5ta+o36jcgOq5R7X1EfjTU99rj0y82fGJT1c/huhG0+I7GlxQ2r+YXVjnNbkoZI0TAHhqp8
NpDzdx30zvVxYw0Oyx48kMwveIw12UG38bCPsuXMa0U0kG6d18Q/ZcYUL6pLxDmpJs40h7YmCMXb
4nzqY8t9d36VnblFU5x+kZabPkEUeZ8CKPelHzb42+T4ZHQ3kiO1XHDAJvEJ5E3ukZyOj6SeKVEX
jK+siWt717W6exANznYBkj8XXb/2VeY+G6/8kcdoL6dciXd0UhKR3ad+oCPJAycl9WPQV9nVT6E3
WE80DIiA5MCMZ8n12UmtU6d45YGmvAeLYw7eEIJQDIdvdBbOEeOYODOySw/TROhTPOGZ0dBbtzE6
UAYnhRdMtKqkY7pp0oLKdhPcZvqLZCpOqFL9o/Rc+Xkxz+SnVluM/+QJdOZjUP3rrJxoM3nNeIVU
cRoa4QOPSz+ncWufzT1Vx5+tZcN1ItqPrjf8Zbj8/w1yvkImbDokT//j/pN/NSy6slT2Dxbx3/f2
H83tR/XR/fs3/cvf6f778cfpR7P50f/4lzvbBzz0xXzo+fWjM+VfP/8f3/l/+4f/QJC+zerjv/7j
x+8qI76763X2q8fY+fE3ntTGZEtJ+L/5U++/zz++4/7f+K//2P/43f3+qP/Pf+2fYFPvP124P8BJ
YyzLEFqwl/4T+ez9ZwzQzLlDQgRrnRjP/D/RpvZ/hg5gHvym6EZi0En/C20KDRqQYujGsN94xSHd
/D+hTe1/8xMDv3KjUGDmjT3H8diF/6ujWmRuxSITS02dlQ4jx/7Sds5rZzHCACvFoUu6gmCeaUvF
VqJCYM1Y+3vbVAASczlvuq560rQbaVJVz2PaEWNoFkJu3Q1XlYuVYTChh1/Vbf2LCc0lyfyNhx1x
NWAuGhlbeN2IC98EKUC1oFknabvJrPQ7o41rT374ajISUQqWmzXgpP/J3pksx41lW/ZXympckAEX
/eANyh1whzd0OntSExglUej7Hl9fC8rUC4piUhWvavLM0izSMiwiKBDuwL3nnrP32gk0mfTRCOav
WlURqmMivin1jVz2B8o75DiTZnMGmw++n1MFWwQvVjI5liaKQSSlW9I+t61g9o/l3qfUJXqG87xG
wBrGzWSladpVEMnELfcuzdyNKiebyixc7AxeEE47P5XPs5RtyPO9AEnpmqm0g12MM6LcWjBinSQm
eKKMvQwgsS7iy7wg0cUqWfGTLUoqrwNLvLKK7Bh38byS0pkgNqFczyHaPSioTtJMd5qp7xTyia1w
2rKs3OLGJYeGtAG99zm4ArYmfyAt8ufeUm6qStmMVXPU+/jU0zY21MSLSCtlwI8OS5dYUHKvoG8o
6dUmmRPWvMiJxb2Sx9ucoV89myTL1x7sqWUmcGFSxqlDRYo72ZYJkTRzbLqNHnr43PZRRAqUGlyX
TYo8UbvOCbHKgmBfm5KD3eQkdQaUW3OrDJ1T+vHjFEXubEtIBmFtpLI79gS45uQU6CV/L06Fr1z2
JHlhS4C5ZItyledQ89qacooUCyoJr+jtC9q4V+kYXbTyyKdusdD7/Q3isQszDenxEwUid+kZrD6H
t/iC8uNCl+0TPZKFsmGeaL7sYiAKhSlvR5RheOodnVasoufZvLHsqLbIhw84fa+yWaqbCyTFGGjN
Yqel2IlHPyUvRs6E10vyY2j26cZGqAVGoeg24UjkZCcqYy+l5EmqjapgXKnV2oP7rXBkRfKnrNs8
KN0BRsKDVAs9XgNKoO8sySb9vygWMbTqUL5v4yFydaPI3TYb9O2Phen/9zr+32+F/pg7/b/T569h
9yt3+sfCvvzYzxVafJI1m7+WRVBDtcMK+HOFFp/AbOoWpAEN2Cbsyf9coYX9aUGrmgurX8iCZfo/
V2j+1YJ7gfOvsfQLYRh/a4XW30APNLj+AuKCyXYEjE2Yywr+ikIUx1GfWlEbeWWoUfplPUqcliaE
XpMVDNtuI6XMbsLuaezzM0NWhRarOjpTHN0PdE2J5Ru2gVwcFcsH2mTdtRLSzLlRiPWjsxJCYmnk
z0Ii+HKIUN30OGvNi44MDE0eu3XVSM++ZN1jCyFSzOJcE4ld4TMpynA8ryzfwJjlj30hY3ATJuD2
IbKQL1TZDZ7LcxBB4fIZHHkp0T0h7q4jzeeviSr7lMw0Rab0mwozQONQSV2eP8GRBbwGki3TuiNn
iJIYSRt1nkGmV6iY/Ecal0VhuI5bbJiGMqKWU+E3lvm9XsTBCu3Vhv3zhuxZDj92vhFQ9rdZjf6Q
RyPh9Yzio6RUn1EURm5s04cspwoDjb0rCv1iIHx36sRRxebjapkOna9Ln02pHzAVhcxzeSy24xDq
9Avsb6bJr90odA+IuCcxDCHl2lanS0upbtpZZ8S+rAh6PMurGNIQOjIKas0f7mWEAoEQ67L/Ct7p
VIXFAzvpanqWQ0VfGWW7i4P4gq9tIyaaNB2pVpE5bSWDCYuBdmMqCmJUJNsNdb6KnLGlUgIvzbJ9
G5Ehspx0GuJB8+g7J+ts143sUmWyw/G8yThQNXGgrQY821g1WtBJhn6Z98kDFkNPTg2vHvhd517C
PM8oOpquaOXsNYlUMGYPOFHqJ+qSg5Dnxz6XjLWCAGflF8V1FaeHKe8KetZMP8o0IjqcQAK/ILRm
Sr/wnl1Xir4rRpAPTWLui9p/irXwmmHqmXMIB9MKfFU9HilUmm3YTge/5CvFixI5kPsvkxa3rh/O
i2dNJuSmv+ZDfUhlHzFtw2gzVce7MEYG7RPwayvyi1SyC2StIFeuweNpN1/tufreCvkKLOzoJPRA
1sKYnvvUPsRNrF4mRm/qT0odIibIOzP8Lk/Iv9ZCT19ITEHNkkzmXK7TVv9ec/5G7awiKKYKr6SD
Hi67Z8TX1bbZLuBIL5LxokSSbhQJM5cRLofwfFDxdWAyhsvXWiCJFe058lNlw7WQ80scqBdU+roC
SCHN9h5P9snsCFmyy6No+3vU1Aw88Bj3tHVp/aXXE/Irgnv5A8y5uW90om3LoogZYSz5WQrMnoZQ
PZEe6wR5OnQXIm7GjRzDAxitM3ZP8qppMCb6Q9CkXjnFm7LurukCx6t/b0L/2E3YMv51+MGqfumf
62+/HxOWqv7nJiR/WshZLL98/gulnu3k5yYkfwKNoEO9MalbeBP5qX8eE4T1yUTNzHnA0lAiySpb
A2VHG/7H/xTmJ7YNYlU4VsBnw4T9dzYhRf8Nn6Vw1iCFAao4SDqYdL9uQiCi4jrlPEzHZbjWES4e
DE1qyHU3qhczJ3i1o5tlXoW0HAn+LSEoeVKNJoa+WU8KPToI8HPIxIgsUbQQM56M1/KrHKqJS+l4
O4QN3Un1rqc95dV0b9BWROaZiZpwwQw/9Rn8ZbtJ9Aur7HH7J1pkfY/o3V/aBem6cWpY1rrWzQEd
uBlgsBczNoW1KLNp3DdNaQP7lOK0ve2MPDoMGmldQzJsjHw8p0Hl6jlJffQtOF8EsPaGJT0dGoGf
1aeQxYxNtDCuUOOA1lbXtRleqkhGgzl4TulGYBjWtzPm0iZrHo1cvrWY/3p1zYadkKpe+Ns2glZT
6VeyXR3HkWjBPm/OQBWO0HkfAzN/bgOEakmz87FR1EnAIBTjQ1xcjn5ALqZePdg+5q2hHVjI8YNk
87g1sLaFhQnT1roFN0qXDhJREjzKI9JJOyBfVDXBTuiTifO7JTk5O6NN6VdRb59CBFKrQVKoRy30
IFn4qLbJ2qjycj1hXwfo/rUzZZeV5pzChUCzdCj08bPs+zeFBTEIuFPbEv/ajPAwgv4hD1DLGIV2
CznsKtATnPi+J4rweTSL/dz0HgqnXRmXGz0sCHoJu29szhdFU90X1eDWqrHVCLVm1ABHQcsIdIH2
r1jKpd8wd9PakxkoF3S1MMKg9SZDg0hopnH+ig4gM6NZlMzP87rrvhtF9cTwoajcPmyH8BaBOVxa
zWhNt8psOj//XtGUHyuaxUryr1e0m/Z/7BkGN78vacvP/VzSlE9CETCGKYR/BG+8WtKUT4Zlm4L2
tSroiSx5L391PhC/W8S90DERCgvfX0ua/YngEmpqy9ZkjQaI/XeWtB9l8yueG2W1Juh+GAqtD7JJ
llbP67JanzAC27IIPDtFOfjEEKI/lxlcHWUQ07YvupMO/cHhuKiuMQ9cmg0mAX3p7EtC2QQE2zWx
sfNFeTUk5lPVmx79kmP6w+enBTuIBmfeKJJdpmeK4SNYkNvEVDEJSlgLfJ+kUvAB/mKomTHtTs1F
XjTZxszQwzJcAf216io8G34bMH1PlSK5LrO+OKn55ERBvu7onK6HajJu7CQvbGRPEAIQ4SHgzbCi
l80x6wbf5kwaDtvSHNTyoFtxqm+l3MgwE7DgjmN6ZUCGRUYfGitVDlnFUSdfwPnqvyZD01zLvqxu
W0mr92McTCduHlkp2urrZC6CHSK+/Ntgh8Aa/SKXDzC1GnrB8rxVK017BvSvfqnLohmRA1U5EVBK
/sWKi+JOneDTmnJWXNKOIDTg75cZ/3cNydsi46//Pu1IlfPnv34rV8/JS/37K7n80M9X8sdRlyQc
MIZUBb/kz4lPVN+YbnghaUi+zZ/jXTEsnVeSHJflHf9nlUEzkneb6gIHynJENdW/80raVDKvEYsa
iD2KchlMJ8lNvJlvXknfj8JYqeaMvdqaacuRI+L20AmAhpoVlBVcalAPjfxp2QfIjDaGwt7nFX5e
ZZQemQyvZ418e0SiKD9NCC8YH3Wl32kKXRhRsicC0vRUtJpG3D7AOEZnicRUyWIPEeGl2iufJXSR
6zQud6FN4mg0MmXIh46s1ZAsebslBpTmY1WH6I2myWtaEFNNOiVr1a4u+M9PYmie5IXCXerdvaYx
mKWVJ0fRN4u8z7avCFietkYP/SZO58tWHnaRX+8jtf7cdcE5R/yO9uBoqDoJ7SSjcfQ/t4pyUzTd
A7mQCJVRgmUzBOs0yu+NxD9FdbAvjNzr9PYBJwyxv4WM8rcYryx8/PSlqkNAfMbRb7VgTWcOZEhQ
Bs5Yw4Uq87Rb8bnkyH4zNspWLKmbqbGKcqy3nOWTQYfoZWBprj+rUdrWF0rzIsGNACU2pP0NfRP9
rlN8c1z//Xf4/bfzl/nCf8N+FfvZB69w/fzte/HuWYGfe/0WG6C2aTKpC+uX1+TnWYG3mD0T9C8O
A3pSC6Dzr411ae/zz2hJ0XtcXq6fZwWbaQPvm80fSVgC/8HfeYu1HyjdX3dWWeWZMA1WBqHa5pvX
OBiUWumSIvaSxHqge0DDoy6v+rKg76QGFi6ZKfK6kXwPWc/GdWupJIBLuk7wq5ak5I8TyaGjLIMz
gNFrotES3potxWjJjvXdCHmbyWIReG6q5hq6iosa56BFDyAKA7X5LBVYztANrNTC5/CgwkyRrou4
cxDirCT1KjCkTdJY61GfT3OreGoD0rNe+iosEHWV7UABIOmFkZYx6s3u0vFzbdKJYDZb9O1O7k+j
jOCuvlHIhM6QsOUxLVzkWsGUcGSAtzc9RboB0OELWSlgH2rXwghVlsQhCQ0oRIpWUThxYxurqhQ3
Cswvt+61ZjMOFviD0m3G7oQw3ivRNPnIwCjSQ3EZDTbKcqyMinkJQJBYSulOgmM8yLmbI6UBjSAw
R3ebrHuI53StSc/oBFn3tEOcgkLqEXrCZWDgsMg4sFA1OwtpANMn0hBgkyjljQXSUwlwEiGPUzri
gHxpr7T3hc8vgpO/SQk576GeYpDsZgxb/pWhfTXCbuX7NTOVFGiUOABmzELZY9F4RK6ylXtC7vrq
TvR8JiMfAjKttdI0u6CQXeK65QlcAaHCgRWucfFtFcm+mGARNzXaxKzfdoZ5iRNonxZWvpLN6NaQ
QGb4+5oeuiXhOLDIcyp2eOMQO+5GMGjgyCl7iLdXkaIO08YcRnfSsPbLWPPndp2F5qHV4q2Zl7dw
AtDr2gerug3jqzRLvSki/olkmg4Zs8AJMDYxzn1trdB3UbEVmnN27FUdf7WNm1JaGVH+pUTNgEi8
WcWWToJPMsVANZctArtNINnfCbl8MOfiYpSDTZOmNwYYRoEL14LtHJM9ohokDF0H0LdqZC2dubEG
3JNUTCAkxgQT8eeqerISe2XjNpZp9AFvrSDPg7BEZPA55Eg5YePW8thTo7NKiHbBk0e2NT0qnqjE
yY3bGYp/hdk3FI9Jse/sO3a4U+4zwTM6nikwFtJ92xxHbGjR/VSfc2bLZRI5pf6YI0ofhhPqgZWv
HdTqrq2/J9UXmYI4j+5CfKlhfIqry1IiRXSfYnmz/Cd0TWu/P7cy6QX96LTS93k4lEi7pMlV6ScT
SLZcomseU3BMybgkTeRXdnrsMngMBeNH8bWyd2zM9ApqpxrzfZyMa4OXtfeHnZbhPZkTxkW2g4t4
bJ/yJFxJ5NCHZUYYwG7SjkUEFg1iQzCWDrZlXgWXzCEUSd0uHaUzCnsMX3RqLTq2WRudk7bcFtAc
MS4zPENTXi+dXbrDjHZo9pIcdW6i7BSU9wgiV7L6pTR7p81MiBzHwX7wpadWl3ZTVF2N4pvdyWui
BWBJfJPseq93oZPIpoem+lCbpHCcpQbRPpblirmrjoS4wRSkNgfOIpJEg360aXCG7PjumOeHrr8P
ZeU4NDXL2AjXUxzNATFTDA+BrnVJ99pqTJhZ7X2OX2IQ0h1AmnU4pGTJtp9jneR4vbgmDO5Kp2ES
Vu3LvHTDh5BvCSnqKq2tbZ1lgWuYG0HXHBII7XMh3wAV22hLY92kww6ActwCCHcwKXkSuWdDNCBy
ahC0zVtfGsl3l/gitYmzutFeFuajTS1ULG38nuZ5BH8+80kNy2avRW7UY0dd4b6/MvLHMTNWtvqg
0WWZSa6HSLjlgdu0CKiMBGkQ5HyTx12tTYa12jfBFAGfxrCWSxTEjLFx8dcPQV99q2wMr325Q/3t
REq4AZmC4DC/GDmVqWn970rlHy0A+8PDxu3zRFDo76eN5ad+1inqJ5VGps5xHpUsw7JXdYpK2rVQ
OBCbhCD+I7r1rzqFgDsFyrslZJkygkPCX3WKQY+UUkXVZHXpHPytOuW3wwa/GnoHhQpFpoh5U6XY
/jylY8uotirklwJefDcMX18Vb+d/lDyvQ1ep0d6cZ5ZLWBpRS7Sr5B+TvVeTu0GkUgkkmEuMiZuD
U5LabAXi+g9xiO9ehmkT7RLsOdrSTXndyZBh1GHy4zKRVHwLImUvo81MkbL9F+7m1WWW09uru8lB
qwmQ07Xna9ahLtINeT7HAVbK/9tl3nD2IXD0Pb3ZGsmqdlEG6PpnNs/U3n18md/Pmnw3r+6GQ+3r
uxEAqNvKHGuvE6jYrHKDTutCk4iCZl3u/9En5CyC+uidB+G3ES4l+auLqW9C2GrgQXMXIZBDewrn
anZANYzxbv7nselfXkdZ/qBfSu83FxK/3lXAtm8ODR8ehn2nWJ+11QnW0Xr4w/28+8T9iDLl4K9h
Zv71MjQLknJQutqzIvnG0MavCOduhiC7+vg7+sNl3n5s4Dew4yZcZjIOZvEIBwdPwR9eHk5Ev39i
uo5exLQI+bHfDDZ6HF2Kb1c1iQ69o/iuEmXux3fxpyu8eaBTMxY426EDKIkZreQp9rqovfn4Gu89
YCQiEIpBCg9CAVbh108zpoRmThKWgKn6agaDA8cFcUq0TvMvTfj0X7jW0rQ1OUTSEnpzrZbeXzoo
Re2NML+YcAceDRIoBtDtPr7Qex8cp1KZ54tjJJvCrzcVEEoQxFnMW0MKFdMmR3T1/ceXeO8JM0ya
1DIiD8Qfy79/taa1xtTbse9XntlJFCEAXJP+PHXz5uPLvM1zorPFHrgkl5CBjJLpRw7Mq+voUw03
IrIrr3Si03ys1lW10tziQs292k3O9n52CwBVF+a529tP0Ig+vv47nyQZx0RpIkYhBlJ+c5upkY2Z
oI71zNBfpyCCcvXw8RXeu0MUhLz5GgoamW3110+SWlJWGzxrXojPey+fagcMwgaW4D53rF38oHxO
buNDfwKc5Rl//w375dpvVj0oB3qY0s/3/OE6jR+QKv7h83vnMfnlAm8+PzvWQ7S+ovQK9WKqklVO
80HLbj/+CN+9CBNgS+b5oIPyZlGFKKppktFDuBuQ/oOt9EiavzWi8OHj67yzVtCW4+hBB5gJsflm
xZPA3xJ4WZeeAd4WyA6T1c66V9V9Gnz7+ErvPHZcxDA4x2rkzr+9I8KoIsMge92DSsVJA/Y5R/iP
L/Hezby6hPlmZ9XaQsG/xCXiTl2DR1txX7leMln9rKNV/fhi731Dry/25hk3FNwcQolLrzcSYD/f
KjPZWv0f4u3eKUx4QymOBUufhZLs1xdJi2RLqW2IBqEMDHORiZacbY3qirG5+/H9vFcu/HKtN1sT
oTUVuWhS4UFv/86cC6BhsU0vsVhIE6ew3ceXe+9xeH1nbx5wQ50GKU9DAAdgFwErrYT/h1do+X3f
lD+v70e8eRpqfMrogLhCeKSGa57zGxG4/XW5/fhG3nvoWETZNGhx8nQvX+Gr1RzVHyQ00yo8iKAW
8BKf4fdKbTdWvP74Qj8OIb/f0F9XevMF0eXU7UHhSqMDhGUVL//jKxJnGhvbaoPH2bWdzkXHusbY
ue7+8MAvh63fP1BFaOwe6EzoKf96p0HQDJM5cn19VR7jXeWCxgJC59irSwwPGygMx8vkEG6MXbKV
L4tiBXBsk1JzPsP3WKHQPtaru+/WWnf+9Ku9+zChhuSAqZIC//bQ0/OGUIEqPLoJduLKcmTty8cf
/ntvuy2WkTN5O7/XOVBp4QbOcuFVdrod1CsY74fI/sMT+6eLLLf56lGSsdjFmTQXngXLsazFKuRR
0iERfnwv774Yr+5l+TVeXYaBsSK6gntBWrmvn0CyA63GM/PxVZjgivceGMPEF8t0l/978473A7yV
zGgKTyC6X/VdcKhs2TE0nJoS8PZ8uh+bMqKRbq4F4g9ngKqoFaNb5eHFWJaffdBVBGpthioCqKBu
ZprbxggLBSxRa+e3Q6mH4FwMHHRfkQIdUD86ahiSUqMND1Y7PHYM8XQSLehnPXaFhaGWhxaMCAAE
j4TMbVKWYFC+ztadBtpskGRQKzAfEvvsz9j/lJus1sJsJdN2ZLCl3KFFyrK1XJTXwhyibV+TZ+TV
RtFGT+ROtZ+R5kanTEmmjEy6gL4X6buZeJJHPYtPcNj3BS3plVnMXwlDdMjedqSBfAHb2OuleY8Q
B3koSRAYKtaTD0WHrJhmhZr2BHkWQqhoV1Ngad5oxy9DE/U7BiLUh2gd5dag62Z8yebJbTpGK4Fs
4Z02ssux9x97fEQ2sJNUTbe1BSVRBThG/5NzOx6K286kD59h/Y6qraroTP34RGEqyWZyJMVik6mM
RsfsFErJhgCVtRAYf4f4WpIXa212P8HVgDXb+Y4iF9sc+GJk+UvafeWYvQ13FsCOmUeOSBNWDpGS
MhLcFmHReEpV3OO3e+5mppS9b1wGk6VwKprnVaTPl/7ceVElb4MoJEyqBDVJLNk4mHtZMrxStfdl
YLwYqgJlHqdJxocOja5fJA99u1Wt3AHWfwdmwZlszLcTsltawV2ZolUCRF2P9HWrk9b3GOTar2Or
ea2EfxgcYhJlDu7OdRfcKwEZRal0MPTIsZXaBQuM7DpY1U1zlOoFYoJ5vT0wDscGGt1VJpZbBiag
G3aZuaQ4qpCZ+oeR31im0UkmtUeqGB6OYqs3lw3IpwoJyMyTmwVim3X3XUM2ObASMxcuiaeQE3wI
/eUG384m6ljaxHNs9is0F05XDFt58GGe22s5l3Z2Zp/LjkTf7KFCHC2NgVupYl/73XctUq851qxN
GypikT8S5LEh6PTQNTkuwptY8R98Q3ZmyzykUe8KoG6I9xapW6ABLA6cLJoWzbPbTZyMo/kYJpGr
MS2yY6yEFl16S8p2JsPvahjWvMB7EU5gxkiR6iCuA1lUuvlRYBwZFX0xxEPZ0cAB16seuVgMLNqI
kY7rj1Wk3clm74Fj3DTqRanyyEQaUNqXtq0Ydehrpv2rYgDiBOeUHKfNAudN4d2OVuoE+DvDMV+F
cbPPeIUh/Tq1gDE/N+uIwfg4ILuWGLXfGcPZqnQM7xDZYuXJwEpCR9mB1wc3VcfNA4Qo1y5gsDsi
ni78OHSmNHEmcu1A+Vy3Mefdjnmh36+E9YI2EF7VtoCNJFvwj8zcCZhTKDnBOQa6OYkojUvRPUbA
PEqReKNF7gx/n5RfAlr9GsK8YvCZVsiIhioE+YmXqKi0EfMSyOYY9fNkRkt+4EYKgwWGg4nXWhH8
u1KNmTAY+Lf9jRXyqY/dNs6eWkHqC/S/DvX9GAsHmem+mgDDW7dRA+GIeUKKCWguTFyrd0HQHfzq
obZLZv8vqdFuzRCP/DDt8MUcVT73Eat5pX/JBVoDAxIvH/9i1lYKTAdZ7eo6OAx+XwNYjCVfldMu
zFvPqqH9NOO+NBDPG8gPGVIVDZ17Kz5lScHTHa4ZaKOwhBJmlatmwiNtn8F5OS1261y1XWuOTlVC
BkmJwDG+7Vl5gro/iSA8YmnYLcjKGJar0YwO+tId+i5PxMTbSMoFzWPsPQg2Z+ECNt4U9rQGhYGC
ydrMZLY0t1LGDC2SPKuDJ89rHQzS0RfVGgfcdpIJem4HJ9YqD2iBk9Q3oNfXnXodMY/pZrTRZE0n
2rbAVc2Qmp4HE4tEOoy8YF01c6a3eI8heZUSk179UcLWVGMIZhd0lERzreQhlZgAteQZycFW0a9F
cFfIyob+Bqut2FfYU6UYBmW8LxgJZrF93Raa0weCBAr/JpOzbTR1lwtUMeX2cvJfRkKoKauBnrNM
KkwnR+gNxkBSWo8VOq5dZSxJA5R3vjTthfwYCAWQJSFDc7eBekZsluYO2L3bnEcutZmN5ig/Cg8S
6zKeW9fldyY6BPnG8B9H1yRWRVomksq+mNK9pPB1CwQ6yXTXJ9DjcmWrsigrJQ9vh+fpBQ39faSN
X4BfP2pmt6k74j94XcIKVdhorEtC7yLge/pYu0XAV9ryu4EdKVVxbCVj46sL1E+HyGkd/YQpEmM/
aeTzNlkeR2kJ+CH7JzkmjBjVNj5J5KCPN4ZCoGGeuG0g1p24TXmDq55NkEW0zMhE0DqnG3P2ifkg
aZU72OOuyHo3rBdC4oH4QRS634MpXIVcgrA7niISDMCGxWOyif0XRRLnopFdq51BxkHIGECLTo96
9zBDcLfn/WhIi01tFYMUmQVLtZ+4hiGvyfRy5+mbiv42iALyBA/VXF0K0oaSWnpSyaoEfbAZrKue
lTnXgfjPpAuRpmTD6dVvR4OdNDNxJryEZXPWKwAn88C0S9v0Boj0fjcDx0sKseu1+UpRRoAQPORQ
RkLaznLA4Ni39hCGV0GaOn0YuSRWO8AonLgevEDpHeJjL+amJMVv3pBvxMYxuyX+BFl+krWUj1p3
/VQ6YXBe2+U3XPwrfywuQVpyoGNku+RvGjZTVpqcSe9iT/TkJqOjcQmSdR/rhidkiFR4McjCWWsV
8gOhXUdteFlLP8b/rh8mmFvg7eo6eCXyTLXULfkqVYk29sSzj9+QZmPdYcBpGqdsv5OVuwOu7cb4
TsIOYUNmOATjXmhasG3YGGKfeeAE1DVWXTURnDrJfyFjbJSSrUIMDms6k0XB5mGAm0Ux2XJaiV7k
EeSpchYJtRTz6TwGzV2tdLShRgVPpc6jnc1+15U3IdhhGGgrTSecZQg+hzXlZhvuBOoLQgJWDeRS
Ew3baooJ0kgFZowW7fYE7gsRmx4/NBqkJoSQhylsMqfsMZCSBxdRqWp5yQtmXZqJTdmbmBtVjwAu
od0CobFL9AqLaIEmbTxaSN8rKWhZQPpzY0v7NG+3jUG8SzFAgMqyY9RkfO/qQEgVyjIVJqLE5L7M
yrsyMrwsEZ5Zhy4wYMlGlK3Xh7iKjjL7WITKoWCMDz+jbaEDpOCe2JQVXiBCu8GprPv6FOvpDcLZ
s6pBzcOBU5FnrYFuZMiyngC4r8zaZ98GqeGTjVazlqYuk+iDitpBkcWDxuERs6RTEPYVCUhK2rzq
J6QCVKplmZ3VgZUbLrXMNt9FCeINqvWydZgzuq1+n4VPc2KCQ6BMm63LAYl4j1og1olpaA+9T51v
2hIYC3D89i6nrK7hjifGTM1TbpC+XkEpcPG1PavBk5J9hv1bpMtWQ/Empuo4VZB7x3DjY8NJ4kPO
VqyWF2PXklM2AdAg3qXHgwUJhoUXfxr42QW2DjLN0QeWYmOaXTHX+MHQuOsWYVbaLrG1ddVKFN/h
NiTPWOBnhd7tqPh00/K7kXA5s9wFMRSBqtrIkIyCQHLiANxMth9hIhdpsoCUIYChl8nnQx1MXxoQ
crPWEIH3nJTWuhoDfEPlpoPpGkTqWosF3CHwF0SQRMiAxkagCKTorllYIyxRUXQw+Jw5/DpydK8b
OSVJvMsJWED2xHpMPDphVIms35IfcZEayiYc4pWUtc5S0msYBDj2UZGwYyDldOMg2aC02uSlejMG
7VqGQFhF8qaTXgYk/LpGBhSQ27k5lvScOgakvnYc2tHRiBRJwFVUynxji6chqi+0sfMkPupeGE4G
Q1UzmnrFrPA6twASF2gfk/BaFWe/p+SbjQvZtp50ab4eUhCYCD0rTkmSMMm9ec6F5NoSe2Av1hmB
AlgeKhZlZbyvVWZzXXwvS7Xblwo7MPIl+IjqIr/JbwIO0OHYuKQQrNMuclW12ZpqQaDy1RjJ25JE
GiCXGyHHJ+Cmd4hRtmoATh3qWCy3zyVgd8XvXY0KtdRLRFvfRzIS4hETiugQ3FQ3GYQwpQP2gwOu
lBz8eI7NjlRhnWmm64hXSZ+fjGWhUFOHqDGypIAaqtK5s2wv9CFO1bkzWPOzb8m3BHJvBeWkjcSD
kFGnRWaWQW+XW15LMl8mCc49MW1DjtyOYANiREklpEBD7RRLDb/IU6Ldm6V9ScIn78jDnPG4E9Jh
LxRpcmegWqxVVUdtIVOn+ZvBJCPZMF60HnD49IBdDrG5fO6VJ5GcKmrTAeClCRYgs8lMhqikQsq0
0m/Lrfal2CT6XRZzX+Xn1jxPWQft7JvdIJ2TDMeXZm/QO+Blz8P40pHfGNieNAcQMSoKaryfGSEy
tuFWeo/3ngTFwiAKh/iaXttZA3hi4GUBGrdJ/ir7jON5Abv4oo/ugzbf1ui3NJni09RuBRiCmp1Z
U57lpN5q5A5HOeWr9E0dCJzSkV6hhzfb/myl+kqvQ9ACxyK8UoFp5z4gOf2+IHxJEaWjFOp2TqNj
0ZJFyvbZcfgUbEsDhMJknpE6gZFJPgOW8fy593IO6H72reB2SzNzfAqPsprWeU+hp1oNpxCZkubZ
gOVeWQDkNPWhlfMLDaWYPJD3XS8cry9x0m8IwmVhuK7GF6Vdnnl5E0svbT67MhTSuftKMbHRpcrx
Wcs5AxEY1218QHy6We+UmV24z77DJuYxQQpJ7KMfk1lHda2qya5LvvmKsqIiXUOc0Ytu10ykVZiQ
HWMkhwrqxMFf51hLCzoI1ng5ZbdjyqOoL0sG57uFeq5Y93LankpFuddn/8bSiH8r1PkE2tb7X3gr
/bKtReURb8UOooEDo0GdKs6PntW/nfFo8T9QGl881yAtftfvLD/1U7+DS4fOKtZ3+ikW5j96k3/p
jHVmpsKAufHDkshP/fQk2p9oE9MUp3Cjb61rNM9/6nesT7ZumyY1pTAWS9DfMvAgWn7bawRoaDMq
M2kDK3Ro30xKUtMIirRVAo+ORZViWI5tqjTLmmWHVOshu+s1dXzOZJDqqyQlR3EEr4r3eSRsjLwS
U3ryp6miuiClSKKrdRWo+HmLSQZAayg5ak9qTiFPWzOzaWCZL9lSzdWKNK+jObztK4xrCI4hzCDB
bc9TUEc3YWCZLJdijNe4XHQ2FzWQHgjSYk2qzjF8xCkgc7qIT7aEjbgnhmKy/MMYjtqift1PQX7n
TwPIevJRZyS78pIAniSHIiVsqlD2GmKf/8Ped/VGjiXN/iJ+oDev9GSxfKlkXghJ3aL3nr/+BrU7
I4qqLt6dfV0MBtOARp08Lk+ezMgI4D4TC03l+y7wCBn0JVoEKnS8bGqo2bcj8JKo6fF+euQECJd7
gJFj/BJ6GsKcAoICRLNkPThpg7RDWGUeApog2vKg6IQ+e5w80AjjoaeFvnKww1r51PQPkRWbAAtA
CTYADxhjRMa9TYInYEAirMgbZAyAUwaPAIPcUSbUKgl+AY6EDBhqCw9+Jz6yeeGIYCLoJ0qCoI6u
oAH7yGpXhyTsvhOlawY2WLaCFi6LrsM+PhBgNPASBtQF6NOcqA58MKvDGYD+QHB9VB4CyHxS0GkY
vAdcxHrmQ4ERTcxUIG588PHr4MIDBYy4hQwxcqzgT87iXNJSdERHTaEXU4s0F7QXPiwQdww5HOZn
IzUKHhpfgisYT88rsMoOj+7rIEGfoQ8KFGTqyKk9W0jLK+SbXhsPlfu8A9AQQPYM/E+gEw4z7sxN
nd0MnygtWCJpIM45tH6zaAHn0Aoe8+iIRWu4jxbxXEgtCHWjZxxVeplHGzn72VAeBGNFOCGSo+AO
aQI3uI4VrG9CELM9JWhBAzceAY0IiOiCE9hniDOIk40qYU2aT3UBtC0c3T0miL593n+uUw8Nr75F
5v6mRj9ZAo1BdImSDwLtkvIQCB9pUDpFGw8KiWIwOWDz1c0e3cBnyLnsBzF6QyUXoE5qNEfkD+QC
3bOYcVblxNhyJUkjCu8CDgRNjEkzCuJt2oaC7HLVoWMk3S0JvP6lZ3rsIGQWkCbAEubougeQEZqu
iNQw6FkBwtm0QQ3s7CQUIvLYU8gRDNG+jkCf6zKsw3cjgMRBi841YNqFSEfqxkZHNQsasiJVQCkE
vhtQH4ecJyotuF87loJ2F4H2nGJ8rUMGAKKyxvL8q476vztkaij/c7eK4r+WIB+uf/+8RqZf/LpG
uAl38lnSFoFNQo3x6xpBjYgHbIQC/GZix/q6RoT/AwEXqps0CyAokngoNP11jfD/B2cPwDXHsOhl
Q2v8fwIDpRelMW6iacHdBk/AUWg74xYVuKAhRagppbRBt2zNPdC92J7SBmStz4KUlo8tsiBSrjQF
CRXH0sVDi0AQhOK1QExZmmLKj/h4JEPJLAHVUiuQIt75nOTUuWcENVJXksCAljZls8KII3FDijR8
G16uDQsS0wISoalXRiN6XUR/T0d0yaNXJAVI5PC/QOezV5nBit7ZpK+xnzU3Ip3p1/7aojeY2P7a
ohzo1pDNYNE7NfHvfO+oAgKABMQZ1DzgWvgKdKa2SPQUS+S/Gp/Rw/zJhPeFFQXJ3R1M5w+4AfK/
iMDAAMTxU/y0iHPqfvDJBg7brFKkqsmc0hv0NMtsgDyjh6wrG3SGFEGCaWgGfYJUyyHvbmop72SB
A+N3DhZvmUehW/ZSbtN4wXsS5icIbiLFLOLVFJOpFVfVL0lMILAATTalaLNYrRJwvLkp3rlcDM3E
ivBjK8opIwb1EeRG8XhPk26fSxCv9kOo0ScBbzBSjKqM26CxACzmSkVRhdoLqcaC4wSMqOSoj1FG
gMsb/UFRhfJSifaXKkJ2Y6SIDkrrbSDTAgRPCZ6DroIECSpIqRyIxEdr9Og74DXejSJ00wvwQKPL
o37MR7xqBxYCCxTlMb+gxOGMKX3wpBjJwRSq89CYOfcEsw9xRVvQXTxLTbdhSvRrodMJPWRMIth0
S5EGT5doCvORYEarj4i7mOkhAl+gbZKH1DWKlfGlLZHHpSToBKVjiuJo8JQx3mOSdYHqiWSkNFSB
AlJHJ76kVazggCH5QWzE12jgdowboHQj4u4cePYhRJMaU1KiwvBh1LxFoidmoPAE09N5SGvpgc8k
UAdDCOsvLOL/LqsJXvZnP+D8boef99T0O385AfROkgywi2iChMv/1hzN/B/Fc2gXo8F8AozwRBE2
e+7gF9CqwICEBR0NX14A7CxIPsJ5ADpIsvgf/qPnzg8kDhoISKR6AVIGGpZiFk6grwj0N9FeggQ6
b8TACGQgcPXq6pVv+xWwyA9Myqcp0M1MsFu0aOBxNweL8OAEo1zQp5g5j23bQngEaAXJG8+z+T/8
f3RHLMwsLl5RarjGbWCmFyO7Ac94BAU5PmXXwJs/3CfsUIDtgd6Yn3gzFxgm5GA84PxdDOd5hPAJ
0AnXpAIvuPKfD2duZkLGzCA2NEgkatoVY5PgkLGOLhwyixXc2X0r06R8A4QtBrNYGw8uPndRIza9
pHsBsdmHL/GX+yaoRUTEopsfEwYwOUIjCnsbZ2Q+kqoYJuI7ITafdOTi7QiCj5EcbRsdqNf+gXjG
6++FP1V2rTK/7pu+tfNmlpeAf9DHiITbwfIg4DnPqCz5uyNWhnfbhsAB0UYBAytNo5+tk9jQUN7q
pdgE9zEbZkpYhnKJkvT9kXxyFfxcqL/MCOQCigjlaxG6jzBzhV6kbqD1zE7eMz3dEup9SzfHI4Dm
CcQNwA7z089n4+EoPs9jno1NKGyAFaDBw79C5m1lZehpY/0Yz8zM5J9mZpIAkjFhAjPgfbW30Cgw
CJnT+0tiRjb1aPgqek1GKOXIzaW0+bdyC5GB/26gCw8IFN4oICCIUVk0C1SvPFSMJKj+3rdye+Fm
A13sjyQBP1USw4x3bXaUGRlgR9WAV1XJDfGvkPyPoR27MqeLg5bFBdlEFUxBaEmvRvRBF9HKcG5d
G5TA4nIi8QgDOuf7srmeX7FjChM+g77ygpDDYZRdcCH6WbKyPtPX/tghIvpCcE8hXp2u1vkOkcCw
WCC9HJudktnlnjxkT4NFPqIWc3+Fbs7alx1hcbJCKY5RsKdiM2Z/E2g9al/u//3UzRM1M7C4MLgs
BwfltNXZ7eCjYCXnJnrelcjgnbRTaw36pLoEBuO1DX5rYDQyH3gPM598o98nsB3EssXrDxs8RRM2
ByiOID7eH9utoSFrC2gaAPkcrsTvJryBFUGE3sRgaj8WtADkDoCE7LCyQtTNkczMLH0SF4V02Xbw
SRpxBu2yCiEu1dNck3yXDE4BX5B2f1z0rX0+H9jCPXXJyEYEWhlMZl9a5Z57LI6ZImiR4TmHURnU
UOMfE1UyAHdSUuW6BbpBJnThHxzo+VcsjoDLUQSoHjFuInxI+Vzug+vKOG8dspmFZcMS5B2oUQQZ
ntnqxWvzimIr9Z5mMrrmNZxtVVSBm7P5swdaySfORi1QFi0gaNADCJFsHdpSG0m9/0krW4pdzDxL
1rU4JD2OvUdAf8xXAIwI25UuPVCQ/HQu83EvnH/JjCSRCphZwD6UVB0tiKHtqD2pgZNLEx0Q4Moa
YUM0TAlUQh3M+2OkVrbXxPY7921uC/I/OsO0A0WrJPBuodrKBiiG7FLWwESKRzRy6Su+m5o82dKj
olIiUEC441FNLhxRk3l5z7g17ocCegER7geaN/ge8OEUVOgilV6AH7cDqatB+FOvWL+9rgJiJAb5
ux/tSNWI8gVk1GJTGB7FHsBYgE4G8JXdn9lbwTmNUtC/rSydOQhqCYjDY4j1EGs0ODNq0KL6VHYc
qVFm3F/3rbG3t9Hf5iYqq/k6jlQoeZB4QoCp8EZohQokXz4gcmW9ZPKTqJUqCkN2YQCZ6L0ANiI/
+5tQfjAFi95E6nlQU/kdpN1qhT/kco6+2mptp61Mu7S43cok4gkams5TelyO2x4J9VQf85eKeavR
FtAV1y4G2Q1AnINZNwlYHUq96A8lQa+4VHYKDX7uvr/nCkID3+aqzQU/yissDXTFXyIT6Fjy6BqS
IEcOqw569RzuAFSwgfNI33oTIntbUGC9SRvkijrjJHNIqAI7J0ei3ECFWi5M0hhOlcmcuQOveXuQ
VJArm+kPB+brk6flnwWpLd2TBU2DxRZghz1oKENZ3tXojGGIFUu3/cGXoUVYRcW0y3rTyaSEUyvu
c/IkVG+xsHJb/2yqxEtsdjqmCux8PDGNWk2XwcymUfxnxkE7w65W40t9kDaQmNP8TXQAHz4tg54j
P94/K58dNPfWf9qps8lMeKhWVxGM09teJ/TYahTxJOYKBWiR4eqaFh6lQ3oE6ZoCfGzhAGdkuWq8
E1c24s8mqMUsLG4YqO8xUpbjSGTX8iDtM9NVAEOFZCxlyka88xTp2NrCzrtA+xlU2Rs0mtyfCmra
N/emYnH7cCNEscIR+4o1tpf2TSJlr5Ahur2l0RnwmK34gM82tR/mRHBSSOirYOnPbT6b+UGs3K4X
4KU4KQZ4CkXoCgyuBGEyQHkEIJUFQG7nC8C6B6POFVDNkHp9JIASCaDaEDQKAWWlDOwC3CTejHbw
LE5XFuX2lMy+cXEC6mHABoFMhBmyH1V/KaCOKJQbiToEQEuO4V4oK5VC3hnqxJ1Ur/RI3owvZ8YX
bjyJU0JkQhgPIKmYgvzLW1vy6UK/swSfSzRbAoEbOqSnsPkhkXeoSOaSU9lDAXYy0e3RdMHp3kit
nPbPt9g9mwuHm3gSEVcdRlVoFOifZBpdFUZgxsB9aa3KHMAXvuNLeXvBzWSXG/Ey2syuwFEEs7DO
KYgCAGt0J0/gH92VaOB2SP815Z8B2mxCcg8Xk8Dg41qVtiugZk+JHWwLw38ctfglOANjJvyLyPOP
z+PbayCA8hrVFNANLFa5pUCb30CU3ERFTowi4ArQk5WQwLbFciqCiix5u3/ObwYj4t8GxcXdSwDY
iHMHg1RjgInSGQCEgvDMMCCaLlZW+/YW/rK1WGyP8noyF3Ns4Q5gRlRxPMFfWbM/+JEvG4vrg2Do
nGIqjMc9ShlUNuXW5Mx4L9rUIXUim7+EOwpMqtg4mQoyOPPX/en8w575sr+4QarAJ9GJgjFGkGCD
vr1C6dkRKtQm2yiRk1jkngxkb3/f6s2rGazoYDkVGKTFFka9Iez7KoPRBkz6IKOSICQWpRMCaDXH
d3MNZ6YWFxNV9CVRTGsoltAQldgrUUV2hIY4Cmo3QzhAmaKCuAu2apZ6SFa51TNk2XQqGx6Kxrfu
j/vm5gU/K54LUJtCheD7dZ0RSU54TIS356YEyvGlO1QJdBhW9tSalcWWSqgGopXQ6oRfRMkvTCUW
QWo0yAJ6N3yxewgk8ff9cd2+aWYDWywoQXBsTKcp4lAoR1bdmwCVBZZ+GpJTAlxptyUhR1q+QJQI
suH/1s35owtaG+7085nX68FtAJWrLDYlgDl9GT1sgB1HT6KwEmHcPqqzQU6+cGaoCqUxDAvMa6Gl
TrJLXvLn1hIEWXQKvN/5g2C4u2pTHRil3gYgjV5JXNxM79Jf9pf3ncikSdY2oD8MLV5p4RB+l3vm
Den/l85otrKM5g0okMsDiPsvoXaGbvaGYlYm4dZxAvcXjiyK1KAOnaKw2Rxkox+QbYWwh3JZcPuh
2y5dcfA3U3tzE4u9BG1R8COV8IheiFIQq0TFtkt2kGMkPFtgQCGMGnS2AwyZZF6icUcLDk+d7u/n
JeDks7wy+4ZlJS8ERUE4UFN0J7+MZqwjm4ErlXrijcZGKV0hdswJkDhnUPmncifZHlI3UIZR0Hip
rhE53XxhzD9mse8il21BK4SPAfTQgLq4/FYoaBkllUJtVPTu+/K1kVXAH1e81WcRaRnszA0vLvco
iYqBobESNYbfW6zmmbEV7EQDOEiNUGoN7X+j1qmjgpYWDWB1RDgRXusd5qHYCNbaTNzMIM4+iF1c
/jVDtSENRWwzkylZBc2mMuqsQSCF+UTJrcyrgRFsIwNioAphk2qpEGqOlVn7js9U0p2J+US9zk4B
6NppoA2nU6CjAeCcaL0DhTu71jONk998tZaRSLUplUb+IrcizNX7uEMDdKNmaq1IBzSJqLxObMcr
qfZao/q7Tid1ZD2Nc622eqMwB2ZlMZnp2Nz75sXJZTqGhVgEvlmQk1Nwii/hZfjgzvhAhz2WKm8I
8kuquxZIvfcAU8nuGeq3uncIXyMnltEtoUY6wPz71QzarWBgvqjLS5Ft/z2ZSJcZnfZGyb18+o3w
EekbNNVi/VZezZ/0LPemYnFB9iD84+sR26hUt3uInSApi3IcuNh4VTAoZGJ9O/y9ZvRWpDwf5sKt
NflYsUkHo7ydW2OGsfaOoCdbdLBo0rGxGtVpVFFHT9LzfWd2e+VpAJMAm0DcsaTh6NlWomIelzPS
6bJeyYnW7vtNpMWHgpVrmz8wp8QZFcGYEmkAIIEHRFCPoeGpQOzilxoTil6bfJsq5v0vu1nHA0kk
XtET/SKor77fJlQFLT0aLzbT3aJDBQwPsqtPDVjv6ZY6oAn6vrmbJ2BmbbHR0nSkATYNAGYQIOyV
O2W2S4m1gPOz/v1jc82sLNa5rFox40JYub4kWiC/hWqiHJBl27m/kDmVZV7WzrESwymV2NwfmF7M
drhF8si4P9wb52qKMlFFwtMMgfbi9cJFeCXFWQjvjbA2kEHXDEoOL1fvW7kxqd+sLCZ1HKkBrbqw
knad7Le03HVop2urlZh2zcziyDZ05UZditirwgOzlAJoxTgeevbuD2a60BZr920wi8fCyBLe4Ek+
CugMoNuRTiCM86Z/PavxX91w0xErLyF62uJ3TIqL+Su7vCxJD/M3GBWIyG1A5qLfEOfMjsQjGMwd
Fg3OW0KXDoOFJO1zpgaoC2+jtc+Ybs57n7GY3xptelEDBXjzBXpFrhXZ2bZ6CfeeUzjlztPFE/GL
2uJu38dH77ziBm4lD+fTLi6OTC8lddnwODKbfapyGrXpdtErnSniIZY1c3gEObfaG9k+R4C9di+u
LsBizbkoRsN0BuPd0Q9l94B+e0c0Gk9BnU4v9tmBfaJsaMU4g6McuX1lhw/3N92tnNK34S8eMFxe
FaBewdwjtjQqlLKfx8fsiLbhY6w3uyhURwOtJDvcDnh5MO/gWtDrY3kqEf9sKM23GzPTRb3W6qun
3/+0W8l66JCAkJDGF0K+bDE5RT6wOZpBAE04CJtiiylBVWF8RVljrbB+4xX3zdJiEgq+DOuEwtEL
2NYUh1jhyk6pG9sL0Y4Rr5Qqb3qTr2Etk7doVcr5XPw856zKFO+dcM2i1fTrdHR/nKmZlcXt5nJj
HKXTfQNsXigneYcmERDiDN0Zatcqw/hbkqneAgZI0gBh9ISoTV0rAKL3/ire3uKzD1nE8R2Jgy1Q
WMWB1bn3wJT2tJYpwQOr0xsQytigXN+BO+sRFBXGFAIF+75b+4aVKV8+XqkhpfKUwTdsw0N/meKf
a/1WHnKHQKwcX1tApBEAB3pl+y8gk9lRdr6LNU9fua7W5uLTF81C98aLol6cFoU5I2B3OBkCZ3L1
kcjcOTCZE31hjrUWF2AdUYYDsGCszBzI3f0FmTot7u2Mz4+cfcQIjn+wSmH/wfzHiDEDHlBdvVcI
jWolHhHhlnwBRTvqFuKO/fCumZk7vZUYqBxMXPQK70gGewm2wovoQbnD7vRese21iHXlSH7mI2Zf
yUlZyUQslqx2+jdBz66uQewjkzv1dnwSXkm9N3Lj11rYMt00P04NeMnAe0kBST/p+c4zDLFQdC5F
Y4FqovGAaPd2BIVa7/0VuBGMT+Xsv40s/Boagsu6nIZWxOk5GYZKDjqQ1zd1oVIlIOYjQVyHmlhJ
lt+CKFAccMYQaERTDfo2v49NzJOsYQc+Mt00e47Kzo7DbkuHLdxpv+cEd4uGtxM1gqvPBximADcP
FDcgdpY9J4Jw6CHsrbTiGl7l1skEe94kHTkhSZcns58yThxPRCZb6mz4y82eR/bxP5/uuYlFKDp6
TBt6MaY7GRs5qA5sG4FDSFQl33soMPmivwZ0u/W0wFR/jWrhfLueCRhmiikGg/zIUJspbOjYxJsC
LRjnYCV8WpnCqUdqvmchqtYj3wpjPCu9+3F/9kcolXMg0bs/j/StIzkb1aesz+xIDlQsjpw3XVzH
0mkMT+7NfN+fR3l0Up0HY8vjb2BY1e6t2vRbkLNcoWGjpVoA1Y1VZOQtJzb/lmlSZt9CJSwB1iAM
mgVf1857sZiXdwhDcGt1/JtByNzQ4rAKpJdQPPQ+TRBTRWb9S7RqIHpKbXwZ6pUJvlUOmW+bqQFp
PijQ7nok2eIwQGbYRCEP3COPrlXLYBPQ4h0oJLbd2/01vZXvnJtcJrWkxBOIvsDwtqMquHKwy/et
DXlknVAYUGfs+Uz1H1auwVtOdjalS0AYV3gi0zawCdFyRcg+Mm8FoHnznp1bWMRzTdI14AvHkZf2
vFL9DtAbrKZgeLBA/KP1hr/1X7JNoivegd2kRvKIdH2/ljCfzvjyKpl/w8LdxghokV3ANwDeSKuo
F/6Cn7fzjbgPHHafm4nBU6r4FhvBjjqjyarc1Q9r74tbN83sG5aNYV7UMH7GYEMlFPIpyVaC8glf
WwFrJPxb7T/d30xr0y4s9q+b8Ggbz+AgqCy2gzB6bMFOzKU8cMWcTTG5XnchCBNJq68BT6E9oxFa
J4mSq++CL6OkoXvHWkmSGrgolDzK9CBvjLrpyqkPm105bdPBvbM+y+JxMlJMUHNuZHYiCXq3QyEV
oNro0WT/cH9a1o71smrse+xQQCgJ75gLhQK17R5Lyz+DxvsYbNNNWSjBfi2OWXHV4uJOSCuoFSUx
VkKS3mvO7gtnrCctJhNyDSvzODU43ptIcToIM1ccZWSejSI2GdLhWrtBXUptn5kzGDg1ymRlVj60
H94Wxetcw65XohfQfb1lD9FWMCCYtgeD6gO9OdPA3iIFuO2fel1wJjxRaAf62oG41boy93fLjAfd
VmNBTEkWwsS2Sq4BgEmnaOue+UB291AQsHrTdZqnWhlQtF15h6xcWuI0k7OZkhg64wBTxZYDK1yB
hEsHQs5qS6Z7aN67LBhXmTVYxs30xswFLNMbeeZ6UjFd2njfHwcb/E07Eu8vILv3iUVsCaSdWTU1
R2WCAGebNYjGrfzvtwlf3J+DBDYIcHojvfJUyCRCoVoFkjI4dRpvpxbKAfLeOjy+/x7lwzNhF5aG
vh4lBjs0qdLy+bpyFFdiJXFxMZDZIPAtiYRXSPe7jh4g4GaATy7gFLYm9awlVIFDdYQgdQk0O1FC
aMhvGlThAw8f/rcfs3CXbFn1ksfjhqhswDtIwEyDx/LB2/Wi7F6qxgC5wS5zCGtlDlYuhSXEtW3c
uge16VTJ3V78fTNBN9+TB9Coufgn9hQob5+JQ7EP9PuWP5sH7rjcJXRV4IlsRPEKEKEnSn2LcxUy
eIEmvlKbci88CmZhRFYKlDa74U3hFdyVb7xa2/4JmbHTRE9l5A8mv+vevD1zWfm0WynI2TFZYllF
0MumtYhP6xR9Dw8VWy/jRjrRnRxgHXzTPPvbXyh0JptUeS2A730ONcKRVH/Fm/4kVBfRRv71dPjk
z575CD5nEM4n+BAwtJRWZfQmSAOAP3aPqLVr9T48oxJqx/tsy4IHeJc9oO8EJMh2BPDMIX5plMps
gekDn6jcA/6ZqNXjKgR5egXfW8fFK5mJPJrNp5QOUVYXkZqk2yVZ6PidAGRlD1bcmrLdgFN9DzyZ
9CMQjGrZG/dXbGUXL5GvJTmC4wY86Dg8yQdpZw9AnrNP6YqVW9iSb8uxeGeMbcuX5BRJUq4lwmUL
nJ2CVDxMFJH3DaF4pslGJaoDctgWhz363w1y4Txpt+won8QgCfraq14Tgv/FGqMrEz2m9crpXAtT
lmxJ4E8Lqnx6UjF78UMw6824GXZ+KosyVcjtMftFbjj1/vjWnh/LXksXGrEZP+BGBBGmHWySSCPB
OfDAypUD0Obb4PAbCYhd877ZW9iCb6u6iM0Zb/TYqsRQn0ilkquXzAgMasNq5Gu0BW/a0G0AH3Ka
R1ch9uEeOjVnhE1CpzRm/FAlcrihzZVPWpl9ZtkOKvA55+GunirkZCy/gE+uOKIU4rjgTEfLZC7z
m2LN5hSZ/TjHFAi6JhU+ilvGBmWRVeJQYvb5bfXR7YaHZBsY5UfnhDJ0eVfC4JsHdmZscfXWJbh2
0wTGoiubqrzCCIoynLO1roTbW2pmZ/qOmQNtIYnR1qSENNdL9RFsOJPZUI8ZyigoYyjDm6hH6loB
62ZUMTO52E5FKREZm8JkHUAkmwZ6gN9k1Pv9TXsLOEBxX1aWt6eY8UzhVSKs6Jk86pSamNXRe8kf
yXOrlTKjJecEW2Xjr9QrbqdAZoYXjwkhZ5LY6/BSKq5Mq/g6WJhATymXdvqw9m657W9nthYh8uCS
sYeW7MhsnfISHT2NtfpjqdEOuQHjhrBy7d8MyGfWFgs39iB9zgJYAz+5AzbYwODsDJUuwfqv1g6s
eN83pU/xJZuD0xBROAD57yAHMosHdj/omSUYz4FRWIRFHVbRLdPK/PmAg2zvu1nwe2ZcRWPl3FyJ
yoNn879KsxLN/to9ZkCerBzxaXHumVscccjLomCXYZRCd6agTjF2/6ia9HUIACr5PiKBbqIcoo1Y
MaW2XNSmg12EKgnq1HvRGY1GrSDNreEs7Klf/gsAAU634U/3V/MWFnN2EvnPAzNzMQzljxLR4yPG
PbH3Tr6eOPGbZ1eGpyUWGrPwpqprudZYB2H0G2g+79tf8QQQKP0+CVSLRseMhX02VwB6QDkUj5X+
UFuFUW+aY3+i92SldU6eqI3Fr9SP7vtxaAp+N56TYQ2lFuypNKa2BEQxoI1jII/yqyHHPct4Tl7m
K7m0+/6V/3T5s/nGFs6yAhRzEHjZ+9kT9BLlLvyvXAH/mTiY2WihMNBTk5NrBDUutEavd8wgg7fY
Sh7vL999pwMZnO8T2HMoOvg5RjOeQaB4Sffxo/hUG/8o2fC3b+OXlRUICfStX8AMCgG8QkHjWhYv
rZ3s/X8WxX2ZWuatwTcNhgEB+7HU3WOPR32ttw6rnfhObvGcgyq4f1qNzFem8bPMOVuwphb/fekC
7jnIb5C+1pLH4JX84Exw6DrBRVQzKGSDYoBW7y/gyoUIIpTvKyjERFdAHSWaVNF2RKnGlUFbJCjX
ocRyqVeeICubfwn35MMwjwkGk9ugg80vwcXYqALAIvfHtObTPhtjZ9Mpdszg8lMMI+j1PjiyKnR/
HAiU6xf0TzfWAAxKbXBqvPWe2uf7tj/91Z1747PRdGbbz0A1A1ePEyHJpQPFmw3lgI+9VUQdqkf+
tbyuCbStudDPpObMZJkMfEO1WEL+BRWk7Cry0FSSGafS01HJdx00tuypjZezO2styLmF0pvfH8sO
lFric7Sh4mhm18ZIDFGlD4mRa6OSbgqoocjQgnGgYlDiJmvtBpSUAEpIpugqACzonRmp7ok49NzK
tXI7PfN1jJd1GaonoHjQTjsN5LA76QyF9G1vsozCabXpHkA/rfpvrelahZ2hu1HnVWbTm/2Heyp1
+hEtu3oOJb0StN4mffL/QWPJt0lbBBdUin67lsSksdvstd17W+jfrNwBa0dt8XQQQM7YVDVMEIzD
Up1MiBuuf1rZ7Ct+a6n06kVSzNIjZhl8snoI5Pg5sV17wEtzNBMHOfETtQXBo13sGytdCeVvtezO
J5FbeC4i6zs/6DBCZp8cWUUsZfCEbRPH3XeHTGkQynQHbguu2d9oE2Tk1AGLjtoa9fafZSG/Nhu3
eFSQYsbSBIsDKKCnINTRiSRHCo/+4FOh2r7t6UdBJXe/7k/+7Wz4zOr0Ip4d+3gES1k/eTne8C3v
rdFap36CSk+0GY+DTilNKze6eB6PLCOziCghCJKu5Fk+y+R3vB23iN76EJxECYOR9+/jU7CLEaF1
j7SJCl2xa7aZA2U0hHGSkp4hAKVwG155m0htUQ0Wn/MdCTTvMbrQnNaZ9ydnZWMueU6hR1dB2gDf
FYRPJOiW0z2X7Dj3tz/8JkFyvFaknc7rz2lg4dpFTpQgA7tYCuRbWQ8Ox+wgX9EKlAbIizq4FHQ3
aLttBu3+6NgVc9PPZyvfhtXIMFP6QSqPA7Nrhuv9v39tOAv3RKdohG9HzJ5UaS7Y7UGaPIkR2dWo
3jd0O3lF/T1xS0YMcHlVJOr2U69566TPqcVc+nd6+yYhcUYjY1R/SIr7TFwRjFjkITUD5NQ9X5Yc
6Ve4Tc7Syu19+z3w9TmLiY0ggMdm7rSOI4QHIpAqgBua6mrVryCAEeZHaBWuTMGU9ryzdYTp57O1
LKW2gmYi5nqEABs6jY8CZEzWQN9r45qOy8xIV9NBTYPO0yT2nCuHj9KxcjjouK6M5VZbEVzy3/O3
rA6nbTN2w1SOAdsiit5OJz4n4hOZP7veb7aEMqT3HJIvbLet4wcaCjIixGTMODHZ8UlqT613CiA/
OZamzz8KYJwi2ysLmGVPrbitP+TVvr5zMelVPA4SaLoRHVAEeIsChR5fPeDBQRsvNKchYuTRN1vA
BLsjRz0n0QVuVnbdt/u7/za0ajZd07LNlmWI43Kkp7V3EZ+GUNn+zZ0ocNi/p8d4u5ohnXzxn3aa
BH6dhTX0AopJ62PQXAtppwCSltQRMkzovwIz1qPI/Kq6A9Og9Y56aunnnllr9vpDnPqvWZ8+YLEL
c6i9hslnBueYH6QThAoYczrYI3iFGEbOt5LDmqhcQt/3/kT/4UHwt+Xl+5GtQcqDxhmst8I8cWgM
83YZXlij6j9BX3gfn3gwuHhG9944a2xKq7YXwYGfINdJi1jkSKaQK4P+k+on28zyR1myqqtvhdsJ
W1aYvp0fu33lZCtO7e42w7wvQbI1UZRBMHm1VMz2nNdsyz7bloS7pTPBGEFjn/QQGyFSI5VaGZ2K
x/uzf7sM+O9tPtlfBAmZKLC9FGAGcpTLIQAo4D/AKoRQRAyU8BA2eBSESDRr3hkqdCH45wQtPNOW
tG0NVCg8NbYli0SLZqWTFtBqkBOQH/KVPfKHh8zXHln4/lHIJKqdXgwv1QtUywI094WYjk3uAM5s
itB8zrUYJcvwCs1L4KsZq9SBMoBeqRqgsqrXp9gw78/c53v4zpH9DIFnDiLLfDYa42nvfHTo5mAv
yTbaxAClUGfXGB18JF3KEUik1e4Vl9SzpIPiUwWRMzYUp4hPJcDgZxEdkZHFbZtLZZHnfAfJWvZt
tTfu3hUzLfLCpTbwZDkb4lOJc3PtLUaPE4VyAE/vdfJlfA8vlDo129bgxUss+kDqY6dy2+ECYNSh
NxJkc9yLsElT+aT1GkvK+YP0zK4kO1d34iKwQfMT76YePhLvY3Bg71AE8NTqWluxnj2MVmB7x1YJ
dy74rzzF3dNOhGJV9cSrA6ckSDyZv5Hl1kdU+lUIO7m7XFnLSE4+8N6KL5x0wsduE1eAmOD25NHF
iTplcWSFSJbEBtjJAPJlq3555WJYUuB2VV314hTuQWysMj3Zkg3NgXag+0SjQ+b+lr6N3P5yBp/H
cLalPV7k2eYzWVG9EWg9b09je+mBJI6R9gV/eylcQAyvSMQxiNHZFzpuuys4oCbih/tf8of3098H
fok1hoZtlVRTlnSzJ7fZdnRA9qKJlqHwJjdtgnMOzAEmvZFTY62IsrLMS/ixgNFGVAdnI7nMvksH
4/+R9h3LkfNMkE/ECBKgvdI128u1zFwYsgS9t0+/yYndUYvT04j9/oPmMIpQEUChUChUZpa5Yooq
1OVZe9fm8v2Y+KCjb1fXx/yPat/3mBehOBGmEBqKSNCEnkFt8r4vd3V4FP2dVDxF+d0QQjeuLzn1
OK7VRWhtC39CCxIOIKhLWCEcuRS+ahALirel7NXsVU7uWsjHXh8r7+D93c115mmCnkMoZYYm+MYI
vSDo5gluC81sEpgkP+X9F3gAIeEHBaEQEujKjTyhvLzO6odc+Bzk+6x7Y1BipnHF+bB/lAi/F2ER
KnOhzZN0fnUodtAehBIuuiY3EMd8pau5sdHMP7i77nI16NvkIvB1glj7wVyhKHZoEbwN9sJrG7vV
xnf6TQulNkBkxKeIU6HhGV3EMrVQq1yYn3aCBvJ5EOdMiVeiO/j6Os+z9XfEBB891ZFH0WUBWxTK
CFTNCs5IyDXE3a5Nid34LaSheVU7niXyM10Xh5jGpYCCE0MNgdW5B910J9WqDRrxXq8P6h852/eo
FhtVhcyFBNXs+W0weYhLM0Fh/h5kZ2wrGI8AlW059mYHuDaLiy1K1F6Og/mFpUSrvhsdQaTq1adg
IwsAtk+WjiKeAUHFEygN1xzTl93ke6jz78/2aW3IQiFXME327AMbDjdhMz4AVb+dvoaVH5rdKnYD
zlWVO8GLTShrclt1DFZ70AxCYQuXvY1+hEKjY7wYPLjSnONfm93FTiiFTIGELeBKSS46RrcRjKc4
PYTFrcBApho+BRJkSMArWCcZJ639R+z9M7vL2mSepjlIpDHOgtnJTbBF9r9Vj9AbSVKzFDl7kWtt
sUV8GmvQPMNAJzlbV0G2BkXEY52hxF4Mssc6/6PMxfd+7NwsNTyOI81VtiuzvCz6aQ2aLcDLjWNG
0pw0B30P6/NVr0vrlOp3WdNAhxXkKxn4GcD5ct04Z/8oiwAL+WIlzgTsV7mCOpINKfVXhnav1XUr
8y68NsKFHxkEgqQINihrMsnNwtgWOo6rcmKcMicuZ5uxLaDNkwqwEIQWdFgrHxpyJhSqr4/jH0fg
H69cFkwHkfZg08J0Fc+5g3pw8ZBvJG/YAkgwWhWQ23vGYVG8nHF9W1xcw1MdPUfG3LUidqlq+qG6
Jt0IEThyiIYSEqZ0pVbVO9N5+iL/qDV9G15sCYkGapXOG5CtJxeNrXboCI4O7I6CskcFmh8I4nKm
l+MmS+TnVOAJ208w1iz+VYNHN02fOevHCWjq4riAjAolrYr1Y2sGvsBN4Q5v78otu6sOKQcSeBmJ
A/b3/3vAq4vzQUnAVJRN87Z2tqIFziSgjIZnwwO/QqKb4MjYEFtYye/yOjqAaMDNbsHdxRkvvb7x
1MVpEZRh0AzzQ1eYei04woI9CrXBftwNq7lS53/mPLAD74BSlxGl6/u+DjHFJfw1oZ5UvSggsB/0
p3FKzX7MbTUxcP/P3bTgpaicaKYu4gzU64ZRoIgCfWkZvctGcwC2BFdhXiDghJsljreb8klNGwyy
Dtyaik6qH0F16AoiJ6xxBrSkcCkyQ1DQRYLqxFYKwdisr8f3IeZ4CSeRmVX8zmNnkYMcgA0wQtXg
hY7Cc5SK65HI7nVn5OzupWKRIugdVbrZMebeISiON9ALvm6CN5LF9i61EHJhc/YZQGr6MwGnLk+q
gxcWIRv3Y7JCA5Lfydw5VDv6KntAE4jihWZuxSBjU4/dI8TWIJbGS3M5KcLytYX2QiD6JQaWiAe5
eDLQ369026aHztumALu171tRyLs3/KPS8CeCLaGLmg9QWRRjrHh+sbXjr24N+GayNcD0VnmJLRzG
5/4BSMF1YFd7n3OV4Ln+4kTPe4U1yhyqp2YdzAB56I1DvU2SjmV1f91tOGfsEpA2pFrTdPOLfI3W
j9jMtskreP3c4J5XJeNsgSX4LCIg/xzm9uG8PGidD3WAiXOE/uNl+8+aLfvJY0Nuw3iuU2lmCaIv
IP0cBgKqyav3c29kY7639mifKgvg0xNzoPBt3uLSad2iFmx/8UILb2YX5w9pOqVhGhaxdlLk7Th/
ZLzIHkLi8LgKORF5iSozQjZMVIKlHOglAsZ9E7T8GheKfv1AlZd8OH4Wj2HnwwwDR5BopVvjBs3E
HkQ9GNjVxWeOZ/6jGPT/lhMP9T/DTTZ0U9pG8BiyytbEmUzpkH6We8hgA8gJ2CBumZ8KErTpBiiN
G17ezjW/OFCbmA1NODf89E4iW9MWRaeb6amCtORRBFNdelTmyLD2LerUD/2bwDkyOBEIvBk/h8+K
SCjC+XEDlCg32j0KYRscHrpl2NGutlRq+h47qHZpQxtMWEV3vGvoJaJHvAz/mf/fF8ezewUVsz7p
ZUxAFJrxpvKm7U1oDV64Ak+UZ7gSULLI+t34RAEmb8zyOO2bk+5Jj+B1d+pVftJvlLtpg8fCp0I0
JdSKQZImmJBaaCVreImPvZWtjV21Qq8Pb/X+UbP+/vjF3YFOmT+o820lBXLpl3CXWpC7kQm0MXRz
ZnME2hV9y7XTPl2Pp5zrtPwbYXA2a1pHAeyhMExWyUN+CwTNDahK1/5W+bhu6fqBL/++r50ZqpEc
yZAtReoSuYZ8N5aG3Yzd/xZTofz00wt1yfCljsELe6tzR0dxIdDuMrcxIdxjSpZsplawCcA+iiY9
Z55agnc135rF9xpbMdEzaIFTkfdVnFC07MgeQIhhqPM7QLKb3ME94qVPu21d3w0CawZTrcE5NTME
g9Fzkz+I2/YmxvaBJJwLOFe0pzegRjU+BF6qcv3chpzjz8mq1UiKgzk1DkHV1nrhXQotM1u+gbL8
llrpOrQ6b3SJxxNk4NldRErBAHmB3sEVUAkMtv46ALK65NzpLjs2kYhmQKpNVZe4XUPKoYxbwhO0
I4Og+avhgkzB0oETfjVurrv2ZRjOt60l1mhSx7iMZyTHc/kouGQDnYamtoKPYX+KfnkcYxc30pmx
RaiQEmGIlRDGlOPUmcwKbtu7HuHVLu6TR3lHZXP0ELQgBMwxfNGLzwwvLh+xnw6COOeYkw3dGnPt
E9DPC4EZQPzLkpN9u+UM9WJKcmZw/qCzkNGMQ5yqze8lbA/pHtXajeyN25KzD3hmFveEnIVZYcxF
PR9voO99bQLFKVNbSJ3STQJOkehyXepsUItNl7TNROIJm07ROgfw7jcxYLe93u0I1R09kEz00Hxm
ebcN82EXSrFVt/JqVKT19dXkedFiD4pskoZWwqDHaT9lqTUUIzSmn64budyPczbYRVLgB10KADtW
cNzg9eROsdun7R6N49vhadyPHyWg2La+HT45Zi8m70TWJAU6jYq4LJWWkR4iwlAgYATBZajvaymQ
3STzhGYV9vtKCT0ow2/1YTCVuAAPfZB5yN+2ch6/XP+Uy1+iz4mJAhXCZXtFCxp9CN7j6SibHuXW
I8AfXTdwMZaSbwMLdxJLJZaHRI5BIvMAFGz0RsYb+goSqetm5uzxr7LwmZmFu+SikevGhHKN9kwe
URySNvnHuOWxAF12yu/BLHNYWotT6GO2egaImprhxyaAZV0fy2Xw8NlgFl7JdH3wjQxzRvadq7jt
XXmrvrC399JOX8Rt9EvjOAFnjf5qSBgZFQMJk1dOZjfZJchaDoG8jnlF2YuLRBW0P2kiGPnUxclA
y04MIw17WgMTrYZyc3lIIeuUJg80AFF2zYNAXM5azwwuToR8ZHJWBtjejRrvpKawlSHb1hOKtVEP
NTdd3ybpaMtVADS4saqN3gslddMY0b2UMcgRJ/U2iWsO4m5evb9cleqyYqgaQNrLQmpEU5+185ab
Gn+ry+woGWxTMvVRyNu7KBatKieWksqcwH6Z7+3M7mKLBH0vywNDYDdoI5uVzG61arByVj/EBXkR
exHVEHGd+P4NIVpiEaH2NIk5VVd6Y0idWEo2JKxedDnYKkr8EBUdM8UovY2CbHKbEs+kdIIIXA4i
fZpJphIZzMy0inOPu+xD37O32BsD2slzUmFvMC18Gn3m5XLq0T68EaoREhXKTS2jSnt9Q14MkrJC
IXJLqEKWtZYp1geFiRLcKG8bUxUCd+j/E57+zMYiTk5p3wRKRXASGYBqxf5azVdx+qmFL00wOLGh
c4LMhVBmzE8UikbA5kqW12E5xHAbCUdQVCvmpDyq/UY3eJHs74nDHxZ1qoroS/hbq1oW9F4oRRgJ
+tcR/Y0Jwub1pZmn5edm+mlhMW3QUVFboYAFOWpWmtCZtK4sH/WagIScGeOZWuwfFsl+GxOYAtHo
Jollt2qgqQSkWT/w8pK/F+fnqBbnjKh2oSHmcLhR2QYSsNHRugx40fjvqA8joPKfOd01w1iiyYui
pa0+tIj6qmhWU+I205pOlT3Sz5AHx+XZWiyT2mt1Z9SwlaVQqBhHM44+perV6FprzFTOdfZCqQkj
UymdWUgxuCUkR2NiEfogKvbGW/awb3b9I32Kfw3eBPKh2MIznbFq18WpX+MOonDuWn/Hp9m2qs0k
HDLcfnHGSbQ3pinO516c9gkPrdtmMlyaiOBh6qPXxjD2Y8E4+eSF98GfRhfnXO2XYZEKMNo64aFP
zILYisusSUKxNt8njxK0gE/Zr/7YHMIbGbch9BhzJv3iVkcyi5RWm8lwF3ch1mWJKkFB1PNL5Kvy
Xvcnzla/AK3AKHVqzLkqJnb5phvhf0QyhnO3YvnZvYHIV+xNzYFIk/9SHVHLtMp94Vb3ouO/sANL
HDzZFCeVeo3koiYmcSt6l2IP3nmhIEc0UVk2jQoT8GdJI0Re0abeVBZ79E5zHu0uzKokirooUjw4
ihpdxBxpLPQuj/XIU5Nx23XsoOMZ9j/MK7aJrGsKZhbI7vkjzq6xSUagoSbL6DrfCN5jthtewhHA
3XJV7kGYdizgPVAbBEoBBFpoQo+24lv2SYAeHj0elvbC7RPyl2ffMkfGs2+ZopyEaq9GXvpFert1
xL2E4OQFa2MFwsW7+kPmXK4vJNs/LS5CEwH2Kg0zjD5Bt7Gl3ZdQ2+n3BUrCN0CvJXcxGOw+I15D
6AVVqJ9mFyFelYXJZ4RG3lbeyCflLVjlK3WdQ2ERFKer8qQ8DR+lRR6ywwTs4EpZay99beXgkgNO
Qm1M7/o5eqE8ju/RNRESeiq6CJfa0/kIMuigViKvFQtmdUW+IakPId18g/99LghNbD0UT4NG93k4
OkGs21EQbZPG2GkN1AbVGGVtjbJjmWfQU5480U9cH3maIfN4SS6cjsB8irKqGhBLVZYv5kyNapaH
JMLTV7Ht82qbQRM5bMK761PCMbME5rWk6MFzDccYIukhGyngGVXpRFLw/90jipn/Hs7yYR5arRrL
InjCWKTragAAuxm2ctJzHJ03nMUZAb0T3G8qDKdpJXMcn0f1nWTr61N2oaj5cyyLU0ASK0PvSxih
Zp868oSu3qC1Wqg+vnSrkeOzl0eEJFbXdZwLywSG5QZSGGGMPD2QJXOafHMSgevKjIQThXmGliFC
V0o03Q6RJ+BKXCW3Qj6ao8a7n13IL2co85/hLGI9rTQ/KqNpDkT6LTvFX0VuktJsHgZbVMzCpseG
mToa+SzhVpm5js1CM/Mb/Z0im6lueaxqF4+es89ZBKg2K0Ya5JjdmADjQUqLCl/XvYU3rYur3CRJ
nSLEEvaxghZf6QZPMC4pONN6aRi4tqmEUINoZEmDp6taqGL5YGTY0xkHP3ISnwttHCggUp1IVIcw
El1mPrrQd9CiwESVDiBdyo5uSzQrbwe0tj0mm8L2D9kmW+Vv1yfvUjb0w+zi1NaULopUeV6fw69e
tfJD/qtwBMWkt6rdPyuHCXK9xWN1h1zb9T9ROk7W5GCsKZiFQs63XMjuf3zKvNBnh7YEKbK56zXy
GOBicgtuPSqaTAFuDcSwgApdH/nFIHM+4YvtqLVV3woMG0VLT2oqmEYDpH8AFer6JBoQsolfJx18
TTGnbnPJXc/NLvZnMJV6AlIknJAgpUrH5yHf6i2vXMr1psW2y/Q2lmNxXlYZYFxE0kK/Tegu8D8J
2dfBZ46atK/fNlVsis190d5kuOQUNWeOeWNdbE0FmWIx1mLkKXq0LTrZIuO4YyTgTOmlzUkg/6kr
miqDq3ruVTpznFyOCO1TOI4BeBfgkZY+8mQOLo7kzMTiPlYlVUlFdY7dHbVT1J2b/B2Vd04QuBS7
zwdCfg5EGkuUUjJYSQLR8gmxhwlchcmm5J6wvClbnLC1WoeVb7Twwi/RoZCMfIuOwgEg0i/hdqrN
fhtxG1X+7hhDgDubwkWkGVgUh2ODwdXpe1e8GBPUFEPF7MvbBoS6TN6GwZ6Q0/Vd/vvlYVHZ+WF1
Xtgz3+gyNYtC2kcg82sdsu/N5FmpnWlXbxKrsIuPxoOwU3SYQDAi34ATvbKkDUiQnWLPY9IgvDlf
7PxI8/NGCDABnds8aKGZ3Qh3dJW8yuvPdjCng7DyW7OwlAfBzja+VdnksA2OecbZlPPW/3tGdIVA
6BoQweVRFkEFJm/UBvc0kjuDhjYhTetjs2oLycSx5CpSegzbyuEsBM/sIiLpCYmogpgHiL7gNS+9
o6FHCWD9tb8R7gwnXk+HxlsNgRk/qDsCqvXK0l4ET1rH9+mRcCLG5e38PQeLwNQlcdEnIeYgKdey
YU1KZtLs9fqILzwbwOEVXSco5OCZYnkX6mtVRjZRImdwFGa2Tr8qV/0pvo1XAI2AW8dGw9JjY/Wj
fd3wRT9TcdOHTU1HIvjT5Sc9rfWMYW/LZenlQKXnvIB7qVIkkTMTi/mb1Lw2OgPzR/byCqg7YxYm
UdbyqtrNfIMTVJJaSzrIR+Uuddar8KHRLI1TIru4ht/fsISrTVphhMmIYUI23RzjVdOgYhVy8r4L
SsdYxDMri5Cc5G1SGhJGii7MNXCdLhlN1ZH3yk5DnrSXvuKb1i530QHw63veEH+P4a+9emZ9Eb0i
EkpFmXSoY+DZOrVj3RIP/SaHwp4GiTTyHLsAX690KJXa4S/pgOYIpy/MEHtJhzby9LYzi1vpJNrB
Teu+xxYa/E3hRrN5DncxtJ995iKVgrI7IaBfQZZhT0e2M+4rW7qRjqmp7v1bfxO80o9oNd2ro2O8
t4/I6EZw8B0TyIOPL+O7/AxCgsSSj4kGOeJ0/R6A8AoS0iEqQ9d3xsUMU4WsK17MJBXFtp87Y0x9
lRk6dmRc+3Y2bedcQSwKk0DsqdZfrhu7GPDOjC0mRVWiug0VGJuUXSd8yFAvRhLbtKEFynuzmTT3
ur3L2/57cIvjxcAVCPSqFe6xWn8TsuxDyXJOjeFyznw2pkVo6XS0G41+joUGf6kerP2AWVpFzLaV
TZDmmrL2wMbQDsS762P7R8D5Htwi4EDze8QbEAYnbKGcc2zW6aMAXRD1BO/fjHvF6zNLhkpv4/Uv
U2V2j0Fk8vqfOBP8e3LOU4mymdIqhJdXAVrN68++5HjM5Yj2Z5C/gSxnBjRDYnKawmMU5a2u3w15
E4DG9vpMXkwxv1dw2QjZ+urQxzEGIcu1pZVHFu0MUItneB383wwtMkwJ94+E1FgxQyyccARpYlNZ
LbRNspbTA8ebtnndzqZN6LRAzwtYkodTTg9J8FATTuDgLf1ib+U+akR6gVkL4OR6wtyuTuzr83VB
hGY+ab5Xf7G3etZVTOxw0lR2fkAD/Gb0Sg/7qzfBjY5KqamuB80F5h9cTp7P2WC8OVzuryDNQm0q
YFy+a5PDhFJlwsm5Lr2nnQ/w9+/P1knB+/dARri3qtri6JDNG8hzvBIw2umWroyVujPpL3ZXus0q
ORkf16eXM8DlgxophFQaIdfipf7TGG+jRjN7ynFEjpf8vgCcDZBmLK7JnPANbFdIIH2vU84FkTeK
+fdnFmSWjmGjwQLpTiLrzYxFLgke/8NUgVpVNPAYReUlt6wiVBSv7fCFjDCzlh/8UbJIx8neLr5c
oGfgj5VFYhWHWczUOEN8yExkkNkOOhoEjJeVrTJLXKFNeTfZydpdS7gS7MYHKGLJH+lghrsQQthg
036rcYU6XR/6xTP77KMWQauRhtgfKT4KckB7JhMnoaqbAu5mVhL1Co2ti15aXbd50WvObM6/P1tT
4MMqNpAU092RVzxDb+qyu71u4qLbnJlYuE1NUsLCea5LvzA1hh+UngtwuP5vZpYZjxh0AhCmSK/y
wGREtlr08+ed7lw3w1ukRawKjQbiKxnMqJHvMOUXGbyYYYUyCLQy2QzAdnPd4AVyRYTm7/lbEqSm
StNEvoC0Z5usY4fuil1wRwJAzvI1Ocq2dshbW33xXQjuPLVQtQysHtjINbRBtAxP5MmqPv6XA+ns
ixb1qFClPm0DfFFFe0tqY1saeTefi0n9mYnFXoinjhA2YZo12Uk7zUSLSr1XHBk62JFqRrjU/pf0
58zgwkvbyaCthLcLr/EbsxqwxcFWxLgxlLPflIWXxkGvhaAzQF4OldJKNdnQcfzlAuL4p78s0oWM
6V1SNZg6FmdmF4MMSVOsqiWWqDE71gSr69BI4N905a7NeZBjzmZXFnnEGAxMnLkq0HaHpnV2y4TW
njJOvkDn1f/rZvq9WMsuirRgJatDWIkehAa1nJn3630EHd1K/dDvqZOvG4c9haU5WHQjAfcAYJGH
K+Fr8QDKlzWkzbQHdMGFdhLgn+v79Tch0bWPW4TUtgBrps/wcTNZeb7tXNmC1qAzsyJ0jr/LT+lt
fwdiFnNED09l2eNWexy9cQ1+4X0HGF3wFrrRSeQiQi4gKH44xhKBDxrpgbERHxZMkKXtoNbCHphW
W3HyXtW7Gpfl4VkrY7uV0JtfDxy/5Hj+smV0VNEVUcyeT9KnTnog6q/r837xbqGrADX+LvMuGcz1
QWOhJOEkSyNIfImgaZR8tx0zEzxNnKH8dHJdRlVNl1U0zGhEAV3R8vFeBsuXURTYYVA2Dox2Y/Sd
qXc87Oq8T7/96C8ry7f7umzBcdcnONAqqbNCSXT7sPPE1DhRWoYgmdE4r+sS2rM5NheRXVXLhkU6
bJYJeLSkpAa9p4qaAa2fQmMA3Tq4N6x4zE+1DrX6qXjWIzBvqXrFrCxj72oLKr54VMAZQ+4NP9Ks
NmM3cd+9DRkE7CqwkdCyXNMRoqZpWd+3BTqcmJoiJ0CPpy0XJFjXCZjLKj0FlVUWfAFC4EXdMHpp
A5rEHBHFB+GHsI2NbnrOUiBqt7VKFLYfEmlMt6VSyarDJvKVjLhRWGgJRx9QGTeHKQIWTlNaAWQo
o6NJFfsKq6i8pZM6ZStS+5UjtX3i1mDYMpVi5tPsRONrxLuPbkuk2Y2dGph5m+/yDChBvWC5PbYK
lKYrhFiZSrI7QkTYphOosYK43AYgqAnGUTLLkB6lodmxmGzaMceLYiw60RitWZGUntaRBwNMF74x
bSDJs21ptg2G4F3Xy32r/5LI45COb1013A5DhEcLNd82oX4oxGITRBkoDMtOWTOaPAcd69yqAIO6
nq5iJSfm1PWrmFROImqz+ra2asvczDrFKvz+UfANE62VpqYXD0xUtmWrSmYz6nbfMXtQ4k+NFlZJ
JVSqyIvajrtIBLVfEaElTgmEQ5Eg0ZnECJBpotilPDioyqZmbiCT7MvJEoV2NcktnvmkVaaBGzQL
6YEVYm8zNqFPSJBbJ6tjp2I+kKAGurMiR1LIKWRJa0GH9xTQyRYTDLCJ6q1Ai1PbN4MpR9CxIfV6
jAS0dxXSrySNYltvxDsRPd9hhfpWUodY4xh86rLsqFqxTuIK8w4u4BF6BlSHKka7KlkXmkx8LuGe
uqrbqfxZB9TKg/Gop/GNEZ8SAhVmVV+H0ZeBgiEa3Fxtbsk1aisJKzPxs5URSCsQUth9C06YSPKm
2NhTvbAGtbOrsQKhg7ry83QvjXhPoHhkYexRBUlf3WYumti24NNz61z4pYFXacBhJcrdyWg6GwRl
lgz6M7/4CurQUcZkV+gAL6aNW0GBAX1PKDhBGaqDtFYt2IW6D6fQ0dhhAGtRjYcUkomOSkdbKNJ7
SR1XUJu3YobDRpvfHHQAr8BTJbYe3mntWG225QSFuwH7RPQ9te3Xapi7Axw0VJhjVPl9Av8sR3lV
0GA1ggbHxIXBZEX2NOCSouK0SKfY0zNlm7QTuhSxgK1qTeM+SRhQctTFiYj27FPRlmZv0O2k4M/L
+7LSblFgdiZfN+NGtsRIdEYktk1TF1ZGIhvSbGir6D5LkBxUflqbLdO/6ChutKyw6gjCMbm41gpi
It9xpqx0p6RxoJawKQzfjOsRWs6G3Ze1Uw/jG60MM1H7X2Og2TQEXWguu+JYrVI5dBGFNkni/xoF
AjJLqHxMrSnqqtU2hYP+rX00iA6Colvjb2Q0OARathWmwfLFwU3C+l5shTdx0u4SJqzlOn1ussqh
pLMFqVi1pPRmhkgtVW9UXbS6qba7TreKJHczdOj1ke6mVeplgrEOxcyWul2cRnal52acKHc1goeQ
KtssllcEMUmiz42kuXJHLYQSlKm18hSAaU3UyAbXt70uP3cdKIDjyA4klO0hHVhmGFHbrZsMN4Iy
Xbd45sKf08xxKna0agy7aicbJJrWWCfrTIEvTI9ZXNti2u+VMTYB5bEbTFeHYnqu2X7ILLkM7VwF
GS2VzRDbvGyZlaMtWikUd5CIFaczab7uMhbaU6BZTRJZihLtodR0V6e9S5vBTnzm0PFEZcDlI7bv
8vQtb3XXyJS1lBovvQ4sKYEChAyWVjE10du3Ef16N6nETNHIVinDOswSWxLkj7CRvK5qPSoNLuuM
uzJLoOLemQTk1EFLHK31XSkwNioDN62gr/A+tW701CMFYOYGUOgRaCECdHVHYJZOYytNa3toErcY
iBVFmVUmu5q1lpYkTwl78OvBHmPRLqDLUnbGKdU+jcz/8OEpeSkC/3YUSHUX1aMphO9timuoqslo
vHtOjcptNXUHb7/N89ROwt5OovoY4yKgF6UdBL1ThkjUyZeuMbOj3UzwbUeVb6VS5cRRj+L2Ww2d
TVFgqxqE9vGA3QUm5kmYQIabWhSVOgllO7nKEIbAA1BrmzEON2zca0DbG9VXyJRdmh7jVraMILT7
7CmO75uy24ilb5dJbtVJbEU1NUny3CJuG36wmpRiXTLfJllhJn13SKKvrnzrxNrLA+hE679QOrQ6
uXY1I9tPUmoHOA/CKvCCpLKa6jksXxSptf1K22Q6W0WyaAloW4+DV6VL3LIVzTwXTSNRHYlpOzmA
siRLbPQluxqoj4s2sfR4OoABxYqED1+60UH+EzeT24bQ9w4qi/qGneW52XQIQ3hNJhHoz8lXTX2z
oQBYQzV76Af8QK82xCE5+ScZ/LtiGt2gG9slymBTHzJ7eMfTGZAk8aksVLPCoPypyMyqFNZh0jlU
QuoyhOtCwLZOG0uujVUqCm46SBYFTV2cil6Ja49QaCfk2RZjt5VeH7Ucz5MTOtrbpDV1PLZD/dpl
xs1YnGoNehpjUVrYN5tkeAdiazVmqZvKlRXF9VMvjTttoJu4mGwQ8ls9WCdIPtlhLTjRELp9AQht
pltd3JoQS/ViKEUrav2KViZXHvuNMvqrcEQxF1GFxIDdi/mOlfJnKnUOC4Ema506FuxK1p0amUrb
HTPwgOVFC8QUXVNMfBsQ8CCBqoFMVkof2wR4+ma0/GQytYjuxa5zc5zLuRCaQ3Bqc2lVdarTd+Aa
ElSzVFooZ/sD2KdmRbzYrpFMpeD9DqvUlsvGBF0B2pBqm8qCI42To6W9qUM8AJgYO1XfSsjXGtVb
mhATIEwz10tbzEq7oNHKLz4in21w4jtDCjcdgN6PEzcK8VpZPtGMuCqZnImB3UtOzVbN7FJLcEhB
DV7QnWQkpprpTiAwKzWg4thhK0iTWwqvdd97TTVu0Lax9aN+HeYQKlQar0g+ouaN+m9TGXiZkXlJ
rZsq2uTqqnEp6zehRI+DPO5Bgyt2h1zWVtBPtaqwMZUc2snNZLISveeSak8KCOoRjaVyWucK3cV9
tcpH6CoY8i7HqyWobcMMR1Azk2NgcmLNGRNyr4k7tUTHJL2pCMpAZQjfAfNGn62lpNm03VdLXqY4
NNsYuPjytZKOPqvWFMWSJIeWCdXsmnVrUQHmAJDnNm2hIMzsSFbNIJPtCMFojMhdqE/mQNDATf4P
e2ey3DiOreFX6ag9s0lwvtHVC06iRlvy7A3DdtqcZ4AE+fT3p2tImVZbN6s2d9ERGRWVgwyBPAAO
zvD9zf1QR9eacqeoew1pXsoSN6kfUwNTVbZSA2umsR2g26+eqnaCeBEasD2C5l/yotXcavsYdDPN
LvrkWaCPBCPFuE2QarQVLcMcyfeBQF+rGhxOWi8VRSvJIBAdZp42PgTCYLfC+CTHyB2rKEYMyFKr
2kUkb832oYozO5TeVCE4wC/VQtGb3CraJosuYGu966+jnHuNnq57GV5IeZ8wfY0SEHRKUsvAAR2X
t6NEt0b+BkCb01F5wTVIHqmVTXUwQdrIG+rQhtiB2480AdSAPHSZCXRDZu4Z1mVR9BeyoHtjHu5q
IqzljNhx0i5jDYh0QbxSK9kA6ptc0STeKi19CAzDU2l1qUT8StY7nzN2JURVakMCCYoCFSRhQ4js
TPl05bUnaNJDmzxT1iNluy5O8C9eYY5JveHy25BsaVi7OnoUaY86RRn0Pjg8IoMsSA4p1uaynXQw
jNYhrPbifD/KiR0FbIO2e2CkXAAp7FRiVlmPDse9hrGb3vgutxc8JxY2qMiJ6u9ldCmjCqzV4RhI
V1TW/FwG5DEpAc9Qs8tGlS8FU7OKIPZrNb8SOoB7SePE2L/1wlhKiekpY7Osh+QCeW7HgBmLCsgf
CLgjfgOvp7gZAsUp14Pd59Eip2yp5OlSIMSPeQrPG5q8JMZ5pl4KWuvXrHEEEyGe2PREdbyQ9XI1
psVlLJQPUpW4eh9dlmJ+yc38pgCWHmIFe+Cqr4I2vWlNEUeGKCzEEPeMUF8ZueZ1jC26GNEZOEWV
RHbTGcu7clmpaFkoCFr9oChudXBT4Cds20J2o1b0k6p0WRzszTy4NIP+IQ5Qr83M4mKo1LUg1ZdB
nj8NTbEQg9CVqnGpBLo3BL07xICNxCOYWlIc2H2Xb3lJlu2oXjHFhKC7YDpdjwJfTVwqmH5aNfAj
+K5RzU2ajnYpNPZAIQGGTfFeLQo7K3u3FxO3ETKXGopL5MBJa6gb5tSpJPVQRiEuB1Hr9KHqxVUD
1x0EYGgodbim27QgyJo3mjugNyMwweUZ8DdFc9fW5B4X0YekMXc49dZCIXhlV/imlKZWH5uKleJP
xKhGuRhV1oTJbsOlRTCEeOI6Go/jPRv53kjhGxsVPFHzru4lEB7bdplztHPRSn+mQW4gppskOMfh
thRjtOFhuDF4e1AKNI2EzU1Q40NBmntKHahWLBIc5GDmWSVXL+JBuxoH43pQ+6WKawMEZV2GmxhC
CRdoor+IJGkFnPRU4prhzKeZDafZ52F+ryjdUlHilVxpt2GV20zFqxjbRZdiRxBNj2j10zhiIxI6
th7kcqtKuAzoKmpxSb43cbfJsbWIuFXYtINKVi5fiaP2wpNkgLRShCfVehngrg7h8HB180nV4cKW
tdMLjdvI4kYOA+jkDBdZKy6hXQPPICNLPYcfzXhUW1rHv6OAlDnIkqMupcNWWh+qMHDbUodeZuLF
CrdFCbIFBlAHQ1+vcinEphGsB6G4y8NuIVYNTsqkcI0YII8ENza98vQeRjr2sdfVuVdKhdtHoWOa
IDIN9Y4XuqUrxU0iwNE0Zc0pmUStMIHgaBktm0G5GBPxUPaBXScBDjPlIqU4jfPU2LUjuy7DpoLP
o11KUnrg6fR8ZTeEJ9OozCZcBJq+9xSC4EWsBLux1A5VY+ImmFZ4Z60toQSNkNqtkhzfKF4lbbHN
KrrgxeCEWXJpRI1Xk2gjoFHaopmy4Tk0hbjUogmk8KDt646psBMpHDV0GeO4i0A8q9tqkZQDjpFK
xk8OuCWNwgJfssK1hK3qslmGOup0NVZ+zztzVVATbXjhiNWVBqvamIIKEGR1YspW6P29i3AWqcVQ
eg1CNnKnomZB7QrbzOuFMZarqgoNOytkxNsraR9m9W08hktJgHXqoTOmzXPERA+aFbg2N/26y4ON
Bv9gRDGyokMNOBLv+qz9HmfioZJKqBtm455n2k4oyk2h4aoXEds0UI3bg6jLNB+Ayus0E8APBgOt
pm5mipcBR3NbPaxbLrxSdMK24rAs2XAtmODU9sF1JYmPZTncQAzcScbOi0pEJ8Tez1UAu/XR7gvN
TVI01Afo3I/Yc4D7Vp2KCylVXyq4fYYp4NaeXaWdcaCKsTZT9WCUKbNTFAbopN3CS1sGanEmLzMr
Jv89DKqDMmUisAGd5VlipqZ9GolTrB+BIcSs0TFgo4uksszdoshdChGQVrey25vQK933iPI/X/j/
oMb88rdYa/vvf+H3L2U1NHEY0dlv/31d5vj1r+kzf/6bj5/49+K13D3lr+38H334DH7u7+M6T/Tp
w2/cgsZ02LPXZji8tiyj7z8f33D6l//Xv/zH6/tPuR6q119/efqObj9cAhASfaHkl9//bvn911/Q
iClD2Qth3X8ej/L7v5im8esvNnCOpz/z+tTSX38RDOmbaqC4U9dUAyUj79S//vW3vyLfRMVUMAox
IaFnTCKmRdnQ6NdfZPGbZMoELZr4pZvvXSwtWAP4K2J+Q6sxfpqi6Ch3RLz2lz++3Ye39OOt/aNg
+WUZF7T99ZcTkDoRMXlFxI/D9U2ey/BSkGmUmqTIDpkQfKFMbg48rPSXcKTaU19AAU8MWXkhaqBD
aCw1D6qm9E6TS5WXRyx+a8FN9cB/KqywJDJay4dcR0yYDj21Ceb4nCAi89Rq4rhQIWbuCGUhrvO0
bXUXG0HvV/kg2ryV1QONkUQ0+3rYMUFpVmaU1V6aVuJ9E5HqCqG2FkFEnOtVoQrrMUY1q0FeJK0f
vAAkHVuFX2AZQ7UwekqjK1YzIVhnY1VFt0rHeLUkRVAVG5318fXAcuNMmvdjRmVaeSAeoBka/zWn
jq5ZqrtFfavIRKywFJvj803VRuiQ/C1r/981NvHJ/vMau6L/2LCX+PXzOps+98c6m1YMlpECJUq0
o2Pj+2OVid80HbwDZBUQE5dB1P5zlRH9m4pPaLB7VTVRho3U6R+rTP9GRFVDSz8W7k+usfeulh/J
KVWF7hwx0b2KvhciI7g4SxQVgYSIR4ErR1YMimxFcV1vCyIzp0FIgog6gitkm+ntRdd1tshbl6KG
zadEFVo3RC1jsUw5k1O3SoPiKqLJCEdAwgoJcQWR6LJQtJtarrV1BleBWawpDeSsRW4ENymgLOIh
jGJabaROQlV7Hpjdfd4EQXXAxa75vYf2p0x0G780ZVu+0fkm/+FcOH1Y/P89Bya09X+20e1T8URf
T5jo9LE/TBT7PZhbKkwRfBTsFdhD/jBS8k3XRAMN2SrMDscFTOT3owBGqinQKDfNd77EBO09tlFd
xx8jJAqzAgDoJ06CE1Yqm9BxhQSBhuFwYiHdeVTdRKSsHFiRqYsq6dJxBW3IVnRrAVeGq1HjqADA
MZOKT10bjAryM13GJZeJuIUhmqkWEJqWxMzVg3g9hgCCWyZE4gYBH0vqBkXb9cDYliYEVwhdhZY9
oA/SdReFwVtYKwG0M0ZtmwdDL+3jeljSckoztYJ8jcwJdZqgqPSroc9Zd/9ft+XdbZkKFv6zuW6e
3p6GV0pPGOz0wR8G+86IMICsRBYfLTI/DFb+BqaXicOeiJPrcrSrwnchsGUZOx4hhkgmWPsfFmt+
Mwj+EAclNDWmlfAzFmtOZ+rRvoqGKMPEBg5AkwyKAfbvjxYbRkWK9KlQ+jlvyE0Ph13DXZ20iqWZ
KFcZ2hCSL3JNoOoR8L0sVcJeMrs7Ig6KHVSKQ9rqQmviN6qo6wp9+JyOh5JAb7Etn1BJuBjifjOo
XbTssiG2JXnMHTKOXhE2CaIBgFIbCAjbOktKXIu1Vzlv31hm3psiIoRxXSJkIEWvDZDPlp7WhcOL
ADfyrgCrpRE4VCn10pdQSW6VenEJYZ5VplLmKAppPNUsNItKY/kgNwXbaWEItR6K0wJNh81TX1Ym
poiEtGBAObaQJGkphsZgx21AnTjg6zrIn2VWsUXZNZmXJmVm9S1mNIpl4ypSBug6+mUsAciDLTUH
cdGHZb7WszDZiGEuXKYaEZywaN5aEVK1oJ4gHA7/0E9YpD/lUlwv+zq+EKTmmSn9JpX7fYhgXdLG
WxMz6+LG15Dvt7S2AuMet3oEsKsc99jUiOMdoITqbVKL3C3wpxIqwQU98ANNjhdjWR3yTkVQ+7/L
/LfbCc6Q/7zMnZifcpsUfOjHEjdF2dQkCW02uJx8XOIK+m9ggSjdgZOExfrnmTStY1WR4B2hXQhf
BCvzxxKHB6zhD/Ex/Mf8qevJ5zYWLHFsJLqGKy3QmcrMrS4qtUabBS/9QG/3spBe6Hp94KD7ATen
upkQbWUxRyIjXSuhesalx+72aXsBSwpcKUVRFcicf9xepCiTcpR8lX4NKx7kS1XchoZ39D5+v48d
379OjgG4HSp2cN3Er49jdIMi8LLoS0QpQmtg3cIIGkT4EufvDTPzQLWRF+3YYJhepQeixbepCV3S
Rjwzm49VWLhhTW/raDbwVY5dCKXrmDLUXenL7T0HDbDWuS0IUNRE56YJ2emvJ3VuNJwzx6OR3DCx
62C0CEm2NAfwAJyxob+sxke0jZ4Z7NyLmir2jrwj7MBKmsqs9A0jW6dK7mFjfBaEdvH1nLASP9vc
0ROc2Vw9BCnIWpiTjuBvaKpOBvaoCHnMMzXD58aZOXt9EYsQpMI4Y4+kQKzeiZL8HKnIIPcNPVMq
95lcMZkFYh/EBCwMsKHZi2rDOpJaFQsJ+c836k3qJxIKPVUfCQMLR4atOaH1HNmv3M522VMC4b1q
P6zPfY1pLX10F7ArEZMgrAJVNOO9nu/oFSIPgWJTgI6AvQoWxO2ewxtyyQ+lCbnbxi0s0XozfV5Z
0dbY9aHV779+tZ+9FQyPVkY4+Aa4ZnN6GNwPFpV5Wfqmacm5rbjFOhrtYVM9nuuN+NyDp38Y6t3V
P5rp0OitTBsMpSz6wRJXxpbsW1e3FDt16wWI89tijegudH8PwqJ86PZoej6zXnCr/vywf8x2rjSL
+yXF6sRXIMVr3L7G6S6XXwPtkZZvxTmE9ee1+XG6s22n7HBQjdNYVJNRo9U5OkJZaVr/5kR8iHAe
79XTEv9kP0dTmplx0BhdFVcYJlCRxBqvEuP2awv53Fg2vTf0+oPSiJAfAgb4BkfvTSY4Bfo2L9GH
zqASLqDOYyffhYLFD/E130Ed4tB40dK8QCaKnnlhJx/i0djTjnE0tqqnpM1MjC0Fgt0LxrIyxYUo
Z2ce4me2wjRHcyo7llEUDJrex3GUUM9LOsSlv242I7GQjAVEh7iSxa3X8h5pFNeAJH1jxS8D1A8M
962ArPdP734fv8NsMxfiIB+iPsMuK3EL7gy60a9lktgIwXz9Rsk0m082czTb2RsFRUNs9CwpQaas
MZ8F2/VusK+tCyvcdKLNvNaRVr0jucTyU69YZKDsff0VTr1XEPZkA2FmINTmvbApindRZSwUfjJK
jpp3B+R1VrkWnkFmfT5QTLgvP4aZeRhhYgptUIYlgMrhqs0Uh0LLqq4hFtu/fT2hU8vweKTZak+q
TKwUKcKtr4doinyLYO/XA3xG48FEj0eYmwfkyPshxyO7v0igfxS6rW16W+7klmCF1ku+WAze0/hY
2cpPQzXBZTWw/mV4z+Befto1VaHiOssKX5KRxYpVVqKWkqs/u9QN0UCh7oTTk/TffP7jpU565HfE
QC98LdjISK8zaXRk6n39FD+9ptkgs/2krFBGqXQo/eHkMHT7oT6H4Jklu+BtzkaY+TCx1hU6rg0Y
oTeRuxddZSAoM72f6vs0VN8hwW21vHSCSHVr41lB55mZolIkzz2e5+7fm+50Hh5tn01RlVGPkj6f
1ZfIKFqiLJ95a59W2DTd6ZqgykAsm3PsWKlQXLwLvDU0UmTmddNCFwL9arF0ZpxPbvX7OMAESzLy
qvIc2l5pJkPdlVb4Sn7FswRiqPekfCBh6GQCPXMafL7fvQ9mmPqEwcMlaHa/G/syV8saQghh+V3C
I+vNe02JdjTlu04crX6EyJiY+2o4nJnlp23x48BzFwkug9QlEQYeUFnHAeUIUZnNz6yBzwf6bJTZ
rshHIywMLhd+BTim2F13TWpHCiCWlOziWFwmqKihvHPqZpeKtc1MAP5KamepsBgoShbD7mCQ1FNz
euZgOrk64WcgeIbG3k8uuYIRFKZh+mpaovQstxPUU3y9It43qw9n3zT5icEHVhxYfPNkNEMpdBfW
Q+Hn0LaOuSNcocqjsx6vX9FgoO50O/DlRWdrF4n1HaLwwoZ632+IU7SW8XK3uzrbG3rqlaNpX0bg
Up9SnjNbqwbOeqVnhd+CgHNBVtyBlNw6XWUX6Ta4ru/VBUqGbRBqrMaS7OhQrVAy7pFde8b7OPHs
TRUPHXsw6KufqD8qJyKpOYVRKMQytes4OtO/f0LlBOHQHyPMgTsAvMSmjrZGPHnR1uzESReBg5g7
lKWcy95Bwb8Xl8t+fU5h/MTWgRScBq/OVKbQ7Mzc8yhJelS4FQCbJPYwoCemBEy3Qoet6mfDOUr/
iQ3xw2jk45YbyzWXiiCCUkpY7FH7OCQvQm4uYpTFfm3J5waauawTU79JgqTwRa21+dBbbRm5FfJ2
PLr8eqQT5AW8uaMnOHc9ciEbZIahik3uZlfZtWbHoR30tuC2Xr4kMJhlvUY9mx89Nlv6kv78vmCq
5hTZBxoYaafZG1TLUmIg+8I2xbdYhTBefW6GnzxiY8Kl44YjyTjLsBY/vrWKcFRm1Tz3hQhCTeAM
WqgngByqEziBl27cEc0wqPwGGkmz9EXwonmDtYePcu7kOWWrx99j9lLFnNdpx4bc13I31Kxq2VoX
3PSoHy5QXuZwN2kBrbcGtBbc/LSbN3sGs7dskkrRGgXPIBlQsYrBUZ/7tSGdoGF9fMwz5yjroiTU
KaaHbPJG9lp7GaBPxlOczVPkokLON5eDX3rC8tyDPUHC+jjyzBPCNQQiEAZGjg27dtsVpL8MW7W4
hwo3ugSkfv1svoyd1bsGLkKhtUSXmsvdyGedFV7CwpnT2VHlohfOGjygwkSvsfAiLMM951KdoI/j
uyK4TGSiGfqneila0Y5GY492S7J5BPka8ShR89H94BauiG5n7YyXeNLojsabdpojLzGCWgtkaTGe
iIQKCjUV0FNtHHgk/wtb1vHEZi+Bd0M8UoqBWpa7yPNbknHHOsnqhNevDe1TnGcy5aMZzQ7VSOFa
wFuaA864zGM0CkjrvNkLbK1oPtrqzkzrxBF+PNr8MiuaQy4GvMvRLFOhajtYElqvAZc7fD2pT6G6
j5N6R8gfvabciAceKxgm7umCFYeWRg58e6uXtiXKEks0TYbquV74M7bxft05GlRGF3wfy1AWCCp0
Q42D7otlui6adNdlKPvI+PLrSZ58loY21cUgF4+I5EdbjIGeFqKmzX1d/i4Bkhf1qL31/9YY8/c1
CJFZjhxjJLJ0RyUIkIuiVzXh4uthTnTrwwqRh9b0KYul6rO59A0a5sO0yv1bNCo4hRc5jds7xKEQ
vnC+HuuUM2BCtpNMpXsSGpo/PjYmjFWraRhKE9V9LUM7oAu3fSGh2zA98/ROra3joWazGgQgCCCU
hetPf9UbNpVvpHyNAnmWbUjwF1bW0VjzW18dRLUqBdO0mhcZvRQqfRmTM2f/Kcf3eIzZkaujuVgV
UFTtN9Fzkm5N9Zyj9jnchoV7PMLsYK25USBRgxFgy66JsGK9RykUtdob0Dxs9JjbaI5yJPuOOZV1
g7y9EuJY+dpATq2r4+8w/f3ROq6YrMplgyeZGbE14k5rtL6gnMvonTHDOSHCKBOW9ASgAEaYm7ct
wKWgW/Jwl9bamfvKSV/ieEYzX2IIBd6UEJzxBR+NnejDhnmg9cHia3Uxus2qXGqe5JoL5WVwBouc
QRl+DsfNXup8xRXhWKD3GWbjqRcMjVm3g6utgpW+RoX/tvDjDXP60koOqCC3u12zEs4s+XN2O1uH
sSai5lSc1kaKJkl08KF3+Yy/duqyfGy587C4hFKJTOgxxjq7zncooGd2RhzTMq3hLd5p+wB60ApU
oaML7XtJHHevQrV72AxXCjqW7HbZvWmldebFn5n3XCfGbCI0UEzfqc9k1Cgekvhc1Ozcu53qNo8X
SyeKQZRPi4VsQ7xOZVlcJBcc3Rt0MSyTPSAvjrJAey+6/MZLto5Wsff1ap3q5z5G6N+tC2l+carO
Ju/Jy6PlWuaJpFIFC2nYJ5t+FaGH6qV36XK0SntBrTtqmXaEKPDhdbNDZtLaoLvFqtbxAg2NXnwf
ndk9Tt4ATePH95kttjgN0Zyaldg+NhJBzZ3FUOJgQZc5fIXwie82W/TXHYa71MPdmt/w0h7OJUqn
fXgWuIEt/vgKswXXGVqc8hyPBL0xT0ED2Bt15Ov7rLDG50pdiL39klm79IFYdItLaGmnHuj0zZlD
/fQ++ue3mEfoqrpC4mI60wf6nBT3eX0tntNl/ZyZ/vjy5/H2kHK9KtBEDB2tdC1c5Cu+DA/RS2wd
3DCw9DfmhQsJuMNwdXDbwMq9YpvedbKV3Z+xwtPb+Y/JTlZ6ZIVayMWkEvLcp87W42t0k62iC1DL
bOV2XOI2fhcsi6vhJl08IEzpsMvmCY2eit9v1G3gaR46dgVmaYfsFeDaW/Mv7X8/vtzs3A5lfYi4
jqeUGQfZXKMc54zz8TlhPXsP0050NH1FjKFI+v4ecG53UHN+JG5pGw/LF3Whbp/AWEcHutW5UJxf
nzuvzxrBbMUlWlOiGQrTA+1dtrPLTIIeMJJYSJaHVgNZ9pv+LtkmEF9WvB3AMMAJbR6emHX7tQ2c
jNodLbs5DTwO0bIA4d/cL5/QT5lchPvY5ivuiuCM6g+qbS6iu8xNLf1nU3fvDx8xO5S7o8ppnlgw
ZNYbRQ3bC2PzpeP5QpaZx8aisQrpL+g3vlcy/znY7E13gVSXCNvhRqBrl9AltQkRbAJ5WKETz1jV
6ePrx7xmZ0uRsd5kIeoXI7SODHVlA8R35vR4vwl+3ip/jDGt6yPD1VJGTEYwRuOZ0xkW2Wv0Tvod
Wp8dqIlpL+PtOcHBk/siqlgQR9EkDdfhj0PmQD+kspHkvlRcyOFlVAFD0b2dscUpCvdpXkeDzI6A
QWyGNEKWDBpV4/eeGB4EwfYoDQrQG0g2co3uH1ly9bBzykr/Kxv/0dgzdws9lFrRCXim1ASqRqZW
nwnLpJL+infzY5h5IJJXTBIkE8+RVsE1nxqTZflcJc6pHCVKn/58WXOtL1TAJGPWTTaYDpIb8m6p
q2gNriBzQfVqCyLKUkhk6DNmMZBYiJQPkel1WQAMSLxsjQ6EMPWMhzGZ5BevdmpQODbZUq7Tqpvm
nY4iwCEtKAcV8ASyEPuqxs4Z0klf4ugBzM6OHnnZUS6ng82DrkJtlVtsKdWz4nRu11qF3VauvPza
eD8vENRRosQEIFAZWZZ3tYejNUnBshtkeVogwKxbvd4vWyU5xNy0/944s4WYjoqgjzSC85AShIqR
vEQ8r+Dt3xxmthTrBA3PEolBPcKP58GyZUtWGGf2yum7fjSKj89stubyUZNSOcAgCh8taFP6HSgN
Ihu8WBpsCe3CXz+6M8PNAdNx0oeFRlMcdTlOU4C3EmNhMgYMz4BL1vXXg00P6Iu5vd9BjuzBZCnV
Kgn20OjCNiPmjtSmWwiB12qIj2r1ctCCM3fWk0MCGYjuTVFBTGr2ODMJ8uJlCtOQlMhuTMnhhpd0
yUI3QVQYmK2Jz1/P8USmeaof/nPE+W5WC7LaBDpGDPsb4HOaJeQbeyt4yKxyqfjZIXgRPXEDLSm+
YsvozHQlXZt2jU8P+Wj8eeIoikpT4hjf0MB3FKJdZ3QPEeW+TiLADBHx7vsNKA/7FPUgVV6CgzsW
biwlK5FBJ0On+xaoOnlC1k3sOiRwnck+Ipmu44Rv4rZf9JLoKKDdpQYwiozoNo/VmwIsvBJMPCCX
7vQ2c/sggC+fCY9J32xyiX5vR85QSauD/1EsDR2UB1m87FXTQevuQmg6JPP6haAPb2LdbkPAZ/SJ
zYfsjNuCPlP0HHoXYr6iYtkjiA6EE4lES5bQUdG06i0R1K1qvsRQgALKz+7BAuwb9J6MiZvxZLSk
EhCtpL0WkfIOBdOqQRMsQRVkQJYNQC2IApoiJuSgKLdup/BFpgJGaIJKKCQqWN4yCuEKXMFiQAsH
Sg6aGK+JyBVbEvXnrJXBp63cJqVPAPY4gS4vioHtxnbcDwAh8uo2qDZqoq9iBfQIAvVMAmqiAHpi
hbYT6Nz6gGTbhRi9ZmOYg47SXaLGftnnktvo3ApAAUuS1kFSfaUW3UbL0M2BMnvoOUtWBGRjBHRj
0mGT1boIbBJuQGq4q9FmP7EeU5qXTp/3yUR43IR9B65AJl8ohbaLjSBzNZJuukQMrHLIervX9btE
wiPUC+CRylTOrSrKPQ1EOlECCtPsSTShVaRVyOPGq0wK4TfKH2gtALakAtIhozrTqRk4NKYE4kLT
0c7KNZQ2SGL4Shp1n0HJHgjHsAeKYKp6GMW3UdCfuFK2boAkpDbWPpPpRVi3z4D9LCoFYvdq022K
SdouIWCftSlfqkomOvGYVk5SFdmiK6MUPDZEm/sC9QJmbefj6IydccsLZlgjhy+YD2ntNhmpXwQo
uVYBWoPaUZHz2m51BbJRuSLYJe3skCigKoXrsIGJJYojgx0voce5tUd2kEogukvgXyrDR8ePbwC4
lxNtFZnqvYIkGwuGxzZk91XNrgGt9WQe3mcxpGgIhWrrSwMwSJaWrs4RGU2IXcnZNcA9vsp7F51N
rpzKHuCMDuKIHqPmIxnYVghytFtHWyXvXaUqN7mQglUlarbJsG8HcE9qwAVUJUIl2egAw+OYuWzV
Y/7awHRKg+9MJdbsjBlXtSTdgry045Jxa4YgRnBz1wb5LixKICnvxgZYSBkuNKKJ/aOCaHdJOvDU
wB8E8FQaIOPBU7sXqV0D9hhnpVWF2rISU7c1BosWkLOJDGS3ODLWhj3InT0WOTAQwOJXl2rbO1Vb
wQ5vGX0pJKBZJmANyKRZfy2RFnn81M1UtDOWgFb0G0W8l6G5wXrwtYAWUpvvJSgaSpS4CI5XleAo
I7G76HJUpkeKBPJzaCzUFoQ5NMqHV9iOrCp/G6GLraqoOUNgbuyUJe3DNRrt7TFnniD4onKoK+4E
5kWMTjIUbjoC2uNL2VxUOiB4wUZSOluoAZFTnkWNWRRRsFIRrbZ+yoznOr1Ft9VCAW2zVrZCdiWW
oB3dmuyW5dhRxnWqfs/lXWimC41D9xVrJNqZvbBAW6cjgAretrIPJFSnRn5FZStJMxutck4kr2iD
GK/4jNZhIGQ3JUEwTs+BpORgHauuHCtOZSJFy1KLmwMC6Otcke2Woc48UGzokjvoI/QoCrYaKqGb
4KqXb4M4Q9wUfc7yDYiClpRP7WjXPCl3RQuCEypFteKpbiRHoYjhSpUfAc0ngk42HsKsBY51dEJ1
oQkrpQa+Aq2mLZhEkDpAqbcI1xWEmByE1cIcnGLIFnXRefBxnaztfWDMwES0O1V0w3wzsWNjQMkg
XySgRzoA9JEa96KJwdiagngdx3ZcrKXwOYscA3wX00o6F02F4PnVMeSBFjE2jrzemgx7iAVwnKGv
KepDFT9v8D9vRvXSQyhu2Jc4V8YXBimEFuamgrJMmB80TjfYVeS0oTcwLyvAJwHcdDlAz68HTNKX
H5XalSOkhu/gohihC9FltNG0QO2hZoc5AjLkgtsMboJzFCwww2GdT4Z1Ii0q9sKyrdnfD4IdGBAH
GTxeRdYQu2Q8RBF2HcXKOmYH7T4sNplyjYRcXwEoODg9TpoeWEwj3cYRdVoE0MNXLUsXPPJj5lNU
VVa6E5kdysIPirgmwiMTNIuXl3mwqOPEoRHZ1sNtylZB7WgDsvfJFYGrUQRXQJfmOHooNv8cOCwT
/CQK0n4/gLBVXvJsEWuQH4PPXEOTbFxrHdYYSOxptR0ap0X6LkVi40VS7hq0y0vDQzwiKiGv2nYh
BX7NH0vQjZVtY6gQqrroq2Wi7HFANfJ1ayAJndg93XbtgSc7ktukXrbhahQAIHZ147Ij6yHyEgi+
VcWF0oBf9zBA1i+rQCLG26+Wcrlp5Qsze2j7m6i/TzKQuLwEBzcfH0l932gioMCoWzN2Y4waVF/j
iIN2DtRZHMnYaXjgOXA1lWgXJQ5b8VFH8wXJ7KZ9jAR9L4JW+7/snddy3MqSdp8IO+DNbaMN29B7
3iBIioT3Hk//L0izj1pQHyL21tUfcSLOzMSMRsquQlZWVlXm+rqgORu8VW9cwaAEJHcFTmqk0PkP
WvmtpgfFI2h7or6oJVhDwJ22cenYie8t2+xOSldOky5cxVtIvrKWAi6muSzKz+Nu43oXkmEDs5OR
Uq/PI31jWUuxucmrXaKrSxr4VkVOoD4XaWXtWUX0NYnbsCSvchzbhQNUg5kLV4G8yKUbufmQrRsv
2RjZS5mvAF8tWm/beTfxsJP1lV7zFH9VCmunuC3VVWqcm+5NCFQezFMNetijj8Ba0pXDwQKPFK9R
MB2yK4AGZj/QVsvVPmGstK4SbSm0j+FTnzyr+QuQXVsmuJeDawvxpifps+TrqjzU4cGrgL1uOhCu
w9rIHlznXdbf2Hq7AWgViL0uWCjU1IgswwRQnVptu+RGa5Vl4171MiXJSylZw/JYOOnWDLj3E4VF
igq7uxIkW7BuPfE+bsktTHhJUKd6zkTmVR1fm8K523/2xbbO24UgvjgBqOuVw6NBrtlQ08hpFomZ
80G+6cZaUN8l9101n+kcW7pOthSFlqAR2ymqKYI7iqn02p1SgwFdZveEN1FaqMO6MlcamRrJbm9z
UWYVl0CYffWlNPataFvid2/wDtWwQTtskQ4HAXFC5UyKN6W85iGM/g1WtFBfUu+RmIeseKtqXGnM
y/NnvX83pZuBXueS8pPbMtvn1UvjXNJqhmSwmX1qEF9pCsrWen2eOq+R09hhQP9++83sRpDWxmDR
KvB2bZ9NifcJSb+PvPeoeCnJTYJDrdwW/PFL5S6sjNdA8UKIb7r23KevLFZBIcYpb9jphQMss0bX
MuV5Nsvd9ZA0qzApL2snOnPF7MyqtV3cPA7QOBvYmkpJdpX16W3dtRfscRftEN914CbrQbA1+kG9
Aolz0ncnGA5uI+1JAm8NV17GgbeRw2HtRe6Zp3pPelm8+YVxYwYUedUOLkaPUjQ2K1jsMllyy5a/
1TLpPhhoChOyszbk/ES9jl5+lkL64IeAusB9axn1/4NwKMOCUx61ao21qixvqzkAJQlztaxuVbOx
UWwmpFnkrh1ZAQRAgeo9gexfq+xYl9aD4Z4XqnsZtdGD7lWgJ7uVBQQ7J5EVPUVfWELlUhPXrqMW
J3V88N/6lR/0u843zgREwhbCEK2KjA51OV4mgreshIyK4pGQx1s3FHGt1s7dpAUeTTSEV2oU4pnT
voS1uIoMPprb36hmt/dFc++1gGjZ+QxFW1ZW81rASZc8/T71z532mzVcNcINtDIz5y5LXQ/h1pAW
TIToZWeyNOzBlKzFeFhbwb7r7vVyk0h0UNCoHvfvmjBs0rjZDpYKObKm2vo69Z8c6a4nTmT4akfO
X+ZoCMkXngMJ9rXVspVYsJ9lV3570QlroTWgiBJ9imobiCA9gdSO8z142xyiK4Uhdms+afo9rckr
BV6a4Y941T3w/YXZXoT0CSDdRY/oWjI/ofytIk40ubOrtUMVhqvEDFELPphatFS6t7iLbT29yMEn
68FtB8u91yP6TJ9jKKVFSAmz8ZpaL1J5iOHUd/GnkF/4JGiti0CttQnEgPzdsg0yCNhFI4x+oRjc
n4IoU4yOIuR1oQMEThYeNN4QeKss7dgF24QdDaKt9k4T/1JjixQJbJANuA7MtnWZ2J4prBvh3cmK
pSNImzy+NciNM+dDCCg4iKQzxNHBwpPFdWdOzNkRCljDbmT6Jdzw3A7b0HaLR9d7CatPVMUZMwDq
HComuOESfC0AxcIhCym8VR0Ldh0EZN/vdU3warNFFo6Raxn2b6Hx0Lhruf6mqg7Nt3cJbRjpuVoc
auepqV47DiyUhwGWbi40Qb2vPfFSpuB9MPO1Jj42+Y3Fbq7IV4rxCH1AiPKNqrXLZrhro0+dkOUX
0MhR7Hmq433W3njOjek8F87rEF9X3oOgtbZav3Vsk2phAJOj0Hl4TPsbKxMWymDaUmUuevU9N2+6
4ZxwmIVU7vbIcKlvhvAqdpfIE9nc+9rpGNhIILvIfcwk6y7Uim1KUmz6EHWTbKfRNO26F3H4FA/c
17rQqTS1g2EspsaV4HXlIag6dVnCYBzU26ojeasvZWp1si48kxr1ymCfTpp7IX0ze21ZVM9KdMnW
bwKOcy91sg0hdJdBt6eOjnLpwJZ9LoLjXQtBEPKhPkoZxN8qymVc7SUgbmkOxEfEkI3CbuVNJR26
eu30C808r60zwXmEmUjCQehQHqzugq5CJB8/Xaug/yVaDf6BppmFET+ysJddh0MJzlJirPAvCUu+
rSYAGxOqtluOHMMtNxH7GgisxrnWqKKNStSuupEHeJD8+4L+2aLZG/E6FEDABhjpyET02Darq6A7
pxRm4eqA54pl0cLHAGlkbQNKi9t+TwecqBMsdia60lYPorzZDQ4F6h4lDRZHLuLqkL617GDDpRRx
L9Buw+I8j5+lht2Ao0kcHhxX2QWVuMzhWw5kWhabIGXgfY3DdQvRRZojPEAWzIrXVHomYQb3yWGm
aMgMAzjIga3To1DLG7X21+M/kPYXgSDaprPrms+8y8+z+GPIb3mUQCor4OTDQ6BJ6iDsq5bYDtwi
ldWNAqS7cPI1sgEApezWuvQApqfWsq4820o/A/9Gq5dRtBvQBhAfSo+8UFpb6G8VMHkNndWzyvNH
3goWMUWwCVlDwGKLCFeGDtCdNTxES5GDa1huQBqbJiBJ9U1A/0a5DMuPQbktqzPD9RcavU8SUkmF
cx4mty2RBebZkgc9msnZe8pN4L+4yF5Z8WMF19SNL7X6ThMelIH7Ku6FHO/Wcm8KhWMunBPhPeTc
kjr1Rmo4JaPqUH+Iwl2QBmCmzW2MdFY0RJu6Xuck+HrwZBThOtYLKOHmIhYBeQb5KudOLIZhaag3
MvyTSrpXB65FRGNHz+KiY0ste+SHKpo/adZqhGs3k5B1+PQcyR4Mw4YWygHmTMJl5LM4X+fBbqif
dH59zsm/FxYNi6PzeJhvn5v8oZZvVP8uTNkSs3O1JaXyxwTBQYHirWklfjhYIs4qPijNnn/arD9U
vd3ICWeR5EUXPntzD1R5TH0HPoe/U2mjNrnCG0xyzce4fYiNix4NPH+f5Dufc1aOTFvbrsV2DwQZ
cstB1jZpqy1EWP6xGiwC9dn17i2ZVl5l7yAXIBBAP/PyRuiuSRq3ufnQBoXtuc+FAFS5PqtLzrdK
uVB4bq791EZceF266LYG11G2pXhjUSLsIHW8+sPc9VPXTiibSbJzjXNASs5f9h8m9FfJC9d6+qGW
ryIVW3R80TQWniVKtHGk5wZIX0MG33qM8NNhJxWrjA8lrpyKUl6tXESQkcXxjK5yHsivREdZ98pb
boj0yn4rctKZfFeEt6pCslLwvXG7UkZuQ7ntagQ/EBHNhnrtOc2Gftu1MmysvqaMtlkGASlx3228
jgMNt+IZnbhiGtC/95YGFJOxYztUtzi6rZNOdgbhxKy3vhot3HYvDj6SBulahtQ/bLOO/CiHfx0j
t2xs/axciM2Dpuw7q1s7tQtIGGTIpdbnaPoGC8mgmBKlEKm0CxICrU5s3dRsjV09EyyOEBavLHQh
GO0yT9SF1rrLtrnrCpSyY3klJjCoO2nZmrXdejCceWHKA27Qoq3mPSkoRNEHuNTSVxWOW6q/iKS2
NcpZ5nijWXrBIokuKYhdIVaybhTLFnuHYqfQlpq97tZruRvvNehFq8VDKnGcRHo52Kf1nRy+u2YH
3O0pB58ago3u0V1AkpC5fhw0oL38sALhMv5PnPoRbq7xcwQY6+TabB8V6RJuOpEbF77J2kvSAqCJ
rG72znPgpyLDa63H1jvwnr1AsGjZWsGyL/tlVX5ry5bLnAdDwp/DK7d74DhWuSGiCtwRowDRQS+n
J1G/EQQK2sudJoQkWM1OEC70NLETZYTVfnqsrqS1Fp76Xkg3gbv3cMik/eCrOTHW/bt2PIlsEi4r
hvAGLZQlxG0ylmLj+dk1l7ArE8K2b9iivEDVeNk79z5yVTotJKJyJXMOZl3bFHmNZ58i3jUci4QA
mjEr+FA256HRLjSr5/7kvdWRTRojkH4fh7B87yX9suWys+3OkCCh2HBYZsD3jC5ZKq1hR961Vma7
SFgHw52k5ctEe3RDZCmigx8dwvRZLR6/v+f8I47eaULeLxC9/w9xqjwc/XdgkZ1Gkf9RgCf6Tmg9
orDy1/5GFol/QQ0QFYnqBzqIrLFO5m+MnvQX7BSLSr6RkArskZKQvzF6+l/a2OxM092IIfkFWaT9
BaYMRKOhylTDj01P/4CjZ0ze1zUAH/QVAZWUVH6CJU7KTgyv6cNScrsNSjFRcB91LTgsh3uj8rMK
6rh9TOXIWvkeL3YrxG1IOiInEynvQawFdn4cKpZH7jT4/lbONOmuFtu42sr8VfV8iGBlja8jsrf2
6Jn06qKLl10LwUtzZUElYLgyJGPa4iGfc13YI96lXDXQ2JaK6GsXrVHExkISklyx0Qjon7U+Sy+9
iLVp5Q68P0/QeXdy9b49U4Ik3EmhWHDW0mC493m09LKA/2/uAxqdbdgsLC5JqwzNisasyDxFaV9V
PXo38INdWxW46HW4jOY1RFkGFnoShSO1yarqg/vckV5FNT9A+bsHjUxHRWJ85GK4VuQk2vGqUi6E
VqVAAU6/HVRwy/ROYLswhl3RUIInJF6+CiRRWWoGdylFJJVr2h4h3tf10jBKzg2WXy3/tyx/cMSo
y/hyWdbxm/96Yl3y9/5el/JfOLymajSHA5/+BSUms8JAKtCgQdXSd47gT9Ax7YYjZIyOQHGk6B6T
xEyak+nqYEWLVKZZ/2RZ/ijk/fWFmp/wHVDBkzzt5uML9lEZQF4YHEZd3pRNQWC1yU1n4+buoquq
T92z3lIhRWatks9ArnKKcGLOSKRKudgKvHKkz4JUstn4XEP240labdlSgWMuBG9YR1WvoQvhX9Zd
5CMlFrjUiIt7AA/lJiq6gxSxTmKu93pVukr04CY13BdiEkc8b2Az07Yl9QK0u6cP8DkvZR657AwJ
KE80EWlKncDOBm4mi7DNloagcZPXksGZldTtDb8+7xWe43yKHOxBD1amlVfLxG0uJJ1tnqQ2toUk
q5Aj4WLFMmi4bIJvQu5eKlpSHxIyzCtd9Pi7AlJnZs79SlaSTAR1R91h2ZqrkAqplcxVwjlURMoi
nYHhQBOrnnsI7MG1oPVmhIzkh+pHVXGO6ldyZcW91RxC0URwl0bTW1dSXn3duR5wj2Vl+Je5Kz9F
Yu/ZelxpK7LEFSIGmzKkUaMkJecfIdWT/ZugqR7i1rW7wn8ecnnjmXAcBp/TrZvq61QkFa11DbU7
L33tsuY1GsoM3TwuKeJQRzXGLHnzGhBQqpQbqNXjM5HyKuTqWdrytJ337nnHRW7m+d+A8lD20qEu
4eeAt8zhhvIeVPk4KVepvlUsbtmdILorCuU2M7m5FNSXtmqupDg+H5J2nfNre2RDV4k+XEYhWYqW
xhvE7z4yz61QcOLK1emDi1piO3OcNxdwI9l7+z5Y3rkTUsAbljxFDZ7gUs2LUkydOZ+FmwKEM2O6
5d3usSvNfVFQFtdoIY+GCTqaVWRc8GDh4awq1O4a9TjDV1BXMbtV7ZhIP+jrzkFJqvXRwQMCDFjS
kOpdammXYuK/+aHh4ob9RoUJtzDqsd6ivKRckhd8upsQmBTTDTeMIZdjjWU1D5zJyJbFUln2faLd
c55qNnEJsk72u0e9k54Gub5oG6Rg/OZGHxpukVlBYZSss0GVRw7ldVlGpH452agSKe+6FbwbYnso
JIATXfiQDfw7QxexzvICnweKIOXtNWJwbwiIjjfouQJBK9+4RVQs2wJWbNfzRp4NyYfBi1roRTxI
QgpPLQq2SyVdDjUa6Xno30kOukU6LrT4377wY18ge/nv+8Ly4zat0hO7An/r710B/r0uK8YIsafF
lj/4O1cbaciGpkKgAI5twYL/masZfykqrEfrB/uenO3npmD8ReY3giUVFUnZMcP7B7natORaE8H7
K/AKwH/LwE6ssY7raE8IkFCLBitWNymFKMsqJyTbuVMKSFnnbYhW0NA4T6bTIAeSi9dqX+nIJhVU
+VzIVm7qA/UBwzbH+3QWcuJF516B/lux0KlbeVcb1GV+FAP+71wwesZ/d7TzNCnSj98dbfxbfzsa
2GGgYpo6+tLE0fi4OkWL6v/9wd9HgjHv10hWZOCeIsWinBb+ppiqf2mcLWjxhCkvSeQn/8TNxmq/
o8zj+4mAOm1t/Fl47/REILmupQZ53W4UVB8jDsyRyTsGui8ePQ3yba8dipTc6z/Tc/XjHz9m1U0K
LH8zOXHsuI6CYXAomguKfFnzEEPavZe5lILTtTHFdqaW+uQIQZEzzwawe2lS/SdplqDnWdVu0i54
S0OXW0WzMm0z7tdpyW2eS6FAKd6ETNCPjPy/QvlOnbaAORIOaFxQlO8d/kcrWMu7hGt6BpqhhBUU
2dkwKNkiLNpLuTDwqK8mFX/4/Tse2Rr//MiWIMdNJft8R8+MX2su8JM0m2mRxX+/NDH++ZEJnmrq
NFYYjqh36iIIPJeLfHdFhjDT5HViLOgdEJkBco+kj4khtMAcgeNmu1FLKhpUnzKaTAhWX0/Y7/EV
OjjeoKjUYlt0LEz8IqmTcEiN8favzAG6j5fTISoHwiKShkUpfZT93qFmqxjOLFRLq3isT+m5RXQW
Ypfsm+RNlWYWxhT5MK6MX37S5BhgeVkpu4rbbmpRtqPgKer3ZnebWPu47Ve907yodX0DhjGx/Ui6
C1B9LFqu0mYmZlx/k5DAxHPXABdJJDBNpl+10iTOUqPh2cBEKPpBNp9a5N18/6yEw+2dISSGzNo3
LRbWPuqyAzXDeektedLaVeF7m6Q2GezXv+lEyPjlJ40r7cj1MseqHTjQzSbR31CnokgJPTkBiE9i
vJa8JH1tbdry9eM7HM3A+HOOzEXILAmyazWbsvSXYRJcGsmnwbt4YiGnxR0mPkWcVJATEw9dwrE+
X466oJX7mhkXZsCTz7eyi1Zu+pSqyTbKQ8Rs50rvpUkbzI8fqXKW5GyqGJCgf/2RqRsJBfWVzSbo
ajSVtI2lCHZPQVPT92emlth1E600peYR5enr+TmxPjkRWwQ0GQC29ls/Pixogf2k3ui9debKMOwL
7e7PTExWQiirhTyoer2h5ySzA3YFjif1Pw5oTBwyARacQaC35iQCDDw05XC00dV2XtPiHvnXRTsH
0f59rsaPg8oLuz83eFNQd0ZF/Xgq7DeVJti69KE0N1/P1O9LAwOQe9lkuHM0tIkbRKKgBIXu9puY
VcfFtxd9mkNiD+W9ThPL17Z+39BUUxo1OEgXEAuZDqZoNH3UPKw2agtgSn7NdYJhdCfFc/jsad8j
zo0lfRR2GJMfA1L7LyuQ3SEX0VusNvo5lfE75V1b+pfLvb4bDlTCL7xL58y7bdfFSlzKe2Hnbt07
c2/OsMpGI78Gwl9/xCTq+JGPuIhq0e6tKRdVN+wlv0KYldDz9bSesiOD1ZTJ9RGz/75THYWbPHIR
2gm0akP1tE9RuBvfh7whf23khJ+MCj//MTLJupoqyDyumaqNX3wkZbtKa5e6t2gNu9Fu6uzHWeC/
pj4nrQHUpmJENTjGTJYWeMywKyKx2ihEB25uJHiBK8dfqOny62GdWF/g/n8akn91lE5r/C4Xh2rj
RNwNUYfVK/+QPvzdF49NTFZYGua5xVmq2khdbqPitfCyq6if2eHG6Z/62rGRcZxHPqD2g1whUVlt
il7exsj6RX1BeVy8LOrqPgiDbSQG119P3Um3O5q6yRpLEbPzRZ9vJMYfjcP1UYpo4gyzbc4PJkuo
1niHLUyGlVn3Jg9wFHRI5+wY8eOfjWX8HUfTF7mm6wLfhYhUXAkQqTUqRDJvxqlPhb/jbzRZQoNS
yLozDkaLfSQ6/XXtqIeKJ2+Lip6vxzM3b5MmLc8VB6euMSWHJRWb0dLI8oVqwtqrw5VfzszeicST
qhBCD1I60BFFazJ9RoTQsaIwfQV1W/WyEmmTAjWXwDa75y4X7qS8onLp6zGe9D92RlkFcIaO1MT/
mkrVvTAkIg2hdlcHYwVyuJX0uZ7SOTMTF6TJJ+MiX642hvotjIq1kn14NBr82VgmE+gnXqHkFUak
BtFkaqMUNEf7cMbK70fZ8TP9nLGJA7Zd6uvROBRQpRGK8dUeHxcPMt0oQIP6zZ+NaeqDae2bNY0z
lNTyQmfcKbm/MDx39UdWps2BnYWjW41SbUrqKIqE6oJYsVWpmzFzMr7+nLpps3MEJaiNHAYTPkj+
Ku+vqT98TsBVoLz99YDmLE12JKokxMCzGFDhNwB0dyUFczJVU9SH8QhpSzS3fG3wpIOPmyxJE2nT
9CDAc5KjoONHjKWDo+wpCY2eqeSd8b2TwzqyMtmg+DpWWMdMYOfSS7TPrpD+MyW00taeMRP8xn/q
t73wyNQ44KNg3ptl7IBVwvGonFKljwBd+T+bsklMyJFE7fSCwQBAXlnlbWDcja88f2ZkEhPcwYjj
KsJIExxoQF0Y1m2jz2HF5j7++NmO5qoygsDKEyJ3r4iLwNRhIBTrxJ9xsbkvMg0FvVYmaBfzRWht
zWp/qYr/UMTmR5b186Or43H3aCBJLfPQmWBC0DzeBC26DaQlMh0zQe1kCD0yM0lMAfEJEb337OEO
XU4mFXTqnVB/S8N716H82JEXfTSTZ51MG45MTgKCZ4p1o/d8osag3zSCUaOOL4aL0JJnFs5pZ+Ct
gOITXrPFyeBGKTZRzrGUqtR/HhArdpSZ+ZszMRlMnflF7mUkJg1QilR4KMpD1cy14M8ZUX71BT1V
a/rhMVJIH5G7b6m0G7I5DOm4/H6PMpyJeN4ZawImPp17aZalQV+hbH+osnItWY9KUq6E/lKLX7+O
BKeXz39MTfe4GKXfsGw6nK5qeYx5mVW4OD1hPw1MPnyjxL3ABkf6q+dnQEjXbqXYRaE/fD2O0578
08z041ddRkMo36VCvlXa9xTkG/HtkLf/Jjxz/tf5L4Q/p7ShPhnqXIz4NCplyq1+1XEHJIdPXw/m
xAUw2dSRlYkDOG4wpKbKV3EMpzzLo/pNaOlVznp9q2tcoNeuXfDiXg3tnSuMbXLR8CwXJgLa9FOK
FNaaebqrIkqvxRLozNe/7uQX/fnjpuGwEAY3kBS+aCy+mA2v0mdK/Pa1iZNfE7lLkXdGw1SmTz+h
mOQ9QhXVxgtuAIeHwwXUNl9afW3lpO8fWRl/xVFc7wNHd4qSgTQU2zvU0qdcnH5t4mRqcmRistF2
Xp0I1TgQ09863JxXdbRO6I7pqWkwilVMhcXXBufGNNl0B0+UnCKpyFmVu4z6VtNI/00kPxrSxDdd
y6H3exxSLtKCT3+f1S+6ZuZwftLHqG4a5X01bpEnUQNysCEIos4lW/dSBWsteQiif37FypHyp4lJ
xCgGOckR9iXIDtmqyQAQmM1KolXwX3wQS+MpR+Re+jf5hNAq6HzRzWrjSi8Ew0Wrzn0Q+aST/TTx
/Tr+yI99k96BMsZEpoxg+Ow9vhBX/UVx8Lbthbmpbe1JuI0u9aV86VIAfwi35TvoAugQ12axDJc7
a2ZqT+5fRz9o8vXCrot7veIHpdmHmkQLlOcLirkD/1bS5q4jTsfKI2OT79hYlVWFPsaKZezbxmP8
MSJrxTW16IhldP3q1V+aF9o2Cmfi4Ml8bZSXRiOK4gpjsra1NFB0L+c05bwIyEKK0DaXq12jLpR0
xtLJRX1kabKoAwOGiZBxHZFm9V1uxO9Wqd9/7aanP9nPwUxWtSHmvSwZXPQGzqVSgAxUgE3UZ66m
brJMm1kTp1f3f4yZk4TaNCtDjOnk3JiFcyPUyaWhlDuvmaMzzZmZuKEcyyp3OEwbqeEiKzZIeNmN
485E3Dkrk4ywzzu2WJ3B1K5BB1R4UEOF/oA4f/j6C83ZGZ3kaJULPLVlWjN+oZq6sDZfeN021Ofy
2xlXm76j0DKQtqKAlYgmMtF4VbPtnw1jsulqnuYPucGqMWjS1YJn5NMXofT+tZG5UUyWpj6ETaDT
f7ipgIJU8aeizby/TOHOP86EP5fkWGt1/DW0oI+GNsaCsKcfne7Y7s27DDfSWbIc9vyv200KkGhT
2TXJGCRtbfP1COe8YbJe8e0GlWF823NpzaiSXan29Pj8oXNbk5WaCl7dZQqbZERXnLgzUhq/7v9o
JNZklSpFoA5agUPQcdy4ih2mIjUVcwMZ3eq3I9XP72VNdonOciOPvgB2+25Pz3KVMXGLvJ9hgp58
HJSPzEyCwdAOmt56mMlX/kV51m8gbNyIF/6D/GBuirX8aT47B5Qp+Y+y8V6VVX92dqvZ+ns9U6gy
szmNKtTH/tkaVSBIKKNvEvGqoGvRT3aJOizQbEde/VwTH+S5QoiZNWdNFnZXe7Lr+Hik3/orimFt
o5vhpZ0akwJr2lQp/qAGcVwTRxGwDS0pVXPGJPq0y0rotDqXfnqQTJjS4bUJ3N9IZ5zz1LZ4bHIy
qEExXb/+vsx5vuuWgbjkmkwx7Xjue80ZmkQsy2gobAGpvem4vGyGcN/E6a1PcfIC3elzS09mUrRT
OePxwCbxK5CHRGxG/xDhd9eDDQqqSndQV4L27Ov1PTeySaQKw0qlT5sQ4pnbpqHN9iyIV5ZuC3Ns
/1Mh8WhI2iRWla2ouYKJA6IJR1VUH+0KB/hYVTcvfzSiqV4X1RSxlox+2Kaq7UNaaLTyNmMf83x6
47ha/zNzk5iSh6WRATwjpgwL9v9F/61WuUGhV7GYsXQqSB7P4CRoBEPM7YLPp4rlawEui4RaiyXR
TFQ/fz0kZQzq03B8bGmyrkraq2UhxJJiIXMU3eWf0lK0tWV5pm7i3V1y655nr8NK2UE0yWz/HPbF
ZXKV3mf78FAf0tvovth5c29Ypx1Io2x11MhEaevX+OJ4kqek4/NIwj0vecpSpvc1S+c0nk8FSq40
/mNmMst0cERxLmKGNyz6QyB5An36en5Pr7mfJiaR0qh0zs8mJpT+wuScly7pr+ctLg7WXxs6HZJ/
Gpp8xyqsks5vMUS/Cb0JSXQTK/22iIczmnkO8uA/SWVwlkba45/ZnYTLyKHpmfpMluAA4HXFAwM3
5OQO2gEE4MxknjxhHn+wSazMxOb/7v/TVbc1Hqs7evxXubECeyVcCztI0s6NcmVcQtCbGeacq0xi
p6dnkdkUDFOjhzqrqvM0jmZSlhmnlydRc1B69oFxI7CKDtE2WXFBiZr7UujnnHLO0iTRk93A8T13
dMpU21bCcwArI1LmlCnmrEwSPcEvYZEIWDFhRPRczQdOBt5mJoDNWZmECtER+lgvmTUveKm6TxlI
Ab1EX/v46S2arluN2w26OSbzhXKi1aM3Szh6d6wLC0oENP/ITrVVr84E/jlTk0mr8iJ3BwdTcTO+
p3+LJX0XdD3NW94+9XQoWDOOPSXAfz8/KXQc/z24yQSWJscKScJitZZfxY/sLlt7l42xMGz9Cax9
BFQrXngfX8/o6eX00+gk8voDHXjUb7KTCo4dIt/caHNP7GPg+X1j+2lidJyjHLUxU7Hkc45VRUA+
7FKz6RzMFeLv5uuxnPRAekLHFlCagdRJaKiF1hOy8UGtR12nKc/LoLHTWQ3PGSvTnCp3kVsUCqy4
xXtj3vXCzqnnjtInnU+iRAD9cJl6vHFKj6YsdMzKciqDtbRNH1A2uM/OUoQt4xeSq9VmVR90b9Xd
l9VC2v6bKfxpeBLXmwp6k+ViOIohhwjDVh7qCzMZZmLFSa/7Ob5pNf8gtCmaCmMCXBjXTqq8hb7x
+vVITlRcU11xZGOygItyiMpEZShxv3LoHt/BWQIhTEs8Wgog6+au1k66+ZG9yfL16my8YMGeVGqL
ROZJvHgZCpCw6dha+fb16E4bs1QdtLIuUa78q4P4pZW1hUpIT/orOjnjku7S8K1xn7LBmQmE31tu
flu/MA0MyeC/UX31q60qbepAHDepYl1tpUNqd2fDpl4qq/SyPvt6WFP4+I8Y+NPW9HKlqS3ZaX1s
yfpCWb6sgRYJwP3PymX1cEHJxCK/jO6V52/AJr+2fHJV08otcmkt0Xo+WXGmFcp8wY442N5XKWSd
LFi6QHi+tnLS76nFHh+wSZ+mhbYaMnwg3nkqBQADVNHammIy00B1ciBHJiZun4TFUFKPSH7UoVpf
D+DFfVE+R2x4JkjNGZr4e+t4jZsIjKWu1GUPDJAzrCbPnCtPHr9UndY5nfdlOj9/9b04EzMIr3wW
TfmMHMYj0gsGv3iA5/z1p5kKbPxwPbrqWFCqiH78xAMSJR3qSmgZzwBctIrSZIPo+AUkGpgQ9IPx
ltGDPte1K61Qr0JTfBWkhDJIxzhzC2kj1yq7c0tJ3Ne/66TL/OdnKeIkGS3dSgxMSPYbgBy2551X
NKV9beFkLNFo32KjoT9kWtmpmnVtDnHFgSV3n+NOuxkMy1uXTrPqxOxFGixhZpM5nekcWZwckWS5
SyuzZUzmpt3trafiskPqJrTNS+eSnv5z4V+t7iODk28L3TOUEqtkiGa1SqyrlDtwbe4C/PSXMsg/
NN5xeAD71Vdzp8vyfizrQInOQy1kWMXmnBzEyUt2agdZETRDy+iG/mpkaIvcSYdiDMbKe7dsL+BC
fyDu9awvxS2AhHVlV+Dj7q2tsZx7Vzw5wCPbk9BSuokZJXrOBb/zZoH1QmBgZhGeXO5HFiZTmMht
CLaN0SXSZ5yoNjIPi17KVoDnv/b500OhlEIaxcjQgPh1GrUq6Bwnx5CQPHXeXVH/mzduGGh/G5gW
EfmxGBqFisc52rM5XATGzGXlyehLJzD/QQaLkpBfB9C0ZR8WyI1tMiKTGD6oMWXf/7x1jBTKQA5E
Gf+nJk7WaVEVruoH9bgbpyCWedTx/dU//RBjMQMt1TQOmWBbJv7c1lHO9RLBRxjAZZre3suqman6
Pb5hgq4khe5svsh00y2CykCakW8NW8Uu2Q9TGBpCc19p0N7azb8Yz4gCAB8lwvmYOFZX687/I+26
miPHde4vUpVIKr4qtDra3c72i8pplBOV9eu/o7l173TL+lq1szW7NQ/eNQQSAEEQOAfmhn0P8NjV
lbVZA1/suoifTgJ9/oiY0hk2mIRT8xBuSGVc2bwXoftVqppNqqd/J2eyNTR1e9BrYN189p3pDRrl
X2pwexBUkv+doElcIRjjzbJxgwqkykkHaFoQpEivAJG6Luenz1wu3BgUzm5Vgexx1CiwcEQDmGT3
pEEbwGEubM+SlPHnZ1IE2oiB6sMCUgWJwTFKb5t46QAdV+QyJb/UZOL9iqyVXhnCa7Ku2RXoBeP6
u4uH7wgosQKgVsL0hFHqPTBIB9Nty3dN8R+uryWZ/QQZkAbjLKMCGI1LNQHL0tZpHyGV9fOT2tf3
egEwGaE/5VK8TgAO7BWCIXg5WM/d1ojLbE3q7u76R8wttQqqQcw2Im2Bu11+g8B6JlQxcl1B+xik
9xygmCJbWOslGZMYKPFWJSlBBspp8zRUwZ3oqTuAoy5YzWh70x09V2Wyo4DfzEOAJELMgAJ7Dtzk
/uX6Ys2FQYxmKrh3AKsEt8bLxUo67sIyG0SmMrvxYDuqJx1yMdwCuCICnHG/0K82q9GZvIlXD0Br
SXsOOQ1e7JpkQ6Lv6wr9LJJo4GfHOLCCSSiMSk5C7VDUcgTMKkwkSQhQCfAsG+2jlgFzSoPiyWfh
p1urC9Ywv4j/kzmNvQAWHzpKoFQlKnbUtqmhg5AlzskaXFO7JJQer+s4t4hAFBkvJwqmeKeXEi3M
ywEwlnjAo82OuNWxV/PX6yLmDBxQWZjdZZhGAeDapV0ElVzEIEKCPRQnKboR+xupWzhJZrU4EzEx
BT6EYdCLCLyRNzhAydkUxdLrx5wxoAEXy4RcgujThC6XgyLVGxhD0sQHAspJYFprRuDFZsH5qyyK
Dgu80/WVmzI+Y1c0+UzoNMnjeeQyfwz1uVXboq1KZroqHMEGx4sDaGXJEJ4927f4Dt2U9nu/ZzZd
56fkNt02Djh90m1yXz+D92DBSOcShPPPmuyoqIHsQwtgNL7im26B0pC/w9QJBgCWxsF+F+qmYUvD
cuPyCDgaNk1Dux7UWpwiDW1N0ZbsGLOi2+AtOXgH1axs5mQb2YzXyi66TQ/hoXXNbKFiNGtaFHVx
tESPHHmjdZ+dtkPYeUHr4gMidqiA9uaiuej6LpPZ5TwTMTkBgJRGUyUdrddoNswqHQXo1YWtHd29
ZhQrZQ3e6srbaDe+c13yrGeeCZ6cCY0sNaUWQ7cOlQ8l+KzIhnSxdV3IknajY50vINgaQ7lLUWFx
t8CiLlPVlvkACN+lAdKZOiK8BfURNAOo2KkpMX2H6eVEGKCO2jXA1ON4fxV6JAlh1lu9Rz8YWII8
lYERTbuVJIqJvGxpJnh+RcGjOqbmAHiaeEYahsDzYQmSFkwIcNkB5iCGJL+ur+iSkEm067I+7wcP
KxoqYB4A81OLN/OMLQ26z2/cH10md2XWKVmmtxDTZ0e9k0dka5DPVRiRWuqBmPexP5LGn5+ZCMaN
Mz+UYqxa8V2Vd/XSQPPS75/4MPxXzaIGmrRpsFJZ8VDwZAkMY0nGxIkrOWuFzsPO8ybblrGG9q8Y
BDjXd352Sxjw5FCaQWVenGQktEf9mschAm9/zwqQKZQc2POPJY8WIvysNn8ETdvb04B4mV4g+aY1
CJk0dlBUaUHEgi5TIC5N4CRNG4hoKqBh8VuSeAaIgjK9W7ieLwmauIsUq7g1gFkVu//dFI2dpb2T
pY2jyX9Ta0CK89/tmTazyFKglW4GG+jqehvw7EatpOfrFrC0MePPz1xFj3H3iziUEYRtVN+C3uD6
76dzCei5DhNf8WX0hEsZBGhvwr3r9HbzANK/zlJOiABWaUSPdOPt20/5JDv73Egs3KpX8vfwKFie
df1blnSduBTGJDEz7+NTquxQebjjsfJfSpgcgKqaDLwf4E9D/hr2XynS7esqzIZq1GrgryJgtqfz
CqGf5yob0xc+3NDso9YPbd39SxmTA5YEXkvrIEdZuHkXhu8QUGCZuiBj3of+6DEJPG3NvRSDbuMr
/o2X7yP3VmgBab1QNF1YremMAg1B8S200MQbeuRCdJMqyZa1fragzZKcySmdDJjp6Bl2Jc1fWQJS
mPwLPDjm9a2fd6T/LZlGLz21IkENWDtkdYO7bQqghXlWktxF8d4towVRs7sjiWiCJqok4nFxIqqi
nirUOD+9cNOHhwb8ZH741cfFgpzZmowGBB90AsOYf0BkBS5rhXysyYSCdMiCDGREICaxvCATjADN
b4YUAVBXlGxUdeycuo+t4IJTRx6Wcr1ZjVEvxp/xoWLaieG1fVwNIj4k1d+1+IYGb1K5Voa761s4
G4D+SJl2YojwZ00eAkzEEdGodCTj0kINY0GPaVtrwME21QYIQJw9kQ6Mb09KiemxPl5d12TW4rFW
oJTA5v2ABQvFnNe6IJQO52CaBMUowLpB5rzQLD67XmdSxp+fHU5KDTId7nlIT9IcbLd4b6PtvxQx
MfVykNGEU+pACR1fTTHb5wMU4vpazd70z7QY9+xMi56DrlhPsVZt8pn4INtw4rCGHDBwgRMEtGD2
dXlLqzY5hOQIGUoSYNVy5q1BluXUMX+/LmL+anSm0+SMAIAGaUBDgI5DCtpP0BslwNNMJQ1IgaG7
jXKQy+VDuMk98djHYCVRwZJz/RPmtZQYYGpH1otpR07cAvsiSZEbReDN64BF50n6goh5I/8jYhJx
h0ZN+wFVa6cGTR+q0qZXHVRw71xXZEkKuzQPpoRBpbmQgnso6FYiqyd3Ue8uGMWSlIkrpfWge6WI
kB7kN7L4QcJNGn1eV2RpR8ZPOLPzXNJ5JKdQpBeeWw/EyuAL+HcSJp7UZdxtQauI6BYkq4Zn4Mj9
52B5uPMrYxzWgYotTXuHQMlaZG0P52n8BGwjkSEArrXx1tcVGT/0RxXqj5Rp1xA6GEKGt0oYL31w
Qb4zgPC4AAt6wZYGi2clqQSAq8A5wLPDJBhkQilK4hgMxOi5BLaoh43RktBUB9G5rtOshZ1JmoSE
rvPDtgCLskPyV0G6lTmopRdhBn+3Mv9YORVoXip8HvCkEyNjZRPQAfyWDgV3k8FWzEqt2+ht2IER
3KLMjjE7bXDjPrLC79TbZgsZ5ayNAzIbi4kcHMPglzY+6HWXqBzHRQ5G4k6mu6ZsT9fXcWb+DBul
ETzFanim0qftLag4DYIcQUYrgv5wiPKXJuqInUu5CR6Gm5Qk26FRHpkALMcIvGFDrd3SXn/QElkD
nhHYaaXALgPpxfMS2YgCchD88tNz6UjC9UtQvLscCEi2O9ATujPKdRMvYWLPmsKZBhM/rfwgZmIL
+gkQ5xhNWhhh+Zk1iXV9oWb3Ak8MeDxkDI/lkztEz+JECWMVpH5i8UQkd9X07P5fiZi+ngiRC4Rd
9N44SvpRChimEZa6uOaVQPcN0dDJp0zfS9DiFIdKKJdO36LNHaxyoMlYiJqzIUBHvRlRDe2eymQ3
QLwdt5IwviITMAOFphefmvIDjXbm9cWavaCcyZkEAJ/7Qjn0uG1peF3qfOVG8MN11CcHqVCtsv/n
rYlwE10e8VtxMkrT7iXS+l0HOiY8KYN20OcfRf91XZ8ZnOZLCePenR1oae8KrTeWs/lKv883nZUy
Q18h59WMcAX+afBM2smmB6aTBaL49C0+easQ//H1z5h1pjM9JxFP6ogulWCKcXxyzPMOyASO1PzV
sXcmZGIjviikGYtQ0QQCxjv0tpJGv8EY+UJsmzeRP3s2OY00hYBqGtQQziCmJmBxDLd81evYENFA
Fyxifs0b/h9pE4NswdNFAROLIgMIkwsv+MpqnEtCtvIDsPZe36VZPz5bwEkwqvsIHXAUC1izB1kF
jyDpFyQsaDOF7FErj8vchQRBsLBkGihUW3qT5+mCvY2r8uOE/aPJ9MmhLCsmkNEUNNDvJNWn791k
zSvgBAypaFYaUKz/ZuXwvqKjh5XiXfzSy+rGS9pKhryxxs3BtA0y0OsS5jQCGd348okIK7PJ3oS0
LmS5htXp6GvTAzPQ9kLwHHhHpfrGPXZBnzl/PZM23SdFaMIIXMHQJ0epotjp3q2rLL3xLag03aTe
Zb1a51Cpk5XYCEX+VNbVrTLkTqJhdq8Pt27uPlxfxjkDxFULF360rmDOYxKICEhwMylBgicODVi7
UyttXCNNjnX+z5GxkX4jYaUy2uwwYjoxCeCQ1rzqoJ2ael+Chtm8EkhdAKNfMAxl7EWe2rrOoM74
tAY+nkk8UqWsCMUB53vVJp0Z6V5jAVXxKcm7z4qX1a72+xJA9269jQn5xifDD8ha9NHN36rJR54T
28sBu6cT/w58OWYK3m/wje1Imq+6oLgbMO+BFzWNGiDqWKVodEfro/aKZGUnFj54AVHxyiUlMAtd
vM3i1GQNP6JKtMfubWo9tSgFZ2+KVTekvAAQMDvpUt5aIJ6KQBzv7atQBCO7lHYgC0g9MK5nJ91L
V+BLPSlh8+QWyT5EVuwxdoPm9xDEsvGdRj3QV4OsEcNoIvgewi+u8oVe+1lbwcAbQYMGUPynsPGC
ULRdwMYcNt0pmPVQgxNv7ni4VEeedbYzOZMjui3VXlZkt3QGtMZFDVAn/ENaSwsuzZbUmZg+oHf7
wGsghnt0DzQNO6n6LXPTrRJwyyv5Hsj5YDpuhNu8FBw5q9dc7zIDPHa/ZD238o5sq55vO8kHaXb2
HGRRZ3MNtNfgOTPFpLTlGGhiWheDXhusYSkFDKr7pPjd1velZ/jDfVkVO6LlpzBWqA0I/Q8mNaAN
RiBwrnv577T5h0+cLem4FmdZDynL3GdjRay0B4tZbE2Q80SGZ3uPyQlcb+pgkXVo4ThYmeClLozM
8nfDoQZtXmeA0fONR7tyvdQiMne+6mNXEahuFO0HnQoejrM0LHGl6PPhOY+wQEAtX9jmJRn0UnM1
UxQfs0ulE9UfNAwAF7xUw58N22dasEsJWlITLreQULs3NP2I3eK7zEGtKCdGUNR7TVxKS2b940zg
xD9ENWtcKcOyJXpvidTd6hQA35FiXzeaubzufHcm/lElRFZbBjGsJ2CH33NcPOv6FWzRdtL8xfPr
uaxJzHYRxeVUw42p8NQNB6Iik18G31tH5dJD2KzXny3eJG9QcrDXeBp2K4wGbS+G0Rvpsuc090BB
w6V/PMONMw+9/eAvJ7ijTSsL7UiI4saj8Q3ARVdThOodzf7xrNWlkKk5CDVPxBr7VLvHONk3+jEf
FlL8eYv7o8fEFGo4bwS8/BJN2E9h+dyRk9v+um5tsxWS87WahKhWZr7CG6xV3CaYcNJRts+BYm8E
vmK6QY6WYvVNTlwLPQFb3/PWiiaueIyiSKjfxBx8vGKyRycPeDRb6SiUGsCr+IYM6p76yQd6/77F
SgXoCFEeVL3cc4Uu7PWsu/yGHh3hYTGkeBkGUszDpJILgtQeEaZCj5a7ivPKpGiKETS64JuzUQ3t
FEiu8boFxNNLYWqa+5WAyQ6nY77NwP/aCU/X90MeHeHHkYFBSxC3/IeJ5lJElREatm6PPffAhhoH
9Fip0kEL620ndw2gK2RqxUq1AZFPavlh+kZQJ8ScTNlaLPWw0gI/dCHAJ1qiv2RasA10dP/lQb5L
3XI3cMwF9kV2iobuIa9Kq87lxM7TdjfowVvXdAPSbAaC2dAddnGiA7VIGLjBdIJu+ajcoV10nffV
vVsNVtBVtSkyek9jcNo0Ratbca8lWzn3PAxu9vt2vOBErQY8TFTnTOq3T0MU33WVVJvKQLcy59tW
j9wVEzqnb3SrcWMzoqHNqQqa2XapDWjWnVQJzCrj4I+mT2KQ5+sZbQFT4CDDMEX9KYhB8Rx9XN/A
37WSnxsIUknUb1UZl7DLDewqgu5njZaOG6ELU9DlwgSfy6oEezz1mxdJ6Mm2o3jqqwTflOMECDml
rQu9bxWMopjcax+ul77pmL1zqrwogXIr3LG8f2qBp9eKHZJgDTmzx+pdUAsrn/WWgou5DQ5wYkht
eiybAU/ZlQlGYqvz+FoAatnC6T4zL4nghxfLkfSHaljTSyU1Hri+i2ccx5e9e6WU1gFaYfd4cI/M
oGGtWRR0L/nVJm2p5SbKqiyGoxZV2UqgXF55Azm6A1sIZTOThZcfNYnILPEHN83hOsQTbnU1fi2k
vLLEppEM2e9b8Ag2iin7+R0ePyzmgVo2bJ/FXkf5hALpKVUAIXzdGGYsbpyOQG+/jqqaNr1aVgUb
EklDhb0rQsvtHpK2sKh4d13IzLD7WNz+I2WSa+kEPYZ5NoZwVzkiDLugTFee8yLcqoJr5zyycqk1
69BfiWH3cl34TEREIAQnF/YWJcRpe4MONrPC9eBTXsKecIdbB3Hxz98JLkRMTig1LJI20+FQMQ6S
skOmrnir61rM7hPRoARuWTKuWpfmTGhb+EUAERIJwQPNjV6xebIEkDqTsQJcAXObIApFL8i0MYJx
tVObAKeHlB7hC2ZPd5WCF5ZWMUrGDbn659wJMAwqoyKOiQ/6g60Kib7YKhxnI1btKfJVxex7XH9j
pVni7JhdwDNJo+pnFx23SIOEkg5mwJpiLUjdox40NYjH/CW8zHG3J+EVOulUVVSG0skU/KBGlqqH
IQwOXO+2IA5PmljED3ENLlQV4AsL5j27ZYyOoRzYBzg2LvVCyaEjMnrbHACQW2i+SUwWaZ6ZCcWu
jJNjNMj7hPClMt6sjuNAtobeepwhk5wGItvQjbFvTPrldmNk+pQD36pDbSF5mvVehpFlPAIqMspR
E/UKEqRSO+AJTsEAuxzVK651CwfiTIKmiGcyJtEpwQtaIIBO3RFrwDsSNKeFRtc+6kJpas2v6348
v3B/9JlsFy5OMWaZIAuwR2aAFt+gDG2VP6nh38SkM6UmRw2O1SRkulg6qYe4VGg7Ulfv13WZXTck
K8g0Md0AMqvLvXF5HWGOGCKoV+Vm2aoFqIOqO01BdSYQ/AdPj5eo4GbN4UzkxIv9oeybPBi3KuxO
ri7u4ixfuDXNZQ6KKANsA0OMKEtOJ9Fy2uDkD2tcOVm/5ugt5iJYfoI8UC1B114rF4upFP6vAfgD
Bmvl0ALBO8o/vofsphlQ1q7E2mi9pRmi2eXGRLUiYThARfn8crm7SC/KskPyEEc6uFojSy8SzBDl
lBhAHMoNkpWDfX2H/5+1+J/M6ZOo6tJUYC62OBZXXn1U8GzpiiuJbZv4Tkk+y/Qtb48aGoGE1yjY
9b64CpvN9W+YDdwIqCKOIx1NSBMrw00uT3g05kwY0jayAMwngGhq83AhE5pdXgXtbVQCDi8emS+X
lxadr+ZdCdMCRqSm3BDpUNJwpeRrTOkbf6PTH1kT52S45ERUa3AlJJhCzbgh5q9BuCRlViOVjYkd
+L1/kJLwQU+ZxqFRXpfPYE14yNzMEmrPRm3tpimHpZx7Xt44KI+7CwbaJzulcjksoyEvHZlUZpxI
hht+kYaaAwAhm25pmgGdh9iRHwctrjH/lTcJBpUu1kWeQz9iZVtqK4dyHa0Um5oKygS2aPZ3qIEr
Dr1LTUU0lFXnpACljIzwEBkZhpGNyPRXwnN4qxyzQwDUdAv31PS+uBs7Uw1ma4ZqK6+ZQ230T6VG
tY533Y5YOExVkxw0g6/DAlOWJirQOlCH8AvlO7qpdsxKtvV3hkFPq7UUS78pHt2VYuQ3ntOsyU2D
a6XR3dA7/y3d8pv0UQb8f/dK1/4p6I32uQeoEGqq1Zt8Wz6L6/AuvSvv+71iaRvhSd72x2DTOZlm
+Id8Mzx3m+xdO+ib+CTeCFZltijVPqv3/oF8UjveDaZieTY4glbNPr7f66Whf4QrdaeY5EXYp6aE
xWEgH/7Gm2zUm8JRWrs3soW2yHKbvZe7fgPSkjtlF57aDf/+Cy/QcHBgiAyUfdOJqyDARGSWVqWj
qaGFaUUjTO/zKlldlzJ7ZJxJmfha0Yqi78fwNS1XNiyT9kHqLrWEz1k+rux4KxNx3wTQ8WXsqBrk
1EE4nuq4SyuZE7IYlNuNlfhO0vcLAXFOIQwUIl/GQ5YGV7sUptImi/QKAbEFGabp5klp6mxh0WYV
wggaEnOk5z9AtTRdDYQKxw26Sn0jA3ko+lRU7FDvPgapshB55yI8YZSNyILojPldADxLzbu0QQ4b
cLzLMb5vtBY9ZfUtqiAL6zYvZmwlA0ukiJP9ct1EFrXeoGWl00i/tBpEO/TYF8/XjW0GIQwbgxnf
/wqZWEJAXeREtEA6XorbWmal4bvxoct1yRCz1LUL3tF16ePx25WKXSazu6HWiaXUZbrWJTDaNA2i
DyHxZx5mB0LafRP0C5s7d2UgTKeYc9RxPZkmOK7OMPg+IMFJKaJZLhpenK6BEaUycRWj456kd9dX
ZdaaMNc0wsEBQGxaZNBqEP7FfNzgCjDgoWDHcm4IomwP+R4TGwuH69ycgQIIM9wpcQVDw+PkzpD6
rRg1eYpnkBJNDVqZrkIOohEpZgbvvKcg6HFREgyd5dtYBFuT3jV3vbBE1j0DQgtTwBUQiF14FsXl
9tLehgHOW4PU3hkUYNOg/1S+BUPOQ08B7p7F2dHPypvB7z2zF2hkBKoegiiVrUIhWIWqZwlehfc2
+Qhj2fRkKbObDSJAtBnRoBjMYNyyM5/zatzGVcnH2RlqLy6mMAAmtpBIL4mYxClpqPB0jnZ7pANC
bWCO7i3OlqhS52VAARnNAyqTxuvWmRpQQAPkM2QU5C2v7sSl56ffHabTHAPNdP8TMFknMWU5ntQF
UJG8pMwU1rIh32on/1jeoFRxE9jqTbzLf4kve+3T9YB+3VuZxU3d0hfuwbPBSwP9Jm74eF6bnjBK
gifvhoz7lfBPryw/FRI8S1X7NzkcuHtxIAOHAwWzib4kCgWgC2fcaQXPJMKHQjxTKL91dN1p/tLs
wmy0PJP2u2PjbPsw8KEkmQhpT5Ghfgovb97OX8m2+1Ba3HBvYjvblMfT0mTg3FqiAQnlYbQSju0t
l0bT602KllWFO0AeNHn9K5G/vGLpUJuzTGBSAeMThw26PSfeL4dqBbg+yp2G3oXus8CKhTA3q8WZ
AHqpBYtww3fjUUD5wP3boHFy4ft63F4SMTkxNVJlalxDRJbtau/XIGLwfWGEaV4EcDsZSB/AyzQJ
EgKLBsLVgeNx7Kjnt7q0VdzH61qM9+KpC6O6iBMPAByA0JzGiIK3A2taDkwLDnCth0E/lPnjEJ0S
UpqddCjCJdqLWaXOJE6cKClDQHSTDkGjEA0pFi0fhR50VC2c47MmhlAgofIHfMRp/iyHIGpAjx13
dNSSdF6ZGfGt62s3qwkGI0ZGP/SZTM8wcUiy3O0hggxHHzyqGunwaMkXTJn8poyZ7hESP7T4AykJ
fKMTb/FkuKIXwAwQ5zsj1odfQ4MmsIIOhoCn3lYZ7I4Ot7nbGTwMDF0pTK2/j9uHltCnJP0gtWQV
uYyGxczUw5MUemtVEIFytlWS/EOWb6n8IdNgRahgRVyx3JaaDQV2sOZ3GF0R14Ugo5ZTWETuLIEn
jwJIeiT/VKIFV9T68dlw32OEj6V817ZouifN1u0e80p88tQBIN/gyg0LEDLTEGBSIE5LG7Pl72od
PCpDYHagBJUkKMbekm41eJnRYix6oO6L2wh2VfibUsztPH8vgqehew81bdUEzBRD9uS5AOnTnvpI
RSkCSSQo74L0JJSuCSICkyL5DxKQVzHxmXapSZLuRgWbC8d8W6WEz0mcGaHuO1qBFg2mrjpJcAa8
2JWqvBFpZUeC9416+K2fPquAFS2CD8Arm0OxGdRfleCByiG1WuBUY7DWUgoXv3+Uoa9Tek+8yhSi
4FQS9EgdgwZ9avlroRV7ofwiQJZzRSDN8Afd7W0SaCY6cs3GxyGN+4RcWpkUgAd+g/E1py34U9Pq
JvUQAZ6ztjv0Id8IIbDtlVMiv6YoKan0Npa/dfFEos6QA26X8CzCfTPijVk2pyB6bdzE9gtixwI1
RfUD+Ziho58vA4NJ0UUArKI25icsismEofisxI+6yo2GRaibPeUD1CO9Pc6kFnJpJPGxBShzUB38
TrM9r95R7lslf0qatVqyFdDNXsoOZH3qqWF3rSCv2qLZU7FiRqGiMarp+CEh2sN1ZxzDxg8n0VEH
UQgegH6U+kvZE7s+q7mjardldk8GjMSI21iAGsJfDAUrgCHBVRaXP4WqY+w5O5lVsW0CzkDBBp1W
oJczChKuB/LGvaWMA++xM3rpooYZG5HhjvE7SziTJTJMVCek4k5J3BXuT3aoAojI8w9qD7eKXCuo
PYsUzEmkYJ2wwY6V4ZapzQqQppuQljA17d6V6sRW3G6VVtIqUv215gqR4SbqVq7DlRBo7wDxtaNB
tUH5eEQvqJ01kW/UsbTmsK4QyC59Le1RgFxrcbz1dXcdqnwDcHj4Khre5NKOUGmVafyplb1dtd5a
rPMU72LefgjzYz1UawAE+9sc8IfrOOzeh1ZAMOqbxPAUsqas/cJjV2IISufauDQQA4jwgSGOgZtn
WNYml9UjZqAeEyECkIW/raShNbo6RE+oOoR2LQ3rPiEPtOXfWt1SYwjcL5Klh87Nv+ImeeFVdozT
zASKxEptkxdvwIUzqRHIelk2vIp/6E0J8hKPPZeabxEWfPi9/O2lolXE/k6UlE8l0NeEu1al1JYk
jFhlruYbnqagScm1gy7+1IdiLQfp53XTnjvKzk1gPMPPTCCtutTnA0ygZw9i8yCQl+u/n80KABgg
kBQIUoHpmFVVxHCrknOgCOP8CDDUtVXRwyC4mlHS2mp9xLmUr7oWkRe0Zn1I96rqrgX8H7FXbRgs
T+Z0jYrMHeX5FsDYRzS3b1nS3seZstUKd1un3gbBwVA9YVVV/XFoC1vAE62vkx0BjbJSApE8156G
dIlZYFG7SYqTZcDRjliB49Pg1k5yAEpggTbM6izRLkG0kpmJKduqme2fwbWJq7BFHG68AwZ4ve7X
3uqkW4scLHNpF6b2/rfikySIUe7VHSBmwPJZ2hgbXid2vEoc1S4t1ELxRzazVWDF5tdST/7v18dp
oDwXPUkqowGP5DUoMhx9XVnKVjnFG+HTQ80zsru1u4kcwVRv6Ea8rcE5So3m9Jhj2tf81e4E67rd
zeVPZ18yvQVog8ZinWMR1Hqkf/zm6IvRltCCZ9sr8PSrouw0gvBNX4Z8zBa6VQIpWR17GOqp3psC
AC9q9qwGXm2wuvhAV3tu1Hn5XOf0b646qCaNrd8MOdzUt1jdNvBeLHeuJejEKkBei4B9fSHnZtDR
JgmaJ/yDCzmdXHc6JYyyRI+50yUgLygV4Kmp8jqPwWWMd0gzCvKjpoJuZ+A3LEvXviZUC/WM0Ykm
VqURTK6gp3Gsm0zxeeBhbuaxvnBSMChUIGkqAxWlsz2pa/u6skuSxmB2Fg3RmpG4SQRJzMW8hysl
SEVoiUQHGYAtuu7iU8qMr16oNprxmcCyp1HboUrloBnJM2/ZWn8W89UDXkR026hsFWPqmE1VTHEX
rfLHYgkrbK4L/Vz+dHNjvA4JoQv5L4fCONzePmwGw3C+7/bPe9u+B+Gib5i/TigSXF/n301g0y2V
cH9CZVIa68+TSoCPp6Wqp10BIpNupTn6TjOfWsM1nxLjgCTZlB3n+/YtsDvDuGst5xst78Z3g1FA
p3sCeZzxSkz0Ahrr1lhiF5wrjQArBY92IhqENdzuLreEivE4441Pi4zd066z3t42Ht6jnp9vttxc
L6zDTAaGyzcFZvuI/4J55EthKsPaJyWEDavEkBxqFgY1W7uziPXhW415/54boWF0BohJjIe77+fB
fufGq31/yo3O/MR8jLG9X38tjcvO+cH5Z02yAiFQ3BCGWaAY9Vzke195ST7lcGF4ZSZEn+s+nc6n
BdezqIcQT37RImqG4ltLPq4v8NwBfSFkEr0GIQr11q0LsIxSp7abzYdiouvScq3vxGwMQxGM7NFp
jBiQWKLh29vQ7o1fQOC0ttEqdU4I4pvrnzSTEF180aS24yut5yZBWzhuuW8EySi8pTr8b6/94V1/
rGrKaBopft17KlYWuUhvfqjGSwYDkuwADgQwZvP5P1nAu2/r1tN17ciC6eiTiKaBDE2PmqZwuhd9
FW3x90d9yB4B3bgaQQhX1FDWyiIkJlsypvGzzgIpK3Gb6gjEugcEbfckA7IAG7wdtvSoHZtdtdY2
sk3u8nXg6KbnKEBfVU945H1U7gBcjltAsZM3xbo2xLW+WSoiz+GhXmz6JKhUg+Q2uMwBBPZ+WEU7
pENG5LjH6ICv2zj29t5b+W/NG93V6yUk1IWlQTvo5dIkSlQBNAKyd4horakailniX2LEFuollmB2
BqBdjAHpqmDXVmjAD/Bn/ShsKwcHQG+U66/TdTO5vl1oMrn8JqWr+kAcYKFBj7iXfDBSg4FuIW+g
Y/T8//0Al9xLKW6rtkDChOZ0K5nEYit1VTsEet4Jd15hSCDGgLPzx9wJDdPdhVD1S7F/oSnWua7u
3DH/J57irfryQ2KWNKFHoK6IG0KJO4Fi5cbjUhPp/Kn6P7/HjflSTCKlLl4f/+P3h978+tq9vCXG
y4to3q5WmzdcvwzNwjGaGvvXdzs2PvHX/ub+fm19bRc2eP4Y/fMtv1PnM4fsJUFQSoZv4dbTbQHJ
gA7Cn7vOVCBfM6hxKtcLrXdzL39nboZC8OUCMMnDO/colBnjLYz+H2nXtVs7jmV/aARIJJVeFU90
zi+Cr+0rUYGicvj6Wbpd02XLBz6oGhRQKKDR3odB5ObeK7jMvfl4M7xQONRFvtCdi3hqH+uUaSB8
GESDQtfXgGTSFRiyIWBDsyDqD106btqMuz9vn1NnKqizDK0TwA5ATP0axShj02xH7GMrg1Qy6e3r
cixyH6KiG9HTczkJ/tj6o1lI3BgW2tTfmjRzXbRRgpdLGCUc30o6ZI5dnnukmuaJT8IGsgwpPbrF
JluPKYdX4tw3CR5oQqm3Q6RlPhnGCfVicrS4rvlzUj+WndgyHXbBhWHHbsu7wxTbF2itCqeS7In0
00PfFwHP6EOiCB2FUHOLh5+X6TV3JNyRbiuumGE0ZkgU4fvmRLSG2xuw/7XXxXnvWD3kEHpL/U1G
OUOZrGqeY6KBc8Fx8Zv9pcj1/MVO2952UtarTqHYb01T3USjJR1e6gDfRpqfEvE70rpHnlV3Ezo3
kCBDLAwHXryTVNxkqvajCWqMASQRIYFax/dTjtsYdeU6jwUqF+S1FaBPRb2+i1oDfN63ZvwVVVe5
Md4K8Srt2lVr7hcogVNz3uQ1khgGonH6BiSJp5MbGUVXclS2LaHHZi5QegUgWYfQcEG8euguWLyf
U+qMEd4TpHaIcQfvhZ1I8DpWE4/rt4byZMpuF5GXjsFau0JjcJhxLUzme9y8tPavisjHfihiD1ZH
jm5dt/VWJB/x+MvgqUQLpAKEFyYdhfYyt8/xyL1E0KeUxxd12jt0BLM8G24oxyaGY6V1UaYfkEAI
2h7c7BQmllo6e+O8Hyt2I2tbdbsZPoa8jYOilh+pyB2m1xtpPtb4P42a9qaN7zNmJNJwlQnNs9k7
YHdOFmtBMVmejgp0Ms2QxHlt9SsTRKNhGD1ivMNP7CrtEA46PyDL4FxKFQeUQC+Xw207WY4yKy5F
IT6LhFdVNMjbwZtj6Y41fjez52Nl14FFoLplz9YNa1Cunm31aCZtoEr1NmODhupwc2nK+C2qm6tB
TJcm4WGJzkdlQeWk5o/NdG0TDsAqg+JZMmwGOoWFqro5sDf5rG51K90RFW4nPHEnmEaNk3kAIfNd
Q1umGnfKFDtJL66k3Y+uXSiHYooDrutPTXalssvJ1AM7su/6ud1PhuVAAMkxrfqG5wbqi3HtNJP9
NpIbi4ONo9g+WSTk2iYgGvMkiBTT1Dk2jJZR8qxGipq64cdYIG6394Bvhn2tAj6ZHPVC2ahl6Yso
OyRm/N4kzTYp8m3L+VZW3UWkxtscDVKpaW7c4NwX8n6IhkMh5VXC0ot0PgiremYFqGB6Gc13KMA/
VIn+XlZV7OZs3MVRDxITDKuy24FbPmt+lZr9kqlpYLexY0lyO5nWLZBUWxG/LQqt2hBDWDl3RZQH
s63BZXx2WVsdOj5tRiPbtmp54G3vR4CEdEW954MMhGj2ABW10BLBopPJM2kdzKLzpz6mXjxEULOY
+tqzldp2qcFfexsZJk4bIz8OEgCSgSiHuLMzh6LohKZKq14nZpJsJITxfW7XE7Sr29apBLRsFKIH
Wt1eRHV1ZHoagmWUwc8m10BRYMo+nqgv6ISTxdiknRbMRhZAJAueZI3Xz/POqPWNwqOjZuF4Ymj8
cHDbGcy/9fihTLN9K+NAM6XHExtS9P1WsaD9bWXbRlc3qlW5/VT4XIUGqFLcj1kTQNbiUks0z1JB
YYjYIY8LeJgYbhwNgTLH91Hb30FK3KUgDaoYKmxfHGlGQTclWzY8auUcTuAP4aRzsvReVKMDtozD
lA8gTxxR3Rpm76Z57MxgXqtaH85Z5kbp4BV6CV0aADb69J7RKugLvtdKI1CV5FKoxG+G6jjJKCAp
jJIihjHCeW8Aba73hFpu4jaCM4kePdh9GRRalDhap19mvdk7w4gjtshCHkm8NLjxrMhSw9xt6QSa
12g14Jr1G72Efy7JzMzX7WH0y0KHjV+p3zeU75p46j1qmMcokkeRkuOc0etxmC7mFBhW3u46aH86
8axCEAQYdaZCJYaOs+1E3L5vo/I+gZu4W9tS8wYKiYEknzeEVOil2vYuzabryMSKM6MPBZgxLioQ
eHva5l0VD0FkAg1ro7HKq9s4kdwZK/M4EuVlTCCLBb0Yil1KX2pd3rdpdzlpDAYOdJNUaHXaA865
WBAHH5XfT/qNyXjIx2ZPIIrhsG6cgq60n7t0ntxOSWB5xXDzpCN5niFf59gtv5W28ZxJ7bEtAeaN
igdidNQpe1wFalz4FlqGJaOPcZpEARSugChjxgxW/Ti7uM1br2vba4NCKxAwwDcrIntmi8bpMj3A
4wypp95fDEa+Y03R3sQQ/HfmOXusGBKMwcjeG/h1z1Z7UBuReIzmO600M2eOlc5rhgKgYh0dzJ4P
Hf5lPuO0vMkH604k2rXg+maGzZEbKcoxi/UL2JKZ/iLQ6nLZgxsPpB381u8LI3+OLMI9tcd5KbPk
0czrZ1KjS1Bw25V29aKBpKpNEi2nOIdluc5LRx0Gv4jRXkiU6HeZSfSxEwhscCOucJ6ze17g4+CJ
YqJpzh/jAb7TrK81r2P2GNZZhys4iUq0gxTfnCiaxOJRGemj0EA+Z4BpOXNe7XLLkse5Uzt3IBkk
X2hVeCAbo/9bcOrjHQPWvZhzR2qdj+c9hX86Jm92StY1rtYRW8NTjmjw2dDEjJkvTZyGpMfK/y7G
gdebbOzbAa40Qm18oqjbZBKuOsrn3gDuNxJX5rIF8kwNbHTRXLMgWK+CsVBECnHquPYsA6StJLHN
sB90FqQ8Id5U4FCG0DM6W1ESGH3R+kMM6bOay2s2xTtRKb+5mLd6be56oV9qQ/4OS70AaFS3H7Sd
EotngebM3OWXQCoemlRsbdJtIjY+SWhKO9YU3cJKFKQOA3d7nEGGQDfaR60f7hJSweOuCjvcu2Zb
HIouPpTzgNwKvUQ7Ha7mpn+2MD2ewpHkzK145qU6bFQl35Apu1bzdKMl9b0xJHs7K3csAcnBoA1c
84w5WizaSvQJ6b5vcdMbyvBiNZK4UYSTIq2Uy762QiQl4OyCrVALn9gClqC5p0XGwxzxa3WAeDIa
rOgzGlgnPe4v7Cg/VCqFzQUILYViId81Lko9Bvtad/uMhrwTYaGRxzwy4YjDXX3KAPqttiWp7mK9
uJr6KRhK/VGzAaHp+mmf2OO+05kalqoCSELK7yCiFxg02VO1xnpa9eyOQ4Vuq9LqVli0HSRiJvGA
1PqedCP2XzdfdpA/dPsZl7BCO9OlEjmFYsgbWqbAb2TdMdHopW13O5DEN/mU3GB361A2qI5zYusO
gc6Bk2t56nUq7Ty7S+OjbeEraU1O/LnocQK2+kXd9ldJIy9NE2dYlaZPLGv8KB4fqV15whwOZcKO
udZueN8EHfT/UDZWnbpsjkM8fUQG9n+RJg9mFF8aNYiKGRR2ypr4ZVze9pU8Kh0SjFnzrUEDJy71
NAgBsTa9y2R5Vybtr+qPt4iAq5tNBOD7IBR5jAFz26VShLSKlG3CC3bMkFFcGKnW7fAyUH07Gvtr
nerVYYiN66ys5/rQcKNwwbg3xBP2RGQvGSM0tJVR6vGG2qbXNmR0pCxeoh53Q11Q3Sl0VPKBwwIC
QuXbJI/xPLEqy5EM74ifH4snnqT2YpwIW1OgekxrVQmD4CUnRmOgW9Iyv6C3OGDdKgrOBFkKNKtX
4uco6xKjruesqWJE0fMh9saG7kQ+bg1FeHZUTVCSyupjq0LtqYUj76R1HhZpCOLIxq3Bk4No4MdT
mfyyiHFpw7s0d5BVBaVqwfIlcquiulgOEAhG7BqFHmd4lzCFXvbmfDvk9XUzDo8jn73aGmq3nBsX
t/CrpRSPaGS5VtS78TgdrUgg8xjBXiwASe7T2nTaZLqf5xJwYPPF5pWX57geIwJWFxhcJvxmaA8Q
pNZeWLFgZxppJx7xtqbhTb3gEnWyZg9QQKFJLjSUvJrZTbTMg6xcL023A2Xh58X5GgkFEJ0Clwbs
M2B3cMFbe14JirscWHCQnAYcIqZ5k06EBjNed5uZ6WdKW38e6n/vhD/RCEiiDFxEAgTHmrpsTwmb
hgVjbsYZ7HuqqPd0SyJdEPrtUBmRM+HzgW6D0UPKyRjvuwYaEFTwXV0m0lUlpDKiMg/NyGDOoAyP
8PjInI731+2Ed4JksEktO0eP2utR2Fs0Ww+40RLw8sFGqxnW30pKGKt33VVpA+w/MYlnPp7uNThk
KZtmpHhWC54X4CCWJQKmQ9kR4q8foAHQzdzUhUOnrHDrUd/nLQlVXpoejbJdas6/dDoBP5WhQdVG
o5tHk+1kNa7XmbZINaU48sLwR7u/n001bAdb92g7/SoEDoXSBrBNtGSfGV3vAd17mLP6Fy+LC7xd
UJavgbJrrCgGlmauFoCH5jSlfqNZDRIfCyS4fpeQ7KJNozNtl6+Fl/9bL/SrCbysvzO/Z4Mq0ViA
KKEWv03x0kJaShnhB0YaWB51QQ5i1HD384b8eiR9D7kqf1ZpTY2kwhbpBYM6xS3gNy6SuH908H2P
sqp+ClLkBNhccIG0A1N+txQ0MmRHPw9l1fL/FuWPcvKnuibSjSoqoOcbUiLDqu28qIT+LnVNnoVT
+5SUN222W7KV/2fcVWlTKwAI5x2WbU5hh4V3ESs616wp3H2FMw2xM1hPuv2gJOLMiE+cJiDkguiO
VigqnGtWPSepUlMNjCSghLhnZ3NoS6BJ6u4+ofwM2H4pZH47Sz7FWn7Lp8mF4YRZJgWIaTMHiTG/
MpBoy0VrGkdCXP0zd4U/S0lBpAejF9qH6jdp2yQDe99KQVBTCOykk9sIuQpTz8linvjevkRZYQqg
0lTARh2kn7prX2J7uiNm+TFl5es8T8ARJsMtXER3MrVff94xJz46EBYAu4IXJnDEazJOHY/ExqkH
3QUldcfY9hrjA8+wf3Sr/TWHn6IsecKnFUNKYzZpPYJ2xVDgb+5riyLnqlzksWe6OSfHY8LBUcce
1M21nMjAWgXyrxTsu770czNxUf4/VPo/gsX/NZ5PUVY7cDYqXcoWdycEnTb4742a06tBGsHPi7Ms
+mqjA3cPZQVwZ+A/vVYVgYR/nwyJga03QwHHmj2DnVuZcyFWK8OVbASUAfM1d6ggv9vAl/w8hlML
AuyRBkQOIOrII74uvdBKno0mVD3nSYPW17wrYZej4WL8OcyKCYQlWexiNJ0ZQOBai3PM1zg1fACN
woRpTLfD9bwTW7kF5u+6CmGvuGdbeiE30h/dKdB3BDzcfJfuxBFmn1c//45v87n8DPigWvpyWsCy
5+vPKCeY3Zl/3O76X7P4zZozzatv07n6+6tLslPHQsykgGhzNzhGXzoREFYFGhc/D+NcmNVsJkVh
Vt0I3VyJ9oc9H2QxOZDd/P9FWd+SRiOblHBEMdl7lZnImu6q5hx7YYVz+Gtn/L0kawFbvIJITFNE
Kf3Kb73Btx3tAFGGfeG2G9OvgHdEh9czgtolm8mxvXOCjKf3BFScVZyx0GRfJvvT6cfTaexQ24RW
r7jqlWe7+nfz+HeA1XGUF0j1Ewsj1GXvss6CFTp/LEkUn1mvFUDh/6by70Cr3Z3yrpOlgDx0crDA
f0+uzKDwwb1PgnYfBfXmLXnsd71P/f5oxY4Y3ejMabLCGf71CyCfB+QVRAz0tZ4OrP4qVhXwKgN4
xAH6jqQlWBcyD1BNCAU6Q3Vj3mcQMIPtpB+X53D3y+f15UTG56dhBdGRhATkN2uqoW5JUamQZQPz
xuEiP84W1OdrcAqEyvalzJ668dzqnpz1T0HXMLg2jsoa/QccbW6N7RuFqr+AM7CBwwwwFS1kT699
iNbfBsVNX/d+PgqWzfPDkL+5WFUQQcsWJ+6yk54gb1ODOmobjK11ZnetwAD/WVsNrHai4oUIytTq
OyFzVBmoxUHzDlUow5kP1XV+G22NqygYAvGa3kwHuZvvm8v8+py6yMlBfgq9+oJS2JiIMR0huZ9u
9OyGjVAC5rkX5bX/82yeOgs+j3H1BSVGVdVjPcANFflWa9+m5J+mJssO/TSS9QWh5z3Yk5jEOMbz
Fy5xTbON5nPqvGfXanVBVBHJQd2CH/wUTi6/mFDB2jbhXRrUewaYnHwFg393r+7PYQ4BZzi1HwEw
BqTZsvRvXlPVaGdpL7EfzawYQ2ZOzK26ojhCwdJNh85LcnFtGxRStGN6p6fMdCABP7p6NlJvGLpt
Htk7kPbduK9fCIUyUq3N73wQL0ZVtC5vLMUv1DpyWNodkLKjfA1DvOaqJ/GupsAftRbKhpEv1PxV
M6ZNJyQoWznmmkLzrcuAHCBM0p0hIFaCg8lJpRqmrUB9iXaqy1vtekybe7mQrrMWQF5FpW5j2VdN
pr9HkDl1VH1QfNbGo2N1gKVPCRqzkBgXuxLkjt3cKm/tqEU79Edmr0H3xrLjG8Mw33q0TMHHQe9K
U3ez2d02NbvR0Xd1YrG3c3g/2wJiVlHmKWN6Dyx3OPc5XAXH/bwQwYzU70sZVBra/01sAs6RPk+V
2Coy2aFXvrSSQDMBoWCXMqQdCXeVQrlQKQnaDGLn2rOwyV7NcAAlCUoqYotKhs/UwiF1EdBE30SK
6raocqdmsUfd3rUwQqOeNyJTgB9IoD6aQ0109nQj2usp2GBlmA0+hZ6sqnewCVWCvlUOGZ9gTlhh
/qOnhg5o+I1PfbEt1IdmVnw1Tt2pKS4ghOmJhD6WJXvJSojDaGbQ1lmgNYpLUFOODcXtDQhm4IbQ
R7ppsqcx+0jQj8+v1PqJiPiJYwdPSuEIBbgEfVOYYBTxFPKEw15v5RPaRY8EnLyJzVugQg6R0T/Y
rLqBJ/XRVLABcmn8Gul8oxnDxqa/1TjxjOi2svMwb5GVFh+5moAJFV+0eruLxEOXGc6Yw36DTX6q
ALlsEEei31KhK0zKbkubBLxFG82i2JFN6wFgEhDTXNiWUF6roTxvcI+pF4VqOOWQ+wmacROXLovT
gGWv3XRlVGiCmIuvLN+pcL6TqC9DAsEt0yhQTNNvee3WNPaAUgKLFNVzXd1CTmTXcgu4iyKY0njf
R9m+zj46ZJxz96tS7+3sYEXcn1CX7drHpoP1k/3RAijSD44+YKOA1mXRCXQc61Bbz80kQpOA3ZPy
XTpbrqoljlQnVOx4CO81x0RjUB3ysCZ33XAxQoCifyxMJJ8oluX4E+PwJFDAJ9xEm1pxmqbxJhAg
9bFwTEwQERBK548JjNXmKAH1kLuZeT2Aldk0d1E5B7MF7DR6VE0mQFScnFjiSi3Qga+EWw4z0PyG
05a/akLABykdpe8DPdP9wZ4hUAlV+yoLeAHcgW7tYRbv9dDyj8fGQd3WS3vhg1YMgAR30wwtaZC5
CvxGFRTLHuZRadO4TVn5CdrURXadUTVMVBC3AUaY3/v5Es0aL4XRmabd5/ZLTamnNz0Gnjtxjy7F
61gWbqz1bmtWXgVvA850d8DZoHQW5CYTVMxh85ZNcCiAf0sVv1ukA+BMgwQZTMT1xK1ysi3tEjAg
im+v+AV13aBFW7XEAxDtYNMdetMn8bgF3fAA8dgtlOc9ze5CK/8Y7PZKCpBTe+71bGHywprEBYUO
xxVhASp2IPM1defyuX2hTbzpaDW4VPQPYIXcoEEEzaJxeh4mOHyoQ3mnSvtDkg5XB6UzOotcwMPB
3BqxfojRb/HyHqKqc5591FNjOonEoRXnGBdr0qC0IBA05rbwYzLtlL7bkrL6+J9YAwaGL47CLFG3
+ZgGtM22Axm9NE32LVr/ecb8eMEMoYhZo8kqJy2Q7XiRdvlt1UDBP0/IdugGD2qDoS34NicCdiHS
nUzqN8CK1SAs95nlgArNHSO662L1gLThHvCAgyx5ECeQC0c2jppt2l00mvGeJ/XVXAHbIXUXmuhA
uFhemVoufEeflXpZi8JHpcsnJqo8VV3CY1XEfpKNuBJGr+isIeAGfjWsJ5yiMcYzKRehpy5TRgD3
xWtV/ebgVtQ10WsVeQ9q7wdwrgFxf06fMD/Qbd5nu9INca7gTOJOjAvV1xqnRZt/I0N7+y/yIrY8
nRc5D32t/lMPShrjQ0ECNl9avHR17Zw24aknLSpdoDFqi0rHmoU19oyarFaRGNFpH6vNYW7t66k8
B+I9leABhAlIpK2CuLIGl8JAKRcteCvhGB1J98zsM5DZk38f2h90qW/BjnyVJPMRdJmuIUh/8kPJ
riwc/j+vxEpU8D9pOPsUYZULoyMLNNKICBTqbIOveQsOfXQ/uI/jOayvuXfOD/PUq+pzxFVSbDXA
ADYUEWcBhaX02gKOr7IejPk2jWNfm8/VpFYMxO9DXCXJ6YgOnDYhoNgmV9Yu2vE9ZPjvKUiQJcgI
KUgBUAVw2dvkiRsgARwd8EPwAJDu7dUznRbswRMfIepWEGBGpwUTv1pSwfHhxzXFr4n5ktCgOxk1
cwvYRpsHZvSgJ8BUpASfpzldmSUQfdq4wXsXzTNLAGLS4WxVPaikbkYtD6FbtGE5OQwpf4nBdYZT
NWjKkAivRnFMqsEHRtlDa2urMu6qHffSlvtxwQMjYhCQ+Oj+WAQuhuyjLzTu0YF65tiA1Z3gwdK4
FbqRYjIuey48QCw2eQLZnbbdVZnKA7ZguMpmCkSihKxj+6IjG9awQIG0XW9YfqsCV5cUu0Ta+0at
dbeFJL4jDLtwFV0Ap2H/NiSa44UODJs9eNPYAi2BnHpOPXBo76y5vSDWr2Rkz4YwIZFFw1Eah7Gw
cFp3d2UDt5eR4JIheu4S/GktwwU2mI+xpgKJ1Qh3xMUly2afFCJ1ixyAHNH9HvXG8EWpvvSLRS/i
zlFpO0IWHiUcYA8g0WY19gwFXRvgY1urxzVdw/8HaE0QVlLk6QP8gzVzvFmMH4fWRkcC3GWdQLr+
xuyTMFf0bWpp+9Hot9UsvAbIGEJTN2rlezMzmPIATQDkW1CNwM3o3ZGlA3K+95Tg6cF3JEqddirD
sSUwPsRV1cJIaCq3fKS7enyO+mee55cCHaV2NPF7gT0Y7HdixZco43lFI6/bBM3JrOXwKhrOPd1P
na2fd/DqyGA58BgSICFo3MyuUpKQcn1nibNM2pNfyvKRUMO2QAhcrrNPlTQzU2rgKBmOJqNWd7XE
Kw84nI1Zpa+QssdWR2st5rtEIDUiSnfZmgOQBLSdz5yRJ8drgohnGybMXNclRbE8TpPORsGNEScC
ViXL5MJxPRPmVFUCJMP/hlmm49NwqRKnBZEIowG4ZUkgkED2zw46O3MEnR7OYvEFerBK1j67pmzm
WgVkKmQ8uVZqBfop6XGwz4mknxqOrqOXpkHtHcX61THf1yyySy3u4H9TQdgsmNpymw0Vkmr7zMQt
f2lds4IKO4LgHsZFuYoUQRKEiBSRIOq3GfjFWEWQkbmZjV91f86P6tSFDGc0RAJsBEJyq9MbYGG9
M5DvocEBxFHMF12cplPPjOjUFfk5yuoLk7H8Kwprb4oZqHto1lmLTQYlLiDJ7pQ//ZwGnB7WH0V7
C5T1teTP1NMSHSkcnpkJ540BPIb85ucIJxYJlA4UCKBzx7RvmQyaTnAVyMsujKPbpL1mWr1vk+V5
nviq/vJzrBOjMU0d4BM4SWOTf4OfwNSb9EnehTS9T4HJtZNzFbETC/Q5wrpIq5eJMBoNEZDcbuup
/uhM+7KVxTEfhmOkFg/zYmr/86hOfLdfYq66/WOS67FUsfVk0h3VrA54pUFTSDnTbz8Xhnw9hsaa
21EKjGrIi+6xmHVXNsNRTcSZ1taJ4+HLaFaHO0RmzHKcEKY2C09q0HG5ZBzqRHjy/otpM5DuL57O
9rfTO85ogmRTIlBpBnRgYWXVm5ySM6fqyfEYQHKBjgVa3/pU7QdZzkbUdCGTNuBD+XwjTHVbABIJ
iNSZIZ2MZaLuC+diHHvrA8+O+jwelbYLcz1C/UK6il36c5s6Mp7+zaZb8Gmw+jUWr+evu2EgkKoo
8qqD1e+AhgRDdm5xPOsHkYU/r9OpTwortIjtADv27WS1ypIrdtp1oT7aD7LLd6MVH0A1K11LU1DF
QhokzHOSavREVGvh7qNZDVvNb7uDA3woCxp1oa3HpVcWHJpmeQfmz1CDgpX13U2TIrechFa7iWLd
tq08CJHtLXV65igOd2XkzpFyxCW348S+Zh3Un+PkQlNQQUjT8lWtJQSsQeJxGJBUYpYBLYqNbhiA
rPX+oHcfilXdk7kyHCg/3VBW7ESqod3EJFq+ZfcoDBVY3cY6M90nzkgLMu6QkwMolHzbQwmtVKWN
kx7er/eA2o3aOXTSiXPkS4Bl5j+lMyoFngwaHX1oIHlFjfQCysIhMHJnvrtz41i1JiKrTFEpVFD8
qhKEoD4wg2dCnLi6Po9kLYwJ6SpF5BwhOsJviRxeylT7gAjR4LO8P5S9OINqOfF5f4m3OuiRBU5m
PSMeHoCMw5kpy7agMnqlWXs/f3MnJ49AgQluQ/jq1mIxYw3kPS2hVlkli5Jddayj6fbnECcHAwMr
YE9xKCIP/LoNFFMD8h/zFE5Z72caUNBdUu4Zn6+UrDmzUKeH83es1dWVJdbQj22GWC0YF2miv4Gj
+887bhZ6Uf8dz+pA7OsqyQcj7cPU7m9kXB/gdgVeRBtvfp63k2NB0/mPC+8CPvo6b9Js0DwyMG8z
qqWc3kTnFIFPLszfAcyVBIDdmhlpkwKTJW13MK8mdECl2BQROXNbnTwIUOVjDOLlkMdc/vdPBwHe
daDKEIwEdFjHgoqazo9Dcs5f4dRwFmVnXFGA48Ci8GuUhJfjUKMYF+b8vqR7hk6DScKcntliKy2L
P8Uk4Kj/jrOs2+fRQFFiKFXAO6xjvgAidvOm3sBR4FINNFd30TfZQCb6zIlwagpxSqMGqEEYD/98
DWpBK8JSZAUcBLUOMAhHgSUL9OTfrBTUlQGTXhIl/MfXMK0NNGmsIAzVf0U5lNHvte5MdnmqlYyS
798xVteCkLZE0wwx9MvhQd5pB1X3sj3dtJvaL+7SfXOXxk72ZOy7fXEm5TzVTP4Se/VNJUKxC1Ac
23C4VjbaJQutkO00qILAOhq6F4v6y/4jd8K3EPIXYRe8PVZeCxgZiJbOFe5nSBSkG6gwoi6oPZ9L
IE998H9PDHjwXydf45XeDRomBiRNkHwHlOfvfj5SyLkQq22kaKWCNla91P+nHdllNzRAM8sTAff7
PXvvHemjA3Fnh1bANulO2XYb6At6P/+Kcz9idUhPU8Mlhcl4qE730njptHPGuycDLHgdqpoQfF5f
ahTkmqwZAFbICCQBhi0HBPHnIZxKCP4ggv6KsJxFn84AEJ95HleIkC59TPZrFGhZitKZq9BMz2GF
Tx5sn4az+igtvSwnOQLiMaNHlJq/eVt5uKVrVM1/HtWpeYNeHDCo6AkakI/7OioxGgqajYBayBSG
AODtmdo5Ia3lA1tVahbvsP+GWH7Cp4kTpFJM2mAsfa46aNjB4P0ulY+G/p40oAq/Gtrrz2M6NXkw
ENJsXDwa/SbG15jSyEe6dLx45Y56HVr0YPXgjOr59udIK6OD/1wMn0LR1ffbAUvS2BJYHyV6ZZXu
JrQIrRj1V0Puo+S1H1HhficS9jcMCgXUPHewnhkqXX3chp6YqVAQH0g90KcOUVjdcAe02W36MAXP
48P8mvvWv7jbF1lr1Fo0GButXYYmEQHsq6H/JZeeLhAF8TAGsXLOGPPk1vwUZnVp5FoHBrpAv5DX
+SZWUdjp6O3P63fqiv08ktXdwJt2GlQbIwE6DKygNDt2Qt9m0C/+Oc7poRgEL1zQuKHk/fUTKHND
ZFaFZlSro+8K1Emmvf0cYZmMbx8Z3LlAzoCEnGHSrxHyPiYDULA4MFLICuU1npJXlD6L9tVsIBd4
LiFa9tVP4VbfdCHqWspcxxaA7doVSr2/aGhdRm/qPtmd0606ucc/DW01eU1ZJAaJ0BHoSet25kVX
w+WuB/Sqf/55DrWTJ9WnSMsv+XRSgXRvjIaBSNA579zyVQvSq+EVkgGP8ZZ5pSuCLXjyABKbv4dz
KP1To9Shwa+Bz4qqxFrnHfrR/8vemS23jSXr+lU66h7emIcTu/uC4CiRIjUPNwhNxjwvjE9/Ptjl
bYlWWaf2ua2Iju6qtslFgkCulZl/fn/vhcw2rKxRuG0jXAvFDMck3dj9/lt+9CXfLnS0FdeSX3vD
9CUZHV1FjfQs05FKa3XpF8A0pQRGuL8ekk/L2x/tn5aDQ5Mq45uED/f7i8v0sYaK1uIZ6C4zvOxa
c63CRs/LyI3abvH7L/nR1Xy72NGXFJJRlNJAuwM7znmlICJ06OeFlXdpy9Xqf7MWVazJixs3zqMg
ktpyWtkmX8zKd4V37WNnbq10vtbvl/lmMHL8zH2rZ35f5xiTGMlwd8KC76TsjX1xldy3B+PWOhtX
+qU96x88ye0+SUc/Cio2PEoGhzSNPtfRk2fmQWx5hsSprfMXvS+hhVp2MfuMfm8NkZs0n9ya0/sd
f8O36x09f5bZUrZL6elE2JGn1OJqiP1D/8mm+dkqR2erajB8M5YA8CTDsK1r68SKdcC54Se3xWfL
HG1fOrdLV1l4B1jFvV9nFA0xCjA+m3X89SfC8mzChgLOQuNzPD+kGVLjREOKRNcsTvzWnzc2yj79
oQO0rwxMwQafAZU/0Oe/X/Lo2TJCM6iMOBlWpl24UTlxo5x5XlG4pE5cSMMLphgrJ+5hBEgLwBmf
3JS/xhFEFIQQEmKH/z2eNtLrkKxJZMMq12R8w+Wzvo+XevKgG82aYvYn5+NfxzzNSbMBdBi1rEWV
+ihsDbYqeXEjhpXCbHCf2XTztYUo0Bxj1J6qiEZ6cWNkg0f6dvntif+v5/7/+K/54fudX//nv/n3
57wYqtAPxNG//ucqT/nPf0+v+Z+/8/4V/1m95meP6Wt9/JfevYb3/XPd+aN4fPcvi0yEYjhvENpd
vNZNIr69P59w+pv/r3/4r9dv73I1FK///uPxJUUZwumpCp8Ft8f3P9u8/PsPFGga5QyOC//1dpU/
/8b0Nf79x6pJvn78mtfHWvz7D8k2vvC7E3B1uiEORXziRPf64490hcIZcyN//CvLKxH8+w9N/sKW
QysIMzJZxr6UO6rOm+mPVOcLrwZ8TA5uO3i62n/8+Fjvfp6fP9e/siY95GEmar7MUa3BQBKGat0y
MRviHzFLPTqFyVJRtF47ABexPTd2grlRtrGb12116hVApAZZLk4Ms/G2iL/tRWkk1d5P6Y9qche7
Y10++fZ41olBvukRimiHdJSACllOvKijAEyTCORZKffAntLuQRPJXsKcYF3l7Xlr+GeQ63ahmcDJ
SlpzbnYMCHtWIOZ5Jh/kQc+WuQTvTmZ6cinFiB77Ih5dOUmuNTPK3cKP5TNLBnySBOmjnBiXtuju
gCpsmS29m2xhFuRcp3mb3wPDCmclUDQGcv1woeq4dmhRf9Pn3ZMVZMXSCf10aSaBWNRJD90iU9SZ
SkMOnacDzcOzLmpJfU4SFdSbnl7kaXkZASRxjcyCGmPXl7Wcfw2C1m1K57wpwp1UNUtsI08Uke5N
L137tXkdW9XriPQ58DTeuEXW2sUogix116HDxBIymgVDY268nsc0NTPAgXJaLzqsCGaNiFWgckbk
6n0FJ6CLb5mp9paIJ5a6XSI6UdS54mMhakDJAfcXn8Of2msKvSKYXiCLmvZ8VCNOF8NwMKAyuU0l
A1IxcGewh56C5zDcdWX4YvRSPrOs9qoDkAI3piyXg13wWazY2DRJy2TDLG1AJ9w7oddoc5ls4VIU
Zratysw5dGPYbgBUOe6Q43+mFkqwII6A15ASez20bXGppBhScMpBxuRya0JWUNR96cGEGdSgn/8T
lL4FJZ2w8NdBad60j8mvUWl60Y+opHwBVm7QXXMQOrBfsFP8iErqF3AY4OeQpBpEGp349zM4cWZk
1IXh32kkimj5Z2wibMGFQwSFIYv+LaD9ndBkTrvyz7MVoQn8I4GCt0OdiB3aUaWiy6WorJohXMtC
MoN5aXUaJQr6Mys1CSxn1spOYeNPkGdPeJIC/DNBEJLi1Ws/Nq/1AXFfYavVZdohtPFTtv3a8LtV
Z8vxVZiFr5E38SOqCD/UvLLR/JXg2VKwhVLBcUCFcBmROw3VTIJHzUhr3S2qYgxWnhiNZWIr2UZu
xmypgBgvqljbWNHouI6Nzk9BbYaHpwWBo1Cu1VABlRIY+czXPKyQWmEs80y6sgdNWtWOvgfTf90M
MFKreqiR7eW7sgsNN8lBCLJjMTtQPtsxpCV5AMvZO8pyKIx1GEgNwJg6XSjmSTtQQ/QMbG8048zI
QjQ4HYMUta2d5+E0AwgBr9Q1xhpicWYl8muUFFel1R/yqHop9NaHAqVcdHLNqKJ0LWEWnsjmSVor
OE5FHrm5U530VXldO6iuZUndBlV6MXj2dnScRSeLrZdHN0aaYlEal8ssoj6re1s7R6At0yd0ofYd
yiHZ5GmyNzKckuJ4kSjp3lDyq6QS50kXbJzEX+ewpbouv/SIrCKXb6NKOXdEgvZGfo68+tQus7O+
tp986KqWUE5kO96alb7hRloJx3sRUgQC0wMll45q56ayj39yIBmXkq23C1Gp0l3hRepz5smBuq8a
qTFSZlXy+KXqqYnOOuaAyqUSWxnNsrZvg8vY4nfpPECGRT3pF7VhyV31jJ/DKs8M6bRXzMoNSxys
B6Y+z+yh2YaEtWu50OuLECepZwEIdafKwbDAJdGcGaPlbRDLniZOMqvTqt55mZkubVP8aWDzz2mM
Q89vAt8+fn19DvKn19dfo9/0yh/RT/4yIQwcBaKRyiY5caB+RD/li0pVA0NedAdTKONVf0Y/1fpC
F5r2ncOBiVHfiVH142hmfplipcIkMnpCk5jzd45mpEPv499kawy0RGdUhQFtKmFTfHxT2/GtKtEk
CIUriIhmMRs7Tfraek6Ilail1/baaoUl5p4ilfK9XgdAd4IQ2YfDPKG8rH0RgkLPawytnDTXJY4G
QgdY5eTIystgkYxtNRPReOUM+P1gNoiHEV7oXQbTKFPPrCCeo0eZa5EDn0VxyFeYAtL67qAEyErz
WH1tcADhSFWcdT6wXEk9yT0ZEpvAMU/gYGR254waHmwn2IA/m+tFBcq10J/KMF1K00RUn+86tYQ+
o60SNT0ZzG5WckyY2WCHwLs15xju3qGibd3Y1x6YM9wE+sjUW7fV8cYao3DtyFdDBlE10YEwiX5d
cmDVNAKRFd8KKWCEabhL5eQG2vRVYZXSTMg0iyr1XNjOQ2hm8FJZKpDRL4yMvPRFfUhj/UEd4cvh
zLSUEv88Cc2bgH0G4sqp0MvDkMs7SYXROCiCQC/vZBXwaJerS5Ja0Ghy+Gqq41IPererjetOE4um
Da6bcjydQHZV12FgV839vFwjkl+Ooc/oWXBqEqjYmbQZSLvDQOFCztWDX0sbjR4qbQ4dWU94UCmZ
oC99SZtqmEtS8xWwQzurHds1kgg8GPrLqG8WkdeN8270v9olw1qSGFyht868NJ1ro8R/Nu6pFhbD
LMZnHHwFg03mfVQwJJ+L9WDGT46KkR56kpNQVq+B3G4Gma0jjatNkEE75VfD9a+u4L2WZ6HTrYqs
mUuD4i+kuHlha9v2ivbUN+Wy081zB3l+lhWLGnhnmjDBl9vVVwQP0EXD+9ZQ5tgoPtdhvWFCap4T
XvM0B4c7KX77XNx1GH3Pas+GoiacZZYzW1aG1b0XOW4echvX8deK8Tiu56lgCqoflGtRWOuqwTSx
L9u5VZtLz0gvJLmaJ733QImNiYJBPVFLmNxVWxRu1gK1koYzIVVkEll0HjjBjYmbV1onF7Dd1u1Q
S4uoVc4Tx4JN6Ve7WI32UtLPIU4+VjZzxiK+KB3voFgxWw14STm9aELMmOMc19D2bFSTBbvs3Ksg
ezXlWRV4T05gpxz3WzT0DP7N1VFdVcCFZ23b49VoP3QlQ7zI9BZZ1exDPwzIiiiT14ayKbPsEPrV
RcT1kuZjwvF+zvgwmdc/R+fvR+ff7iCL+vkxfQoff90/9Df7B+EelT3qavTpBPtJs/dj/2CTwFea
qjjI9+mvUGD9eXp2nEnCx96jQNObht9+Hp/ZchwZlyh2JYX//jv7B7qL9/uHDm1Ihe/I2ZlDPD1F
Pt/b/cPDxN3qY0HKBWTedhPEbfmsilXDdiHElsRYgueqaZztgK26Xqv9IhJDstAGL79X09aSF22i
iQdGdfL2xWrw+WP2V2DAZvVkpq2viGwvxxZEu8nR7cFM9JyQW1ZbWzLqnVYY9gEX7AAL7KbNX3W9
wacZZO51xVsxvocl4nNr1up5zhUuZlZq6q+ZXkLULnDWqEPNchH4eofE9+HesiG5alMcYq+74aZf
C6Ss01j9ppTjR99O9sgvLzECM2Dm8rdKXZrFZjK4sY18uzcdmqlBIzayQHFTJ/lZY1hfJeGcUpm5
TqHHzQy5O6lMdshApf+apZuiGyvmI9VVifGfHrd3rVEd6jxe2A7e4aU46H1/UzbmVWkoa0UAINfG
3eBJi2HIYDI74VUWilPG2a/SPF2UiEJlES1qI8UpMFw1MvRy1Tkx9B5tMXVIeRhh5gbhrTfgrSjl
S6Fqp06rxAzPMKgvlcMhcLqNp0cniaGsiGnsT9Z+BN+s+f0qN+SrbACjqnlXvR2ULmn7LgSOH5jK
qyx5TDrljEdTGu96AnUF2tIrNnIQrPqJSB7nJaUAr9+gGjvBQgDDKiu512p+CS+RW2y9qTDYdXgp
pd5pFmJJp/nBPgqCi65DUqRXT36izktNviKlQwwW6auqlCLGrrRdkmqvupnsAR2HEAzyXQgacJ3L
w00mGQfAROOst2pGqTWF2k5+yaD4VeXo91o47uoQa8+ww2Arx0ZYiw3GhO3ggMsoA1+p/wCLF7uC
CjR16m0kZjkYEI+XQ508xEX24GHqN1MBJWieOKna2JhZpfLYtaOMbQ79deAHS1Gop1Xh4Krbqi52
My9qE5yPqH/mnp1abuzpCZD99MbUx3CTZQPK25EhtUpCEcJ0GfSRtNl5Lf7Fs9DX9IUs2VwhpR8G
wAf+mKDwA3TrJmMHUDoZXiPbAB2iShiVq8pwQi4dbiJjDC800EZuXsam241cS0dvGezHYXYpsgBs
ukkFh6LUEv3iZEbpe3NN6hzY5yHQ82+zzKHIt5VOCshwsB1xW3HqC9XMTRKL6fsgu4hT595rWsQ0
PcxbFCjzUXEuCo2qWBcm+15nzt0QxcYxYHnXjms5meDgBl2YUb2tnHu3tlLetjqtgRSoNzyLrbB5
vEvxIDzp3nQ8t3G8ncFoXKNBt28Qf0T+uIiTclOo48ET3V4E4x0HkXtNBUMBNORBH5i0qUtUl6a3
CArtxanhXerIkF29hF2fDAwdqjX3b6ptIrNZZaAKmH23t4GQXTO29mEZHtIsA7DcWSeJk7L7Fvdy
UD/1PmNxQZd8Hbx6o1nJ3FKYTy2aB7MYN3TcVpIUP8o4KTMfg81UY95q2TgPTZRWSripOwblAobJ
VYpUwCe43iVnOnsN4nzjEHWMoZnbuDWHteLa3DwolRd9k0BliB4qtZqG3e4GfGGjylk3SGlniUrR
3RHxjSOMfVmkL3rd8wUhhIPpV2ixx8iDzTXMiM1AlFaV9EbPFZw/GFuM/X1Q6ZdcvkenjLaRPi4F
lg+6p10UZfacB0zXlQqlBaPSbgAjxDMMN+7bytyGgf5geCUPP8N3hsZAvqIIZWUIjBEsfRDzqhbl
OhYMpVNO4LYSnGMD3bdO5QbQfiXx2/RZ9JRGsDOavDlTS3oJeZvqs1zRHVcEzN/TUfT2RpqJTenp
1Wmay8FrlSgPbWLBevSBjBhZP8xH8CxubhOXmeYFqB9I3aqui3I+2CIJFkUifZck/pMDT+5kf138
u8kTSA4fHGCml/1MgC2CBZHjW4eDntzPA4zyhZYA3SMTLef3Ut6PAwwNCDJjhROFPgGn6DH9zwFG
tb/wwNLqoljHZABY3b9zgPk+SvG+AIi8a1IWw7VSWOjoAON3ppY1BpYyfpRcYfaYiCs7kb143VAe
92ZZDLjA1euqxIqArl49BzZRFVcjDPZLXfMZg/VqiS2n6CQsRhsP9pBRx6G1Nv3IOchtBHo0N0ik
GFaS/NEJXMWgVXEbB8Pw2pR45sRRNVa0AZRLBPxiZkbJ9KSTam7zRq0rt8wrpjx73y79XV8EbmBd
Rbi51Jl+UlfDSQRXRZWlJQ1pc6Z53iMwityNxkrFHDrFSAyDhrI+5IwuzRuLamQRjK99ndovGei0
dRr0Mg9/3lylqZK7FS1EV4gWppYuNNcRMhMbRoaZy1Cj82aed65AsGfkA4iObJxKDZbljQ+ACDCl
m1rKoxZSRIQOmbko9dRFH7TqIuhjDhRllhKDzGLJqOBDZY/jWuk8/dTMqcP1vdktcw/lgwF9P+6a
lRqaLwA8uhmlfs4YhAaFDkBvtc+h0kmuglvxLKW4QT7PVElq6P4ylvyXqE/uVYlaqtC8rRjZmVLq
uxy8/JXG6+HDfS1be9GWNHo4fCWuNHbsMmIsFkPX+G4fcZpRy9YN2+okBBLS6/55bPqPQ9EWM52x
7ybvblQ/hU/Tp6GbjWzBhcbZDlrYNVPAj46a3/b++DwI3Z/LZTLX7HJ0k0x+6AXjUIDWDzWUnIou
3YyrtmBH3AVjigMKJA23T4Z9kgyja9rBCbOI7Tygk1oH1Wk7yOW86uyVZysbrVQ2eGvtme98jHRz
rpdI1pFQZVyJkMTeMnAqr72u4ehRcQe24IjwHrAXBuCkmQJCJKXWkIONy6zqvHKybl0UhjmL4THJ
NiS3xB459Uqw7LgrZ4GwV/WoXiSq81COCbI2XIbCSOHcodOFQ4J+mvb1U8CQEN4UGBKYNHDmsqQT
l7GEgJdS3dp6ttZNPoyiFXuaWMwnc+iaOc3oLSo+MAQq6anVcWkxotuh6oaZriDh8wZr2PmSpK9q
WY7mqpGJl6LFdsQ0rjkeARbJTsHfZxivWNHMquQDyHqdvVOSGEy2bbfVx8IdW8lbjMjlZp1WXTdd
p+/6Bly13UIcqXDT6Bpjq4Rh7MpOwkNY8SRqxnDSDepyZJpt80/O+y3nnaY//3rHWFaPWZyE2a85
7/S6H1uG/kVDV0MvBkOjP9tCP3Je4wtlVBtBPlkxA2pvaqb0hehm83/jmEYiqJpvaqbOF0qoFmMX
tolahwm+v7NlHFVMp2b2NLQ7NdiRPUBTeJ/xOhnUBTUzxFrE5n1t9vKyKCFSmKa0yQzZXvb12P2t
kYdv/XMGRmR0tdg7s18eiS2U3FM40I9irYLOs4vt0NPhIUl581P82bd/26f/8Iuxs6oyIhyd8ZT3
X2xsqj7Suo7qnHHX+1R7aUXl+qYw51GSPf1+LeWb/OvdvstldHAgR4OgmNPA+vvVwtSzrbEI2rXW
ynWJR0sMZE3zZGT2dDw6NwnCLHfVUYpijnaleemMFmPEfh3X/nwA0CVcxzfYXDNN4tQbjKbfuYqe
39G8N2AI2VNDunlIg1qdjVamknRocbJLWjyjjYkU0qiD/pqmpezDYPPrfdtCS+sL7TGyNNdrvQsr
xDYtR6YkhaX5EPc25m0gO1ws3vqXqvCoNCodSmpFCpe1zqcnxEBsq7wL6iE5+UGw8zu8DCgkfC09
a53n5DmecdBwhUm1YlE4RGIoIYvE69eRncx7yV56arTDMWCrFOFJkoGLy+3XRMepx5frtVOQU+rk
Ta0KhT670e30pWIAM8wzxw06cYs0aFsxvsZztRBIhbZto94ovnouk8COkYW7aZeeFD5ZrprZqKNK
Xb6PPOdUdCK5GwpNPyW0Bktfx3AN42u6iaOsbGP6l3Ngrs5ZMEQoejiob7K6mvziAJE2Y5jPA7mj
h2pABDGBvQd5Oc7Tqn8NgxpjNCnJ1rSqpldqOUD26MxLhv4k9GX2gKp1dnFo9KBFwsvKrO6KZLy2
rfYUBXIyz1vzGq+6fJl4k/kAoi7XSCfWlGh9+wqRQUkxZcirx95OVdhm9jalSi5LPWjbKKcoUoB2
kDaJET2bgZotszZrXHPSYqDUftIRZ3DPIJzVTRKDSbkRTBqOzk/vNUQdij72Cy8fIK/V29pv7hTk
HzEyEEkUxSyflCHqpBGBG37dTaqR0YLeNE5Kks7Iq/k4qUsyZCZNjMyNitU4x2MnXsh0+BiN1dRZ
mbfbwWqdNcSbvVKjudD0WpsnpjPSOEHbggoxXmST3kUkSagdujyRb/xgOBuQxVRdHRMJTOW5ttNg
neOiWs9ldbTnsY7qAfGHOK2p7DI/45trK7Hjfe8X6i7qP5ssnx7Xo8fZoOjCBK1i0kyirPiuDqhK
Ie0DEwcNhGjUIoJlNXhLGUKzJV38PnRMYeh3Kx2FKYlOVJIlrBR5jYtwiCBVzn+/hDJ1/Y/XMGBZ
KdOwBLaiU6h82xWrHPpgsYQpsoXJIgkKuaoGfZaptH0clxhaYhtIXqmvQsmkoZBZn0T8Xz+BRazX
2c0YSP3INaT0lA67T7HOaOCaPERJtCwK/MzLbi4H5jymztZm0gwn9u/l+Hfqut9uA99WBjCqobpG
tXG02TiEDKXl4LX2w7u4vTGVAvsEDKKUhUYu/+1C/5M42789Bu3r59c8+SBxnl724xQkf7GRcjL9
/726Px11fpyCSJwpu5vMjzpM2XwT+v3oHNtfNCgz6Fl0HfA3Dd2fifPUVOYN0QCSW9OM/lunIB6E
988InWP62lCJp9OQzHns6DlMTE+Vi9RQV1mcDuKM0K5iGqckD7maZ1/xNyhP7MjQaAKCEGi8ri8v
izCNIDhr9b2VeqCnyIltrH4qL9mjzwjBG+j4akoTuTPB5spJyMQXfVusa1zeAM/22sHEuN2nPKm0
vtslNl6MduZFq1rPmteyK6R4XVXGud1QDGe6UYZBZVkYnSYXhY1UJfTK20oKTDeAXWhqPeZJCYt2
sUwrFEqnE70ODqmENOrPIQ3TlLPsrKtTYrFhe7MKi/J5kTvDOi7U29KCl6t5B4/Zh0YYuyBPARRg
mdXK01GkQ88fBg9DMeyMZLiPNLITkpoRuU7hrxwpzt0wzaslhd59M9iLISjXucAs0rakc9WPL+20
nZd2J5+NZvoi0uE0zoJr3YwEBVVcMs321ELO0/UhH7O8TwvpThkcyLCGd+hqaWux02Ddq40L6o74
lll4aGqGf+LRDKl7fx6bVMPHEM6bCK1zzfT2amgv1UYC5GCHX+2gDtaBKXmnRZUbS7xi44VWmY+y
KNZdhCAvVUnnGykfgESKeg62DxIwsLaZlDQbtEArY6AfErXRVycZ8WhTu7mJefIyMOhDDuggbSvc
CdvfwZPa6pF3Zcf11z5s550dIc1RnTn2aYtuyPmxYK76jcDLNTeCZeHRpAwCt9EhkjKTlNtiMwwS
CgbtqlHMO4urEPP+XZdsYwtFFHSia78a930SnFZStvI7YxM0BkzNNglmhtNs+sRbQsZYl8VwHpf5
NityBEzWi1NS4oxr7bZtlZPeh0DeFqvBkSiHZMWuyNMHUs0D5NilFg5PQ9Jdj3K7LOsAlGpCt1Q1
dqknY/VpFKt4HCHYTsaKSbTSa6SKVl4vCwHfU0VbYUcrudKhyUq3dNgz9Z+E80/RNBHurxPOVZg8
BxWS6w8yTl74I9aqk96ZzNBEcOjAWGPP+xFr1S/OpDQ0yFamdG8S8PyItc4XFDOMloG4kY2pFvkz
1pJx8n5QJAiNKsoa9e9knFQ+38daVIoy3VwbhKdu2Jzb+ehvzyMZzqY9MsVkLdkRlpsJFhztLDKi
/DZmMm+d2bTwFmVnWsoC8PlOcLI4hI61pHA/a5SQ4bqi2lYx48w+Ugj7KTeMW8miGdfhN41h04bj
ziKCWxur6lbXk6WhPeqqRCNXmaUAhzNUAgH4iLiwl1YkFl4/NdqKjdQpS2zksECUtxFIJnwsKFHZ
9+FgP+EO/KCn5SqFS4to5R53xrkeqztRNchGair95qZ28hlm5RDnG3CPzqrvm4Mu+Tvq+TN9bM8y
FIdmGy16Wd5EHQToqiXRJmZm+bKWID9CfcyqYesXzYx60Dnc3E3PZ+1iBR9bPHTx8Og13Ds1ZanY
F5TC8FiLZiZ1JKVSXfOb77g37wWSGGwanXqCzWnPsk+rgjmbzgo2AxXTciz23I1zQ4qXTU+DWi63
KK3DmSitXYwH2jd5dleuHRWD47EQs8AJn0dkhYo0PKsWAsWpnNvyo4lm2Gh+c4G+EI+vCPmi5twY
RbonQzmpmwrjs26PVoxfwz70AftI76w8/Jc6D5cH+tN4tzXbUvCzVcQuaNljW7hKOazIEu9TW3yV
nfZWYaYhH3zIyJEDNdHg4GjSDYQ2icHwYEWHHEud2GkXATY4szRI6HoiwbdAJ2WBcWuzH6qdunZ0
cRFFIZImMdLw0mg2R9GJYvb4pxYYe4WL0ZyQziRloWW6sZbTxSytcWEXPdeixRwjUk8NTz/4pbTx
2oCEijl0Ifx5FfcbxahmY0xS2VtLswuvfAen78YAWpmd2j0244loJDdPcRSFXVcJz3WAUqv0emwz
dyn5nSlDuMQoluZ1clP25k3vFEsD4bhG97DU9YXiBGu76k7tNKaw3ISE/D4+cbT61mu/ZlCqR6M4
CRznJeBGznHVHDR1a47WqrSYtuphHwcSRWZu7FAHzRlimBhRTO5UHZOB6jHPWCLuF4Nq3E9Fd1l9
ahW085KDVS/W2q1PnTrJ7x1SUyuUajZAdh4442jXrLWeaa9F2a3aCmPrSJymbecaZb1wbHgWvYPr
a7dU0T1gIHXdmrBJhzE7cUgMKDeHr1YR3tdOtDUQBjkIQ1M1uJPbcp/K3jLzioUUqq6WaDNkayS8
Tp6Ty0Pm3yIJ+KrGiXnrY+N07lPuXsud5c/kpkuWSu1VxJHi6Z9j/vdqJ4fyv9581q9V9pi95B/s
Pbzu595DWYSwbqLE/OYS+XbvQeCuk1CDU4YWNA30/Nh76IKRbNO6YnRUsb4VQn8oRO0vpN8GKhSq
L99f9TcU8pMG/30qPL2NDF2NwR02tOPE3gPB66DNCNbsJK4xe3hK5oHL2ONsQy/5oV9Xt4z2b+rZ
Ck3LfqpQzuLri+01/NtLQPN+7BavibsOwIUEs+70RV2lM5oGu3L95soevufmb7PWXxPmb59zmhmY
jLDolr3fIokf7ajFTbBu09pVezETfsUYzlmkX6UlI5qONoelJo1Xv193mmJ9Vyk4WvZoZ1Z7o1Qy
xBzriBH2AXx3kR3SHHYU4z8Cpll7YjqfoFt+KbUcLXlUaglMalhGyJKF5FxJvbHI9HQVMNGi9PUn
M6Hclr/9dke1bjIoMQpNYKhYHBrg/wVerHm1i+TTujkzCN+/v5jT2/1yMSkVU8F3oCgc8wC8wBiU
OGI5YE/LNqKGWm2UP4PRX9Y3PvzF3ixyVHgu204osSiDdeOly8g6AQIz0/3bmmwoJtA3yldViE9K
60ekJCr4/GbT9DpHNzJp+5jCOSiZ3SPsZVHbWFpq61pA/RiC2xm1/exQtU7tYRto42kTanu5crat
Vu2I9RkEvvIuJr7HtfXJWPFHT/abz2QcPTFVqfcRk/XBWkc8a+JlJYmHv/97vl3h6OFwOqnu+6IK
1lmjnZd2cKpF/rZKik/u0o9+0bfLHD0QPSBLHYZfgDnT4LbpY1iegVCemcGDpkOsNvG+S8v/xa36
ds3p4r6pEFp9J3TUvsHaaWvs7aV0PVjl+Yhjyu8v4UcP+9t1jp5AoVEDNizWaSsMcEmBE1U9scJ+
UoB9VnOcfo7jx+/tWkdVTzOuNBnrGtYyxaL1mbW8iIelrjwZ5TDr82Vm3wfwmGiAzY2omP/+i34U
ahiToD5FOwjy89EX9ZvQqjVmBqg5AJ33rFlq2dz8d0hE0bEjpvrMm+6Xdtf0SL5Z8CgO6DVS/KRg
QXo+KEpHNwov9LE6kxhlNKB6/v7rfRTa3q52dG2dSamA3jJYW1PjYLjXjGaBrcgnqxwNof8ZZ958
qekqv7kte8+xymRapmzGmQ+eQDF3qbUwpftSdEyjc6B9rmIxK8rX/7/vNz2jbxaOrJD2h1ME66HK
3bhyFuXIng9v+PfL/MUXpBuqM2bM6WaqSr5ZRzIpyVkNv1oL4N2Js21r6MsaIxbi5FkYZbd2Zm2Y
fD2b+lap1C1/v746xZJfnhHl5/rTM/Rm/dzP2dqnkCZJqobMrjlv/HYt6b1rJ1Tn1XYfycYOXcUm
GfNla2krK6XIJPoOoQ65VuaVy9Isz5qiXTgYMaNaPO/SbBkoKakCQzJINH7/kT+MIG8+8VGkakkM
BqflikkxM7wtowHYcDsiXFvVpx6FRzXh79ucim4L5AJ2yGiz3l2dUSh24PjcBT7yCadmhCfgYcpR
q/TzeoCu1i/i8nJoPutZfLiVvVn36OmioQmDLGJdyavmEhIsxfmM7/DhA/xmiaMnq/EGclcn48br
xZ2fd+vg/7J3Xs1xm9kW/UWYQg6vCI3OZDM1yRcURVHIOePX3wXd8bVEa6zyfZ4Hq+ySSTTQ+NI5
e69tLPdF1L/9/bcl/fIF++E6nwaSiWFURBAVbWUpcfrgXu32C07pOfroh7NgHYqicGaL+iId7S6L
nTbTf7dZ+c1H+DzG+sCSi2pgEqFjfYtul1Mzck04YcvDlGoXsexOkMS2lk64kDq2bmEKj2OpuKmZ
/+bd/eWi8OfD+D4b/DDa6iqzUqXhk+gZOTwp6U7Y5GNcRoX1YOpP/fz+90//l2sCTRL6ftDy0J78
/P5qSxbochkzS4NVIthppt4i1GdhetXK+TcL3i9PLNYPF/v8TRN5VzcpMIIVsmVUEdHyV23xgBmQ
ptGgnCekRLhi/vnNQ/37myR85eebxNEri02Z8fUqha3ou8n41supk4cfkf67tvCvr2UakCQMEwD9
p2vlTb7GB4TRNh9YdBZ1F9HU6OObMnwyG/k3i8Mv3hZj7T0bGgcI/lyH8A9vi9pnbbZkVri1ynxL
1XMjBc3WzFI/leYTO6mPUsguf//C/Gq4/nTNzzPPquAsda7ZJBWm5bT0hsrcW31+rZTxWJT5kfbX
hv7CgUOBL4WUk8TyGPw2q/0Xe+DVW4/BE18obtJPM2/cyxOiKJL6xqFy6R5BJj9W1U7NHueMkLzy
rqvb3zzuX8yIP13y061zONGEWjXDrRSSKMdOOxoIL5p/s7n/3VU+jRLLmhWjbbixMNYR2a56RAps
w/bvv8dPONDvGyduxmTg0yJFAvXpRR11YerynJtZQajTcXpQtsvW8jBt7mJf88z7yYP+vxe3kWp/
7W3j2Nv8+Zsp4RdLtcEhUQNty9eofW8D/PACU3LKg5IQtW0ukPGrNtVNnirnvkRAaS3S/+O0/dPV
Pm1lzCxaOoQ3PFkDka2Bw0XaZ+H93z/YX6zMP11kXWt+uKUJa61hNFxEGA23LWmcicFvntov35Af
ntqnYQ83Zk6VSeerA8mSfhVlyRnMp7+/jU+o3n+/Hz9c5NP4krqILmr3/SJfguCuXbyGkHXrsrSh
kwRExU1vo7FJ9G9LT3P7FMIkGdBua32IG+hriPPjNx9o/XY+bUR/erCfxoWmdUrK0RAmnWw8LUnm
TbAHgri8rSoK0gQlCkqyJ0TsI5onx0gMgIRW8/L3H+KXkw6ixFWqj8nwc72mXUSyonQ53NKwYAV7
FcJzhnTYkp+6xp+D9Fj8NoPhe8rbp/teUZGYGrkm8tBPs86cCnOdhTMUhxxSMlZkN3b8K2YS+7ir
ndy/8wvb3+3yS2iDMLYHO3yd7A/dFRyfv7nGjrd3NDzOjuDSwXXuE+/vn8kvXvifPt+nLQTzSNSV
2RRuKQzaY07TKPxH1PXvr+IPV/gLHDkwBDVK2yXc1mNuVzGb+fqrgN/47+9D0sRfLN4/XejTBDGY
NRZgURJ8tHaAgKxe0Z0i7bC0LX3tiEXjKrVlJs9mOuOAQ60GLDFY60gy3fM5L7xOqPZqb9zkdB/7
KGaERqG0CbKBESpVZIbinfZJTSK4Y2SVGloNR2FruEWdvi/C/NB3xR19NsxwBD/1gXhqYcSTikfc
S2Cxzzf2kRi0CLzp0kxz/dxR03I0PcRN1VWdW+O4cvuUoLLkTU3S29ZM0JTHPRmaar5LRf1xqIMb
QUoORhme5q671rp4p/SY0sZx+FDJ2Y2TaL9I5j3J9c+lGJ4RXkao+qSTEOMurYjVxORwzkLs3E28
MRGrJjeLIjcXU88C8TlYlEXgvpSjVmNPsMrXpQd0EmbFo6Emu9n6EklwmjQfxUjmhTVmwhlCczy+
p+WzSdDbcJsqrxwLc/WcUYKddupyqANEp8nZUB8E+SyMD+i4jt2g2fSpaQ4CRRFqWxmRvuDTYChW
cbqBArJRxqsqeZ3iVpkX1G7JzGTlp5HoLhzEdhT3TkfWVqPNjiHLdpK/jn2MnfUu7L/W9UQXLMYw
up/EmXhYN9MWCITXok3sVJi8TO3cnGpGPUBUmakwtKRmKn4xYuGyHvAvGALVf5FNpjR5MTLeJDMc
q7/ncSfqndbuTFpt6XaJDVS67yrtzli5NjR/Y4iH4+Dk2qkJGc7peoA+Rfl26G6N9j4dr1lwVho/
njf9/LVnLARqbus5pdzhqVBec+GuzBCwQGXpDmnyqqRbtfFl5aOc/QmCgPqyhG4LSMFy2+5YSFhl
XK066snDNN+KyW1jgW/Zq6Tm5iBpJPMpMuDOXLVVFX3QtH2TfWsSyZbazDbazMEKSbR2VOBJOOP+
FWD8L9Y5qdj9blUaiz1D9UHTTmP1EpC8HPi68JHEALdWipA1OPxjmxZ9Rmijw0cbuVF6s+BTSWkg
i9p7Vd1X0X1v5d6AKbFMaqdo3Uo/ISca2huCYhP1SQjfqLDZcn0egq3VPK2iYPleMd6LJEfotG1C
f5755pNrOx8gLmCA2IAaGCvcHCSwvHep30/9ZrRuASDYNGQzXuB4qmyLGqAxelLzmtTfhnmg1tHQ
NGzsQb3NAR7J7S6cvslau1fUa6Z6TYGwh/Y1QslaPErCcVnuaiPl386kYAvG3pLpX0/fpHIBrr/Y
ebmt8yMqMEcWE6/EP1XYIgdNHUVsRBtTeFMhiyvZG53oFPTXfN+hpxm8Ij6Bi4gbXxFu5Sh0dHrd
q3/W4nYgnWnyBeCRPaS3nfQSxLcY2Z0GekNm2bOE4IuwPBX203bBf1IN7qJepzSiluOtcq2xP6eS
L5lf4vEFMXU4HCLlIcI4Slt7PYA7JZ1wHfUwyc4ljVpyyzG0ZIDRCkylnX6tcnBMtdMvEdKlD0kx
iSgW7EQlT1JAucYQrMIDRCUnyVqMJ26xii2N+6JObnt9cQNdsQXxkktns74RqZokmeroDBXtw+gT
+sEY5IH9VGiyp9GzSGkO0W1HxA6XxyV/49e4QCZyPMEmW3NLPFg4rZR+F1bPQQKOgjjI4XHiu1TZ
/dXy+gLtmmQbqPcI/71GxgdPbyR6KqGDhKg4GOGpUjhG/s55w571S1K1jHs70q1dj6KsV+0Me602
MMdvxuncSLw7/Uszef10jLGRs2B1kuCZhotgQZRciR5/mTiifpXEwmk0d0zuyv5WXgyUaeeheVTi
O0nxcgNzcKu55pLvR2nb571TVbx9+VOY3kYqtM1Hzbj24ls8fktjX+wjVPlPAdNbmG54Hcfqvi8+
wvlu0hi+e2Uw7H7Yh4Q/18VTlh6VYfbKUXZG4aDLu2I8RTPJLFtNf2h0oNR57+GKI2/xTs/fJLP3
zOV5MDZgXTxxfq+S165vDvCL7Z7jScdCNvL+JaWXVl5d77uIR7W4KkIvTdskNf/VIJBBGvEUB5s+
vY/LzO0w3xanpLpvsBBopSfkbmgi6XhThbcpgbG3iScw9w8dbgWhbuy+ecsFpA29rcyerJxToLcV
sKc1iFOF/sQx00hthUVwxpEVL5pbpudB3E3WQYGSMDwl0cekPOt6dOyK1E3nuzTDXIE4QxiekwQm
mfUMcqqaH9Abz8FxSnfltBWXV0N6bEWHVGjoCJbysZR3ifhUmY+auji59Wxx94J84Tno3Y7LtNgA
lfJQdjdryYpkbj5Z1V56cvzy1m+T16l9G1mj0sYOCFpgA99/XX2NynYYv8jtt0jpSQ/f5NUuIsBE
ZO3YjtR7WzfUvk2j6VqpKwubOYw3Q73YRfhRKJsB3Qs5q0bLd0KNLOUtdsLO0eYKabyDuCksnDTb
W9WlL7nzmwmZomjdqonT6Qer/TBDxmPg6ZofSw+a6obSN6Qno7GV05cs20JBUTlYizUp3VeylVlz
783MpAt7BmavzDcFMqv+0Gse7vQh9bFD4O2jk8fhp/iC4ZCCjq55UWaXqh2/z+99y4zky/0GN2aZ
7yJkS6k7Jb6y+PLsZvNhqjaNsIujszKc5mXXmhusnGgOUQZZIyLb10G50VJ/jB/xWWeFX3eMKLeu
vVD2R9GZmPhFL+0cwIuBQ9OT5Nd53ljRc1hf6uhQ5ZxlXJWdE6oZsUXlBHjtOAm3Qv+kdMcBvEXz
apkcMK5GgFx0cHPLdKd8qweHBs9Mp3zVjX4XjdStJqLP60sw75byMbQ2Tf1QSW7fwDnLAnvWHnjP
leZDWkdTzJuiHcL0UQ/fje4MnrPmN0Td66w66rzT8jfrQ262ieRRwYn72yRmtHG40Btms9YWJX5H
/d5j0JzdEFZk86WafP3aII0Vb0wBIyRpiuvBlk5gOns9TLjwZK2SX3f8qmZOlztB6mkweis/Rl6E
LqyPTi1ewWCSXDFPUBFUVMWeG/lmSh+SVveH7m1Gb59CJKlPPdX8MdjMbDZG6yUJDTvtH9MGE3B9
EYQdNKpc9tIWH9AhDXwt3YsVm5sX3thlYkd9NSt3CDyL+NxFdXLzXesVW0UGbBxU8aR/VGLqjrAA
xGjfdo9KdzCjcykpJMs/xebg1cJJK10C0msIw+ADmoK31WPjUKteKtz1lpdjx9UdIb1JRbxNMg8c
rd361iwvSXuYsWYkXYYoCj/mDI70KLXwRh0xvdOEwG8m9LPqay8/dsOlpS4wblmI2+YJp4oVz46c
b8reiRaXNz1O90LhlL1tsU1pjRddtAl+U62LmDuadc5mBTCiY6i+IN0FiTsnXmHeV3icQ8+yHrLA
Yd+F0NvpzWwjToe+FPBYO+KY2NbkJyxqOZAF7WgRlxWZX3rWlD73q/Be0TeNcj8MSOhKNpbvSlix
hDiYybJh175Nkjc3m7nfCGCtQAYWZDpvLMmNhpdMvTNrPxzOPUtQusuSLZ880TYh+cWFE+j2XD8o
jJf8MQi/dlxAezWTLdptuz9ZgVcG9tDtlK+t6fWj2wjujCZm3ltkHs33kJaay3JpJqcI7/J8Ywh2
+CSyWEcXvMpMMsYTmKalvxHZBNxrMy4iJ+Y341YtZBdVXBXdZjnvJik8IrJrj1qelLnwKeTWK3Uv
ww6S+Hp6pBcsiFt9Pgupjx6c/5lsPsAJI3zKZSv2LoOEbYtqT8AHYc22jvYNhVmrUkuyKRJmkk8t
C28vJIoRVb50mHE/L1SFd+jkhGLbyA95dkpMn26eOH7tRG8GLMgyne5wVZvpeX7uzKOab2rtJsAa
1XoGKN/wpIm4+XiKF4SeGcDfMPEG0xUqX18xXOyQN0Z2ldtTq2Pg7j1uVFj26FIN4TZQkcDv9dk1
ZXbjW0O+LPm2se6HkQpj+wo1pis2dbILsqsEsHEJz03OXosF2ctzt0aBZ9hm7s+li7a1wVU4uJ34
3Guk+aDHqbfF8nVQvaR3ZWnXMjiyTWugAven8i3ReFnfEmE3aqdF2BjmsZr2gdC78/yF26GHJ/fQ
Nx8w/M+FP0f3TeuW35hVDWGjKod6vsHGPZqP1vQY4puP94V1V9ZXE9oKQCBzB/y+Urd1cAqbh9p8
0ypPS7YKBdPaF+TQsWpHbXZjsTFVdzFfg+Q9jk7KSAeRpfje4gEOSeSbOjw1jeUK+z/zoNIBBwv2
c3quihnTnsw+V9pkqq0Qx+pwoklmn8Wv0DdJkem8Q26Lhl0137OK4Oba00a/JrJLFG6i1M9gVdbG
tteIaVnMDepDx+w2y8j/tdfVfVAca9mN6431Ps93Vn0zUEAxLt28zcStVSMJkDdYzTyh9+r826Bv
cgG5Y+oOHB3rl2G5TGwLxI2l3qdsgQz5Qcl2ov4KfYQ1wzBvmuacLL6m8CYstOO/5gledwTFqQiq
6SPSLonxMGivkeov+OpEEPWXudg0zdNinLsR0ebB0Et7NG+W8hZxAoMlL52u4dixlUxoABxAQ/Vt
FiG6Kce5ZoXgoOwWM6G4u1jAlzc6Zf2wxDSwd0N2W0rf0vAs5X7T3Yba4k9QZjJknHl0M3BaSxv0
s8RECqOn4A6JQ+x55nUhp6u80Zr7Wr6OyTus97D1Ktqf6XYsp82sCThbIC0vt6O1EfTHZH5p2KbF
U2CXnGqKXZneZOyrBBSvuZs01057aWtvQbYZNXgvLxF6Zin4ZqbgoPZjcBynN9G8VsI+Zdenp/ue
2aGsFcivrikc02GbZ7umPJrTq2j5beMP5f2CtIPZWt/JBgjbA0+iqe+XCiQs+eizeF9kXxLBa61N
0t0EzVEFQCiLJNvHH6HgEahex9v2fZgOYbiFaLFIB1wwSbUxavyMpHzKLjripRttk49gxI4W7WQI
qyzK01HT3KF8q1MAOCxrp2QA1rwZux0ztWrcVGy58k04QZ2J7Dk7T/mbMq28m0czuSis0IVyZyrv
sG9sod9Z+S1GlUqNgH8zy6uPA23KUvAW6aRwtBZeK32FSm0KAECVdh3rDujQJgh715C3TYGv1s9y
tlJexaHMFL9Y9UcfnhLrKS5X3YLXLV7XPjb5NzEYOZmdluVmDFyBlPV5r/MRFjxHzZ6DiFVBpALp
J4+8HNqRFUVhfhU0qgY3IwWV3mLGNCcHag31LtCYfKFdmftKeVGXO3kZtoX6ElfPoyW7lpEumzSd
Ql5FVd1JJuTW2+9lvf867gCh/o0U97bM0r/KcNef+UOGK/1LUkQL2SwOeGRhBl2EPy0gkoibA3q1
oSt4KCiD/ynDVdDtUvymjbla8WgL/CHD/SvD9R/IcHHw/Vzv/263AzmA1BejCbjyT12OKDTkcBxK
hRkboTeni1KK/TFTXqQqc3WcRCN4ZrfGW9SuJqMMt1EylT4MYoFSDe40Vr1mNSaJOJTifn4kYfpL
zX4wxcGEB/o1ogy0rNYmAY+TFPRoV6W9KYjXYDVBDb36tcQVRfTiscElVdUaaTjBpmtBja42qng1
VI0Cng4cVtYs7CMcVwvOK7CvpT3gxRJTVje8WQMerUXTHuoyIA9m2EF1haGcsPdr8RRg8AKhN+Es
60pWgAypMX6wLhw567XfyiZ8hLVyHAIOmmZl+Vx/uYTmLCMSM7cpbjM0mBCo8Z+FeY9LXZDY9WJN
W1aT2rDa1YrVuDatFrZ6qHZjlF94+I4AZ4SBjNUtXk1v6bysEozsm7Ia4gJD38g45MrVKgcxxB0i
c4Xp6Q5F4dtcMQ+0SAx8Oa3hjKvlblCVkZKFcOxWO57MXRf48wp8emoQHkx8e1M/HQpTZ70vRtdM
xEtZlCcRp1/cE96hV3jzdBNXYgOYLA+lY4U1cMIiOGAVbLEMJqt3EIAWyJ7VT9iuzkJB5hCTSeLL
hOmwmZNXERNiv7oR89WXGGJQ7DAqBtno5kp4qb5P3fK1XB2N9eptbFeXoxmk0k4K0+fUEIiTkvIP
CW9k1prpzpqZVWO8k4XC2SLBTYndgTO2WNyNq9ESAqwI0AXzpdAal+a7H7NbrZlmwSEO/St+zQq7
gWZDGdipRW2wm8bVKXemVlM0Wv2eyqTlykFP+sXjHgXRUTVIuKABWSVjJcEKnfZN/cqKt64f1dPE
/dttSL5LXFvPRggt3TLaGjhuIGzThSqcqac3g7y0MmujRCk7C2L6d5KUFPSHstXgPNVk3+zhHA3T
yyxpIMOTOVL2oECCxRenuH7Wgj7H0EpJV/sQ6GVOdCqyHH7af6fn706J1Vfwn50Sp/gtZ7f19vXj
r5P0+pN/TNKw/9fYGUsieGa1PTBJ/jFJY5dm3pZFOP6KAo2UBv4fk7SGhc9CnCWrEEdWu8Sfk7TG
rG+oZKDgqsPp/898ep/a95juJJL/VrELsBls0Z9ak/FohTMk59q3ZDiGy3FMysc+rc/Gkt798HRY
q+awLH50O8AV+Gk5oJXDS4/LWRFR1qiqLq7LxQ999QabWD9KUes3NXYzk0XJlueq9ZgK/XrsP8Q8
thypkQ40417KNLouA6sCMvWYObZ8yYvsEbehnVQYB9UOqZGil4aXhdpZ1qLzHOhws2KNjoxySUfz
oVfkuzE2Xvp47O1JQ6IkWpHoFFU6MEetpUYQSktbRCtj72ga+XHS06+xRp0PKMo1WtADSjlozCQQ
xn2dExets6WzNCuw5UU9CK3yQW5LyCG3uYSV0LmiBk+t4tTSTjLb4ww3x5jr1iZspWtLmnE1MImp
FRYTMYqdMJAf9VzjDKk+TR0Ayi6+F5a4s9NJflmskS6PAmczSKv3qYxfQxTNWHZheAVTs0cH5Vui
8YFIt7U1IGFSbOYYOZTtJAFECcebWqsexVx/NdoSiiWQbDsr4zc96U6FKT5oUvbFKrQnM07vg6V9
q+dVtx8FGQ+VpOfOkrxFKe+aSdzjis9o/y10QgfZV+pBcrOKM2LWCjcsPl+aQbFsVZ4y4JvNDfUe
zhWCOnIbOBcz60YWplOGnw5E12Guykuj1VBhtdprlHgvT8ZjtEZAoNZTvdwKwUGXHCANDgKdQVm9
MgpH5uHA0NpEin5fGGyagzz1yyjYmVYw2JDqro3U308qx34teBLagPl2sfZSfW4xJ4bmpoBXLpbt
aS6MZ4LU96rWXUuRjBf0CJuuoTw4SETtJMENePW7vmWPvBjxYxSMWEW15wbfmS2QY2MnERY/Qe7X
0/2DIbdvoRryFmvhU2Oqu0zuShony56MiYPATt7M9bcqUndjI7MvD59U/PY+6TorcYZyZqfTGInJ
oNmq4O4vRgAcFvQu5UFZOI41p9okmcyMICAxcpOUc3Dfi/dgyzunLVFHBHpef5FygO7mnDaboSu1
09AWb5ZCXa4O9KPYiATe5GW91+Vm2kQpvsRCDbdKbygHCDUVlYf5VBLMk8j0FGJxVo61zorl1toi
AitFLMqx1IiJIQpEj9ICdaZRz59bXbsTmtai/Fh+RJJyo0rI7suJ+juSNvyJZHTY4tKeW+iEtm40
J+I5tde5CaF/InV7mYbG5L4s7RpLJUGJ414b6A2qVXdXF2hQjNAzmgVFkY7m6GunWHlyysZacQOx
HcMvstQ08l3S5EBE01KtHgwygyjzBnp6P6dGkp1kC3CdQ30h11+WqOxey3RpqRUt6QLBLlq5z8rg
5QlcenJ/S+Oo13Qzc6XOscDj9i/1vnKEJJ5O9M/3WkOdt5QMxkigXYcsuwJgPAcTKHxZiYD4mU8c
piY/ilvZ1SUBx2qUXZNIMOy6h0RSZ8YjkESkH1FiAGisBLpJwj3kqt6R43+zYP57YFpT4f/ziuxn
LMbtX1fj9af+XI2/579x8OHY9HPemIT/XSPZAkDIelL5YyU2iLwQMS0SyMdS/V1f+8dxSf8XHFCO
PRYxrQBK0PX8g+PSd7njDyohNuxMPaYo4RJQUJ2an5ZiLU+CvFBkYi10vWjvDCky3jIByuBbsFTa
sgPzuwhuEjZ31USRY5QO1Yq9T1YAflKON8KQAGZc2fiG9rpwxFAiJC65pfj9itHvppmJc0XrC1L4
riz0+mHuhyLzmQTdCRa/DJM/oH2xwOjnwOlOSnxfW+GlI18GdqjbZeKbZHVuGEkH7EuXNJGDS9xN
pfWqVEZk86wauMtFg8KCyp/BccBqaUsiohi+GEEEfYx5/xtTfkx9BnGFnlP9qieZZK35WIvt/JRJ
ZZm8jBJLY6CmWwIc4t63pCQFx0n7swLPDMQ08+a2qp/jaKGWJvMR/22Z+O8AWlEQ/3kAPRZQ1/46
ftYf+mP8yGw+ATuIKl4JXlfGyR+bWflfsCjY4XLeN9hRrlvgfw+hNf5KBcwEGAqR6v9ugf8YQvAo
GEDM85rJLhhU/z8YQeyCf9phIjMjJmDdTGM7JnqA0fzzDrNf5NRKyznbzqJR0CFgem7qk7pkb1oa
vqczB3CIEXQ0GBhDETSOoKEiyGIm+Lj4wgrtxJG1bzgjD1V5xGm40fTJnYh+yfSUhDeAb13r1EiE
FkQTEf1EVFSt8lAZ1iEkD8MsqocozPxAMlleV9QXJjS19fVx8ibCT1DzbuS1BYN6aYSBL66lh87u
y52sAuEWNLc1NbssDprQ78Uoe6g6moLkMu1z1boZh9FPe8XT69StNOHEKdwPF9LqhthLxdaLxv1Y
S15kdDuoNU7HzrCv6WGP9aPYEFwSz5LfZuNz30lbzdyPReSHgfGw+k9iZD9x+bUKLj19zjjIDpk0
cc5H28NpfcwbX9OfCDQ4aIlqAxGiMClsW6QROpVjoao3mLBtkYoGR9bdSJhoJEt22bBxrw0eMjyH
Sj0U+eCM/ZeYfnLRX/Ou30ziRAUyLpxRKr2FriAExSepSpx2sW7KifrwELhWeJvQwYTdBFbALwnl
S9vxbIrUJBVro0RCu0FkLgH5gNYR4dhp84y+reZlPIAUT5kcEKoDrF5Mvug9vZP5pTdQj830D1oF
TRLToizTIJ/9EF2BNJxV8DqCVRA4Ih4m4TVfFC/IF0emvVeoxY50CAq7k72MoC25ua0kSucWnGEV
6BtW9UAJAdzlhDCQkoX6hU0UyAUCfBZl3GWUuwgVEC50Hj2ewV0yrbtfMTGfs6RcSD80zPxMmUH1
umBIZc/oy6e+oWFrlDE4I1lCQhRSMx8y+tiyEbERplCMg/dDbRS3X4W9Y1ZUiIEsT1mCO6XSOTFU
Hramrb4kr5k2v3ejQiCRRXdVS1DLKKMjxKFmB3O/jYJmhzL5VLFBDzguwRaNbUFR7SF8WJuvspjx
osVelB9k6hf6lJykhnLdEoEkqT7gXfnERm4C2oep9ZihIFmm+mYccTZIIeBimmIdcI6w23ciwPuC
cveocsQSnYFGq0rWrcbOtuuyu3LsnEDoTl1vIAaI90Q+3Uw5Yoq2xIsxnJuAqnxaberC3GkTdajE
y/LwOPKezEm0ySlpVy0u81F5MbJ4I1AeFEnrGZWzHmTboLlLi4JDzm3d8FoKjWNO7yGNWKEPnCVv
nLx6N+LFVZoUnx6R6N3jHFKcqj80sXyoatjJde10reYJ+LbUXr4xuuRZkzUOP+CfyHGCpmSXiokT
CTdF1+eODLQxaJHuZOFRE9MRkdhr0xJgBaqvliliigqV/nt5fIyG0lat2yhtnDYAohFeFqNEjykj
ozplk3LI9QvHlsrOO2RDTeFF7WMWaZ5eALOX7gsGnD68NyyvlIEPWdTw7vZOuEg3qfLFVEn2oQEx
Vu9RXHoUnlB77vOqRmY1+Ircu4Sa22RIOGNXOBMn6CXTt0q6MWJxYw7zg85Fg3k70AAZYPAEaDfH
+VujZUfFKE7Uyjjbd7YxWWctjndx22/SaHxTIkKTQ4kZdnZ6+q16WrsT7ZdC+9KGcGzq3coKU/Tr
2DZECFm0wIL/VcT/d1lfbUP/eVnfUqjKul+t7OvP/bmy6ypQD+J3PvcSlH/RZVD/WKF/LFOxskN6
VCVqOxD61i3B/5Wp+CsFRwjbWJj3kqH9szxeknf/urQrfDw8tLB+VeWzTbMahhYB5FhuqeLrzOGI
FXK9mjYaSg/Kpg8Ve1xPGPEwjCOMbMXQ35G1I86JrHOoY5VuiK5BDWI1XhcFh6Bdrom0ZqU0WB6C
JEJJNqRUhwREMG1Hb1SeY3zjUnKahOkNT5xqd0EAK2f8MAqcURFLktQmnZ0HxYc0FjCjRCTI1nSz
mFOEEDG+K7ppI+boldvptiDIu7MI+0L+QVTdg0ZWhZ/Esa9H6n0eRODKlUVCkjpxX0xydRR/lUbl
NZrqS2ouprMo2ra0lLc+pVGZdcpdGY0pmlmzBWaoowziDvKlrWjITYy18o01Y4L6ZIiQbfWNGIs6
fPRVjBxJvhrF92oeuIU2PPWTeTFEJbUpB2D6TSNXjkQ6Nr0XjmXtQ4bi0BvKz5OS3gi1IbuJHlxE
qb4WgvigJ7l2V1mhCepH1yptoixE4qXTyMkmVcW3OanPojTREzeqA/t+1pNKOgqVeYlbHQZ7hyg4
lUxxm6TZ1gi1vVimz0MTI8CVxKe+In2uElCEkpiUK8W1khLRUVJEl6Q0vKt1fzb6nsZrdG2s5FFu
a6T7AIA5ZB/CzjpKCbikDjoWUojwSSf3w0G4f00L+TZLl4AKvLoZxuhVjCd1H6YBCPii3hdZdimW
6tusCr09SDVJUAssK6V4WJb2tqvFey0S6Rknyw7WvaOWleEsmvgiLTKQr+W46GDidSG+kTuho70Q
kRtjILfBXHFHts7/sHcmy3EjW7b9lbKaQwY4+kFNAtEHgz0pShMYxQZw9H339W+BSqYoqknTG2tS
tyzvJZGMgLsfP2fvte+yfFjlHZMVu5ec6jYHZZB+JgzthpnLGd/1OfHJ8GCUhBFS3XtdOTxlXbKJ
3KzzxkG5tPvu1Gq1eJ0OvOnRUNzJIOrYcJ37PijECYy/T64SokUWktSADgSqL8tLu2k1vJM2rGyE
A2XenjlxkXvlKE9dsFdlmkenLB3m+Cxmz+iKMzdyFljZomPVMU7Tu4A8WWRLcX+QKYSvJEHSxbhO
48qZ1PshKVGylMq6Vaa1E5K9HfLlI5DgmvhoG/0tZP5zrREAxXRm2L6CscEcDzpuOS9zMrTrggBb
+zLF3CB7jfQrBN0u+ijSHaTlUNO3aKU4bFO13yc+ZVuRWtRp3CSFSlnemS0QNsi2aHdTQx4sZnBO
41/ykZyXhr/UEgpMkiMQRcxL1SGHtSSL2e4T6uRuKtZhVZ/lmbzzY0FjrHGuG6M6VgCJPe7fDIvk
KTxn6peE/L48OS1y67oIqHOSlr9JzmlNltKcWW1zMGJU3R1KFqnOZoxMfjEU/ay2tfYr/+LviWbS
/fjNifaUPVbjjzfV+adez7N5uAKDcO6kmHNUC0fT61V17vRY5KZY9G0AWb1JoRNk15nfR5X+Oxy3
PghMuvACwMxbOnD+P7qrvvPCMXhRYQ7wbNPmzIV69f1Vday1wm1gd27SqPUJiqv1cB87Ro4mM4Di
DrM1CZFB2RSkpZbuB8VWDwk4BHRWY2fme6UzmCbAwwuDi7g1A+ez0XHxWNQZ5Rnyfid1nEcYD8nK
0WV/4sw9lOalnTJG8TbJFO55XVB3w046wDxXESptIypoZuqSQHvupFlO3kQSFDaaO9EQidRMlHMv
X9vf93d+3X79/l49canNk6cf3+D55769wbyigKUcw8Yj9hKW+O0NnlMVSES0bIQV373Bzvzez0wa
F6AY1mB6JK/NljmGaO7c8ILTqTGtP8tR/In/GD6UQ7QDBaMJ83vuxryZ56UThL4hs20U3WN7Mem2
ehuLF83aVos+lyqKrlRRmlMUvpWK3LkprUBbmWPoSdGjuQMrw3zGpXpBCL+OsRAwpaDBz108V8+r
RmwxoiDSCB5S516LLTb95N51P1NnbMruWDTQAiN34c5xKInTAC+zlnpbkmYaeGF9YUb+x4FIac0M
N7rZ7MNsYlhEvSCcbFs6H9WAZBUjzc/dHJWrjfCrn1NX+tz1ElJrUmEsJkVZRzEuGyIDdD94DnR1
Pc2+Mbu/6ULoin28VNp4n8OrkcpwcORIfl65tZFK6hpKfQLOi/R6FNEyKuydGGke4Q6obKiNzUmA
o5P960arPo6z2pVE88E0s11BvC2ictQPsWpyJyZcgtQDUS7RNx4YjN2YrXqsGkOuCc9diCH9HOb+
eYzkLEN1ECOGI5RG01OcItxsx5L4HrJtjW6bVwBb+sHEViMpehB2RfiqMgtInviSSuOiyElFSDGW
yXKVm8FBRiQANOk2Nx5CAh4mnGeT2twUaborYYrWmr/q9fghNYZ1jvfHROzuuZWCSYR8AXtaRtpw
ZvjiIg/BaVNNWfW4gy+wYIizoN6gRJyDAjR1l9Iky7TkMBVokcVMI53sgjzBZJ2S3jOQqqh07SrE
SVnTWEpxMExxQIZRX14Au/UshRxm5bOs3FMZjEi09bVRDKROoeJwsBbjIZCMs2Tgn6Y0s7zcri6K
OUeIPKE6fPSpjVtBcEM+rRLXWGemfiOGgIBNppGFiTvkHhoyAmhtUY0OBSgXflEvy4L2XffJqeHH
CpL5aN4Mo4HxvTYwA/iJuS5n9aiLfxHe11F3zS+RHm4UF7Unke49gdWFKRGpu6to6ojAPW8s7UtX
xXej9WmQxlK17hRykwaIolwfSECh2gwfzSb2kkGssrY8+uhHIx9ttO5ubGILpGWvW8TRk1kdCmwI
JLAsZRx42I89E2fNJLaCvKVePII2I7zponCjJcx+jwg7L6XSMZ1Ty/msxu1yoppLrVvUNV6EIEnq
w1ORHErVWI/N0Sl2/AmYALf+cO328mDKxzYVkGZ79JSMdpNbGz6ujnZL1+8DRpq9gXsN8UqTfmkC
e6vlyVErw01dmFz0UYjp5zpdtz7uLnwxHOMMVVKsMoU3MMxGydomMrDSXYDlxYmej9upGuG21uPS
77UFZg2xgNn+SEm2c1rrvAvIvjKndTGTJYq2Ru51nMQ+yutdPQ7rLhzOEzWGhQS3fcxDHJxhujHD
YaWNNZNKwrR9cW3H7n5CcGkoKFgjWCBsJIjcgyAU3iCyYzz0jC+slGCbQKWYbOemcmHP+jPnQss7
+VVA8festEAy/fqs3Mokqb/kFebe8Mfzcv7Z1/NSfKCYI1v4a4oA59u3ik8wqTM4/NCHzCKUN8MJ
svk4v3RopIC0MZTrzAxez0ubkQa/EtyMNtv3qRP/YDoxJyK/pR8w35vb0BpTRNoXP8F1mPVQAmtz
N6kThhOTBTtzCafOR6QWeacb3NZ7owqOioU30bNe1FyyqIsjGfRF80kEbdLvUQRyOYFggqsU0YCp
XZhZaJg3JPeGH+tG5UiT6ej0ewJnMPPXnEqf8ypztmZVm/siD8StzfVyF7S5qy6boGv3Si7tZZ5O
2lpRjT0BRwHXWE6WXWnBYNHVwTy2o45tfErQuBS43cLRrDGJVFzggqp5aq2Y0rTapF1Et5c/kylA
ezDdftAXUQU4sk7YZ0tfjVd/q8cX5ZmLEuzXK+KqTZun6se1MP/U61rQuMewFBxUvrPS6m0Gt6Ax
xysP6Wy++3w363Y+QEEjq4wlgigNmNS3tUBIx7x0UEQi5KXk+6NJnaa/u/5wi5qXHE+w0Z3hM52p
bG9qx6lwaNSUubvJnO6hYZy7QKV7W8d+t2QIr9vLKeoLY+UAZ8v3gUuf+c532xITQgQfcFoPmizS
Q06YlWuSDpkwQyG/FlvTbFJGfDpnFo6XSWfBvDEaAZYca7jeBgFOYEYmU5ztVTUYP48KEyEG2SfE
EJ5JH+vuLF2yqyLBrmWmK1GWWARz+ZhmY7Q1B863uukeNbQgNDyQpwk7v5Ju0lG6lNikg+bW7BAW
CQ3hWOdPDMwxAAJZfShUk0lfUBD+GNhXeeaeOCqefamXuyYrvoyMDKg9E4jpbeygex1OSR8/jRNx
R0ZRv24Ti5gJfyJpF2mrp4n6NJ/XZIilTzeno1mQPBEpKIzBPmS2fyUJy+1T5y436icx8yEKyAUD
wIhu8E8IZzu0gCQigBI9YAl9JkxUM2tCBzqhzVKcMIiX0pYIfQPGAfWMqXCV+m7SE9xhlSo9pS4O
HTkppkEWLheVFYK7Ywn1InDpPJI6cdmlGiDj+KGtyeeYQRmm38lFhYnKa2eMRjsDNXxz0jx9hmw0
M24jVeqTvnbPir7aK3WdraoBmJkLoqOeYR0ldVwK1aAnp3LUBz9fo3/CxZOQlVzpuclvQkJLBFK5
tmZZrWOS4f1313nZdWbB5q93nXPIJffpj7vO/FPfdp0Z4z1rU0mAQh+A8Ob1xjofzhZbDuFM89Vz
Vg68KmzcDwQGYEmw2A8stgoOztcT2P2go4A1EBzwHxr0zD85gTWVh7w9gtl1hAFRzNQBu6EDEu+a
LnEFqrlvY94yv+jGo97ExnRUJ/JaEkM8Vq1k9CedvTAyzrysEau01PNlb5N207j2Jq3oPA+GjkOr
1oaHJB/CYWEY01UgleY60iymD24+lvLCUTFVGSNqeDfK8xuZKhtEE5gVrUiPbLJN61bfagpurDh2
1LXI/fC5YlNchZllL63OcC7r2KhxEnfyOrHw0ue+b97nfovqP4sxLYcXAiHhrkAId6knrekpvVue
6iRpexaiydqLXULCKClE6Hox+dGRZ5ldDcGjio+dMQQnSP7K2at20kZRsFTGOba9JJC8H0E4cA2a
fVPFhVoj7CzSaULS3zTLSG+XeR2vOgkWzogmVEd0r4I4vZxybQ/7cGnpXOOEfzt2FlG82code0mR
XdwwgN0nfMneQA58AYpzUxill8vkdApKvPC6J436PGKDT/RA+chI2CLuohADJvescG4retMXmqkU
l1WktEStl7qFb1y5KjVl8lqdcYiR2U+QVJaIHTdcxDLP1HukfITQIx1AFfB3I3jZCOawzl9vBNs8
SX8ms5t/6nUjMD/Maw3Bl7D/Wbf/bgTWB5Xlh1DHQAX+VYH3TSc0S4Eow6lKZqEQRcM/GwHTRJar
i6ac2pmm0x9VH9YP2wC7DJdKqnpqfqwYlDlviw8/VxjL67G+bWQYcEmvL6Swr83QeLYq01lMuY0b
MTh0vn1PdMWNpY9L1zfOOhSphNcpjxO5A17bjDSLdFZHZ3XBKm1LlHVZ6uBhda6mks6WClhqmU/t
DPtt7KXk4HuO2SUuer20llPNfbkKuuCSknrodyjjaTyZ5hUTvmgZB6OyqPXkVJLifT2mQXYQHcIQ
32fL8Us33lqNghR8kniFuKCuyNvs1xG/6Q7ROKkulf9cog33+gD8tRm1xzQfdk1us9LpKaw6DJNB
KhhwsYGCHZ/qj7UJIUtHKd4TcOwQX5KicAkqZ0H+aDqdRH4UdGuUK1Je/11HX8t4TrJfr6OP9zV5
sMFPB/MzxfXNWiIc2LKETkX/0rX9dy3hEnH1GdKP1J//yZuwDRYMocLcXQFhvdxeWQPf1pLuIIDl
vNXnzrLzR2fq7D/8/ky1NINsVhwp8JNpV3Pmv11MhZFlZR3VYpuQSbdE2oy6KzfWWt7uRZ/uEhfe
QIH/Xo+DdpVAgvLyuLlJ8art7AxAJN2SaiGlFoI1aCqyN6M7fFtnemth3bYnubOdIlzVVuZ7DJE5
ayozu8g6g9h1YPZ6SW0aCKc99FXQT4u+sp1NwXS+/qQ1OiKtoBwRSxHXo9W7OLLi5aj1uDnGIrkh
iuZUDVrUSC8rjqWX22Rvly/LUdes4FKd12if99YymddtNK/gal7LxNIY69iRpMLNKz0z8/NKqcAh
pAXGQTnhi1WhlPWiva2tfhXC7uryVPUEu4dNm3Hhs5+M5rAs2F+myrwv2G8I+Vub8wakZdqz1ZrX
ovVvg6b57DTxwcAoMwgUT2HP/b+wHx2FXFoSz5ERzY0olYsPN4uAvLb4Y8QQOS9ACtBcuA4C/9a0
kgsaxeGCbDltYVXjuY0AuIgmFxBH+dGI3c9BWW+HwfnEG4WPRiEhtp70Oxqae9PXDkmi7TunfTLK
YVrUJe3i0tlGoXPQG/MiGfKHNp223B9ug4TUWKtCQRyOiDOaz0abbZNRXPNbrnT09svBju+dXn/O
hvSiLvlP3+k8Q0SXoYzsZcTWFhjyJBdoFYCL3oR5vCKQjl5DlcKpaDKokLn62Qm6E+wuu64wTnyA
Ac7UjIvJ725Ntztpc/yUVSf2cRocQsc5hLUCxGca4YHQaoGG4hPsy8hr3zsT5DGp3LmVsTF0urtt
Zj8MWBi4inlxX53mrW1tCrW7F12FTi6r063ZiItACUqvLpTnrBwtuDe09DW3IKHQvh5Dm09AvdVn
cViADz4yQOfIZB2pLIWiX5VxQ7+8aPdNKc76OE6WfzfUlw11Fvz+ekM93oNa+4l+ef6p182UxHWH
+oPmGjrmr77o1xsKO6ZjWmyyNqM19lI2stcbCh4AS8fDh9ma1COCSv/dTF8Gxhahp5QSzHJ1rjx/
0iOc2x7fewAI87NfWjdzVpLzbjNlKJznmdD6TdiOjGmCKsQzzQzWQ6nT3bRum36C11wIr8gNkIpl
oME7cvrhnGYKzKaJFrQs62Mgic7CaNbuZGe7/HOIkutWmApohyrFc9xXKJRaL7Vr/M7iSDeIYcCc
j0l538RBeazbsRkefU6R4jKMFStnMFJVzhYNRTbhvdbhU0RFZuHQdcAG2kVcDs9+inxon+qjaBHw
1DhlClP9mgDztws+ByT++t3eZY/yPvufS9n9rPM3/+y3NxwNsMDdApP5n1b32zecAsKhgCZGZL5N
v3nDHW7njKCQ7NFDn4WBr3dwuuC0wWnYcbzb6PnMP3nDX2rr799wOojEpRAwqRK87c61+ZvGn5t2
VRO4uFxUoG4OBDdwgUQNPbecF4QtIs1lRtkFXcMgMS+femElDAGLGL5OVZVP1sSkkAyB/tDl7WWV
ukNEeG2v1/aKDkK7nwI0Co2ftsxCifQlye5zCClVIgfOVWabuaksQxUdGSnmfgliSQhSTXJHH4Ob
WGEEdP13K/7aLPrt63p+Xz/8JEOOe9u/7+nLtIYtExXMj/mlWIVRj5Ivo5KqM/tPXndiguKowYTD
NfBFVMqd8/U9nQc5GvMbk1sn8gfaSH+wE8+doDev6Xx7xV7Na+rwntK2endF7Im+su28B9k8QvPr
GaXH68B+osDy3izj86+/8q0t+qcP4h4M6Z6zxX2fASfFkItKwl7u1HOrRp6eiGWKgbUZL37/oJ9l
N9D++vYkvou3K09R88EZALVsU8TpVsJl00Udn3RbMTjeAN0n8d0rvy1VTwJHXvz+6e/X/dcPFAEv
pnZmEshWvn96TwSoMYx8oAjkT7pdcEjO03vASGsEnctp8eCc1Uvb27inzaI8EWd00NfVZbKKl+4O
LrC5/P2/zg8dgPnrffNv834Xgq4RuyGfhd2NF03ebE2UJ3E0K3b+3aN/8uXOf9T7t0jXXCTVzBFx
Rr3rN9aanvtQP8HVF0jw8ZyK7D/iymZT4PsnmOY8QaECUZmlfP+xTlYd478ug61mf7FizSuHi7ST
u0rbOVryH6/qfz3r3VcoIf2ILuZZ9E82kfVFQ8ljJMrOdGuQfle//+h+9g29/cPefUNFrE1OMvKw
EYKV6sPRA4lbshJ//5if/k0WrSX8Z/jJXhbNm+NIN+LCTGQebNuo4e/iNtlHxQ6z8mE0xf2IHuc/
HjjzHn78xt488d0yZNpRDX2Rki4ga4TYuNvjAL6HkX7htmSRrx4/OUay0TJgX6aCISI5WBAxs8m+
hyy9H3XfM8xu71vWehgQ+TgFhNfffyg/25OQJbKX2rPCy3n32lZhFqcCCevW7PNlEEnP8tFRV49J
8uX3DxLv6t2XXeHtk+av583HX0wCa5GlKJv0uV8pD8MD/3cR70MvXMY3NmzgY7suw5X5bHo3WLPs
1e+f/24k/8Pj3+3yShnkbceevvWzYJ2bNib/nURPFIEKnxgMTgixfv/En3/93z7beWb79i/2m7ZA
6MBn62oL4xjRRD8ehEdCqbNr7IV2mt5RGt1p3k32tP39o3/2rZJxpcMTUVEGzO3at08esrLMccIH
W6M9kVjUMNKvqPtWyfhfCTo/fdLMO7ENJrw/aFuF5svYznjSgI6oN+FDx+aqYirqq+H/xzfI6Ojf
R717gZiR8Lt1VlOgXRujAXFwXdSHOdVFyeNFhWz99x/iz94YJjVUzxYkHbTA33+IRVVVGEz5+mr5
MSgP9qitC/vOaC76cSnJvPr90352flCQ06qzGILRq/v+aWUzOPTDWB5ZdVYUp4Xz50E1BMd8+/3v
Pr2gI4mrGPj9mv8ZpgYW0BvH/q/8O/qQ/Gu+O6SY7yERpZoiL9h4N+w37b7Vw7j0N0riO9FOMZOB
q2ZSk/P3gjVCqQLiyM7bpDxBEgiKwx9yz3gJaqjLcjnSmJ4Mpw0BY+DNZSYWSoip9YQuLc/qNQNn
2CDFwgJO7aAe68ryXEnlWqj12jISAkwVr63LnVoZB4PCSsa41gr42SoYssx4FlWFqVM+K019q5XN
TrHkLndmbZnr6YG+ZrK/VO3AyzKLTEt17xiDV9vJFkOdlw3VwazkZ6kxF09brBAkzZbS8ipp7Yy6
JB11XJZNw2sJSRtGS9vF27S0l0zAl0avLFwsNWHSniSDGXiVVW7LWFyFWnLEuruemsjjl51bMsiJ
KTd1rDjFrY/bxUvLYU27YBVO7bpVjZVu9Bd0YrH8trdR8qhA6y9HLVy7lfhMKgt064CPqOjH2zEk
RW90CYmHp/ZUCjgXSeiVjsCyUGyaCklo5zzyBXuqy2MHf7qelXNT3W2mzFrk4YidaVxHhbFQJudQ
N9DZ8RInoYUUbxrGFTr2m8aBRluTU5DI4jRFKKqlBC26AMdH8yxztCM4Lg90B8YJ3Eah9bGth1P2
49O2rC7aut8aegPTx8V5a5CMQAyBFHcaVuFAuque9Ha4NlDk3WVcZ/vKbdYBn4M71Qdia4/SQdIa
8Tc3frZWJkjckn4FWKF9XEPkqgaY3R/55ysz90/rdvLsPF7jIdlodXAo8/qsiKoV7T7gle25idNG
xTY2mdkxHYB0EVRTWfCHs3g7hv0qqPJzfUy8WpAToRKX4dpfMI0sGxPee5jGzwOoD/wk/ko1wF3m
3aFv+sMAzaWQFUJlZZdZYBozQftWX7lFtGTqvIlGB1Z6eRvl8dLpwUWWvB0qpBhyCsCX7JzU3Air
2qigh1sGs8Vk4eJGfena52pr7XXe76ZTZovzpS9Z1LxB9wokzHDO0oy18DzD3RVALTYz1hKO3qHC
5VsK1FsD0Abd59xPY7APSgro1Yl7+JKGuZx8Z5e1UI57vTlGqbXoyniXBkixFSSTAGyKVFxpk4UF
D4El9uD9lI5XUT3tzay9TsJ6LSfnLg0VZ1FPwPO06iRWp6Vj6fupjW4Loe7rJITFUy3SsdvltXOZ
ye5YxgDhSuIXnLS6gJRxxgisLC4bYHyEdr7sun9bTLPJ5N/ry/K+uf+fp6yRzXh6nz793/+e3MdP
XM9f/snu8f/+l8s386b5Z15bS9oHHbs3u7grsIB9R3+Y9WZILF2UXPw/bz2iwv2Am3P2IzBx/UpJ
eXNln50DEM4QqLkgIo0/ubLzcz+cM4x16WxpDHdRcs5NrLcVjt/Hqj76EBalqcLcG6pw9Bdzl2wl
X6h8jEGn1eQ3OQbqRE2CQ2PNG0Ts1ue2MTWMdP1HPxihUiPkLK5SI74ZIvexiouracrPpgjJucjQ
VvRtsW7owWG8BjMUsWcRtyJDTPW5qQFbQg0J8tlkHCCsra0N8ZKFduI0dk66Dfgwlc2VLAoONHiz
oaciVDIMJ1u4iVhJh7O4HOD9jhg9y/5GHf11EKP0bxosZvTo9pVabHLXfWoKfT92wXkzBKDjM/Wz
jY/Nm8pkOTXooxKhPURK/KmxjJu4bO/cKJmTCTrqsamEnhbAEhPjiGCt346yLtgixCei/y6lQhsZ
h74UJQaCyLySA9KVrJn/J5n1pEZo882eHkFfkvRSdRDgw+S5GKtn3axDCFiwtoG0H3VlKJmGRZ9q
LXrMTINZO+a5Bbu/isgfikKk9aRppM0D2n/rymqDL8MkiZRwGWpJ6zHpgb+0YocviTTRwerXNjGj
3pCBOKsdKMn9WH2OR6tA6I21QQ5xtB+BlK3KoRVQnbGvG9I3cVFp9zGtKK9tg9qzzewhK+xDlscD
MYv1Mra7EHZUVK3TOp5REQJnbE2KTyLd2zCqPvVNcZKlWu4xcmuvUxbOIldJPlDJtPcU5n4d7A4y
fPtOOjqjslTu2rIBq49MLXtGJ9vNurxUxs/9i2wRn8S6Q+dC05HMHH3oezzMUVtivsidLvp6bf+7
nc2Go19vZ/un5+enqv6Z7X3+wdc9Tf+A4nXeMH40WRkfZqUrbRVsWP+o2b4pVSzqZmRp/8yRxL9t
SAbvyFPQ0CL3/vN2+Q83KZv+IyJXNlXUanAkv9/R3A5Ga54hBCsIHmjytQ+dGYPIss12bz6b86/F
+Ns25A8l+suDTAECgG0cpd73D0oDNbfwYtTbNGzwygCr6OQGGOp/tJAYmb3fo9896N0tNEYTqyih
zqy5abRFUBTdQhSQIGOVMX08FNx+6wKydon9SZT5ba4jWotdgSGf8M5FY9VyiUztWh97zUtE5a6H
qHQ8389vAw0Xt82vwfnOftFX48p384+kXV1neIx1UndSPdkoRKG0Uw6pzppTVcwBAtBEIk3lftHm
BswA/j1KtU+BCui3ASUr3QjvfWHRmQwogCJx6lgjxPlUWmyT7DF9t9Sdhti+jp2szTbBEGwGUFUK
FrHO1x4MBxSIVRV7v9LX0NO/VI15Mzp1sCp0Dce+m1YL0aT7Fu2u18syYqgG7Z67fLHpGsNc9Cbi
ol6C4BsUtnqFrCXdGqEQqw2bSL4vNDGihmgPZdV/GnxcaHWqnKYoDRZWStWfRej3mjLYOCOGOStM
TzJQL9HULltyvO1C6xYDVKdFU3fp2oxVAoSm8mwsw8vICU/QhZNYEBvFaZRwSrr+mCKoIFsjBU2/
zog7RYYnC6+Z9PrY9+SIl5YxrlKRKdeTc8z9JFsZXa3cwshJV64viA025gK7ifN1NYQHCI6YeVDo
pYvRDLD82ZDYXdLpGo8tcszJSJwUt/Jau32orGBfCnlN4ffg+lSsPsiwpZKbNeo/MyK6JnB3lT1u
UG16VRStgOocQX6u0qqZvE41L/qOvz0t6fiCK84CmOpDLD0t0M0C6WTjn0GhVO1L31BN/2ApxqKP
55wZdwvvZNTVixlqAmzGm6DRW6Bb/CTcyKF5qstmPSaQmlBXZelVHWIT700+WLESXXrSGdpCx+fv
W0u1AsbkRyupQzfK0tmtvpzSYaE44TKBaAnG3kzdG1cR3CbnI9teVr594fcNRi+ccwlne0C+W197
ORZ1u7BOBvLnptwiGwihBCy2XDX4758NRlxmez3a2snQlms63CuOyiVC6d1k2Iu6eHTV+57vs4dU
PCSPE3eiINsH4YPFLaEUO81CXh5lq0GaK2BRC3haMyRhAVSV1LxnXRAQjJF/jAPYlMqS1EUvmQuk
8RrpJT7KFE37RL5hucgjUs0atA93MTKPpiYGPOX3oBZRq0sXNWnQnBfdZUb5lcXdnis8+AsUhtzq
PxZJvHK6aTGoX0zjVoZn6cyRjNI1aRKLeZdSCShCjb8Be+ANOgFvvbplRLo2Hf0GedSiD/QzDfxU
mYulMth7LReXWhiwvMVW8uEURbnRKwKtJv10iBovcsgmKrGUKskhKmGA9DkaFXMEptXQEwwc52ls
s70Ov9vu8ocJN+Dv92Nt3ge/65m82yfn1tCbzigC5lC1CqvespPdy23z8XxVXZpeePFPV/9veYBB
/zflwcnTzy47/MhrYaABCWACOKNmLEbl36PuBHI75smvoo9v80mQkGjrVJXaAD2cqtI/fJ1PWvhu
EPE59NVfYM9/pBR5aTS+eT9wk1lcp1CIUGm4wP/fHdjoloRFz0DdDAk+lHNUokq3GDvVuoowKB5I
XwnM9Vjh2ZicTZSPfnc+NjKedmY+5ZwPSVgAq9VjQStjYbdOCFOrgo1qjcmXaTLduzxWCu5Qob4y
fX3TDGTNdAr5KC4thMYqVnALDjTJwIUoYpdL1mEQrtxsXHaF5qx08gWlMXxRbPMhCIo1oL0zmZK3
5CaXdAgIgBVYc+xWGDc5++yqMMjKqvo6WScdeTOO/BzJaPCkhE4VqvpjPgRgqYZH4Ur1aAwTCqu2
utBhEHsMxyLCOcogWw6i94pKMz0bW9CqtwTRAFLXIO2iFDzpG3d4EbDsyFWjAdeMoH6SfBLQgrp8
ZSQZQVPAZRCK9YRjQpemiWzAPBvzjC1nUPk3LEnBU5Ky3Zol/r2FkRAcaPX5PleV6EQPpujMjhvz
NEOFs3p5Pf+uU4et79dl/Pl9kv7P4un+IfyxNzH/5OtypexG0O3CfGQWynSX/+qt7AXvJ8U8Slnx
wlF4lROA+2DEgftEZ2V+5Si8Wa7gQSjjTUpvbuV/hPsw323n/Aq8pdTx/DY2Aex132/nhSuR0Wp+
s4H8Uy8dLcu3sO6S27iO9buCXm5DtIA0PxmdrrM2NPq+DZdFxm4GdZ0nbeFv0iahGlCVMIZBM23G
Grdln8E45PQ96HZfkJ6nWO1MwKmbvdppG3Mcu7viRUAWVkm4Eq2CTFGr1QLtoiMAhXBS29lp0sUY
v+UgiJAhPEYUW5foBP1zMAr54M/8kRwQST4TSVK0yvtxUuE1TboaQuEB3qC395oBorY3g0HdCV/F
axEyrBS9Rp9Pi8lnpNenllzj/UKeU8xd/l0cX9tvHCC/XhwnTz+93vIzr8tC5wWfgTba7Kv6rmNn
fICUCl7im7XqVWTDFdZyQN043ANRa9C4+/cQ47/i5TUQ7AAbMLgW/9EhhvnqhyoHsaOK4oywA7iy
86p9W+W0aq+N+RSwnTpyFr84iqXvDMCqz0XZ0Vsq0jyR3oCEYhM2RrRtRwsv51zAR8K+yOaSPkmZ
GQfasaTWz4VJ4LK6meZLgDlfByIVCKgyXxH8+bJQQMew4/SmK+W+4zbhZwYUWMPKW6wYwK1uaPs0
/WokZ3fu8lSR2LZavtWxZogp35WmeYpQICQ1xT41NFLXHPeklMRFkqgdusVDHXQbKNNwc/wjra7C
M+3uqOfVocqyq6xzj34fboMABCgS45s0a09GATZCEPJC6pI4BKF6NnbiVDc4jxwYEd200eS0EkOz
zFIyTaVcNUN4B85x6Tc2eYDWKYT009pWuBIE+5xlNhjisqzByerBZSSzna9b+8oMt7TtSCdRNl0M
1lXXRy9vSH6xtFNL7Qgmr7YKI4TcyG7KhPja7IZTcOm00TrSinXu+juzyba+qZwXQ0oTQuA+cTVi
F8r6JHHyVW+XNO/je0PPTlSpbCG3ev0kS2ig48bMA4p6C8H4dJ2X5NiPdTcjYi/tqWYg0EZoyifi
ATnlYaPq25EMUpWwSbtKzzjdzzJL29ZFtE0iMiWTjnFBXWwUnHKK5u6kNFaGHh0zbpNuop7nY7/z
U+ZoVraKiQ6VQ7aBYrtUyWyMHf3SsBLAmZFzFrrBpg87zwaF57UB/lqSJcgKwEAw+P0SVvJWV0hr
SEOYgEr//9g7k+24jazrPhFqoW/+IYDsmcxM9uQEixQp9G2gf/p/Qy6VaVklL9c39dQWCSITiLhx
7zn7zCD9J8dXwi71bKU9hDW5O8LYGXVduRy8vxCv/sRTgztPrk1vFA4fU+rErqC4ivvgGcW4X6pq
6U0a2PehIHe4T4Ld4IARbhcdJFngjpJflXXxxZlT1A/48pqgvwKH7efx+Bj2VG69ofWnOkTkw3SP
SO0hfUHpa7um2qVrEDezq5vjipfaI+K9pocy35Rmc2VKUXSW5OG6tuorm5GOH4bSlnHqdT3Z70US
fp07+5Al9aNViW0wDY9GM1+JwnhOsNA1NYDjQjoLi+eo1i4qxtx0GA/8wo3cOwe7La8ytTo06Xih
R/VRJ/FG4Re5Tqt/tBrvbDM+zK18m1e8b4vixhNhvNO64TluizYiTznQyG7q56B6lgIrqv4BpfEo
MZ+xqCR+sUHEbx9NO/25dFp+7Pseof8LV53yuzdX+710ImvGwECE6B3JivqZm7FsEgiGbWY3/x7e
/GeTYOLjIK/nv+NK4pRN1/JvKDFpxP64SbDNKLAMQGAp1HHfNpFPR+E0k0OnxHm/jUebEJAu/4KT
dl+QgatW9V0SMxVppnbXpvZVCyeJPkjzOgfjqDxWJbbSlRUhuDr1ua2dJwES3Kzeg7ihVwZSZnTO
XTjGbhk4L2WeEUQmXtWkvORivsyhsxDztfI6iydrDc1x1YzjY5Hr69nu3lBI3c0l2OPBusuaYl/N
mb7W2Lz8niT1WdGvafNdlNC4iMlYd4l0mgLhEyh11p3oPtWU+9Ixt6FUmF4hN3uSufZCtUhIlYx3
Iw6fIyfbtAMDbli4TSAfEfTtaPa9xMF4bRnZqpmLO71vPzhJvat2eJDVHA9WtTOV+K2rsl0VDLcT
C2/WWTd63m6sETCxbYpNV+SbQO3PBZDOQjCKFsOdsKZjrlTbVozbkmjxUevvK7XZjANtqkrsUzV5
gwu5Lazej4RzIAVkI/J5Y/f6IS7FAbXsNp/qnT3EVwU5lZJjNK4Y9L2uiXXPkC1LsksaE5+aDTb4
coLjjT59yyPnUWPr8NuZcVJrLKyEkbaobG0jGFxdml6PXbszzPRtIoTQsuiAdWSFEqlBo3dlEahq
9PpOw5LVR85XZeiuRcin3DsoOxJnZ5vZu95L8c4xxbztg4a4teg418ZOSQlw6cYjIQJ+LJwrpBtX
haOnXo314aS0JHFqxQw9r5s/RNqveyO5taO48huWNrVNPvpsvgCKPMhJfaWwBAYshWk6H8iAWaXC
uDQslcgiLjVLZ8oSmmrEDLOkBsH0aLPEGp14ZPk/NHbM6Mx+V1iKyzbcCRE3PuPJc19Kt7PuTNea
UiePegeQfDQ6c+ck8vwwSLOKG0pXJW8eLMtwQ6EaCaR2MDBdEVY07MJC8fJIp/tl5Faz1YVGmzdk
+AabgVjbUmAuk+KnxABlKVUB1jmypYfM2HEaAmBe69Dwy7IEJyqhxMsKaiB6phik8k7edLysezkE
torXWvVmM72xivqqh/6y01uQsfKgsyOo5PnimvMnkKsoG/hdo/ruZJ04W1J2I0ZgaL0z6D4jsmst
kA6SMc/+5AzvgD5vnFgx/IDyhhZrwPyjguYqK9JAsExCb7VJYBKmYvJaU972ihTsGMbO6zIxOlcx
CQhXFBQ2M/cyBERuq06GrT02N0TJgL5yII43VQetNwxcWG8yABLI6lKU7RSNoQSdDDC2OJJJ8zQn
byILuE8BBUR2lnm5EO8LBC0IiXudtcBwswSfTFReED1QiUapVy4Bg31nEEjf5YQhETyOFRNFBKGq
2B4CNzS7zRSmhJ+O496QRiYP6EO8nPStdRnrmOis/q5tCDumWEV6OTxZE/QRPRX1tl3EdE5gEjk9
SrflBMfYNpqHYipgoSr0YlrshUEQX+iAyK4cloSZq4pv2IwWdHlet5hz1moWPwJ5pL/S8uS0bUoU
b0vUEx/WLq1g02V0xz0YvLUbTjx3oueJ68VIYI1y7NPMw7s87sKA+cIUJmsxdx9SY94bQb6N6hJ3
o8S8o1sHY3hUS+sSUmk1cvkVYvEt3kTHzWiwYZisbwGQ3MA5mX2+ZvxEtdn4itpWMO1JB26y0XaD
pnK2/5wYfysIOEP994Lg+Poe/3QmavFj3wsCDSeF7DC9BFKKVvRzL0X7Fw8KQkROhwYZlIwRP41E
kUUYNkghGhwORcS/OynLmdGkE8oGTsP075LAAcf8WA4QVkf3EywIPif+Qk6nn8+MoRPUdlunzZYG
/hjuikICzzw1rU5uWzQzyart+tiquU342lysZLUXG2mcR1DGU+q1xrjJaolxQSNlW9o2rEDCfon1
+pEouJmOY8BYUtfKtW3345WZpcItF1JzBbK5qYELWsmTmmSHSQKb1S105y60WsAe0Uk2IT8LENAq
KGh8oc92NGteYpmePMk7c6FGj716Sy4WJUB113/jSgOYrvMEMiXI6TkrLiyj+2hhUfMe6/iZ0pcW
TLXBrIg1WD0PVfRkLSTrsY4fOsaEJGwC1ZHYwqQ5PRgL/1oDhI25+X4GjG0DvByy4Rqs0xd9IWfX
C0NbjXXQQmiNdcu3+vq+CZqvxkQ4g5rCdUxL4yxRjkhdvo01xOjRFMt+shC7w9q+GCC8p4XlnQH1
Fqg23MHRT2mnPBcTRquF/z3AL/KisJ+bReCn0Zld5npiLMcXTdbMFWv9fljGf6PlkDOxjATlVsvZ
zBkT9qMir9TICu4mfaIUWSaKMUwgwlx0suXm/sWqymO+zB0DpSVeb5lF2stUstC7FtEak8pUncEx
EAcxEbUhq+WpVQc4CAKBzdgTrDZqaPJCU96nDEHnHAMIQ1F76VZ1jEkbzt2utUxOiVPFW107SBGZ
qk7m9Izl8tAm80T4NAMgRr4rlVGsJaIz0VI5chemtANxrW63TG7nZYarm0KQvhzsupSE8dxJ94ac
NG69DH9NNThHw7BuIu25T7X7UQuvw0V6afUra5LNlZiauD+0fVypz5bSwZswlw/pn9Xwt9UQjdh/
Xw1PzWsR/mQOZPFT3xdDbMFQQpCysyKaVDX8r++NZeVf5mJPQwX+DcywjIi+N5Zt5kAcWTBQKBqh
H5+pgpDUWCMJFNNU/F6kLfyd05GyoAv/OCi0taUlxzGMOTzslKXF9ul05MzlWKddbG+isBVipULG
YsA7ip5escWgqofY7hTkVlZqsSLgpHALBNigSuZjobdk2JleZGqnjvTEQM8RPSvozkKECkVkb4p6
WNE7eVDn4Ohow7sZlRIunGqdN9lOFv12skqmoNGrIYKtHuYbqtiLVep3TaM03izGx9QqH+JcfdbN
4oPN49qZI1QZnSc4PVXG+BIZ7WHKpYPTWqfWkleACb+MoemTYFR5YKe9fk6eQkHagt7oj/Hc1W47
ihM1F/HvA4nq5fDFnCzS2CVSekI1RrpAYk2ehk8pur2KY+NYBHdxaXlxNXm5DYlhlKi67HEXwe53
FaN+nAKKwLnIT2mVvJIfeQXz4VLF0rUuT29N6DxFqn1Fq/1MlVJQl9REC1uXLp6voaxt6hT5rpJs
HcD8W6uQ79pcPMllfOD8vqksoFIcy97RYaNLM45lzlx8uhHK14kWmg3ipUgb0LbyQvFnr+lYuIbO
GNw8rNEYS481SKdRd9rVLMdZ9DEOWVDvHLVXL7qJYPsQwF3L/aR31s3ASM8EW2plxh3gaHDgdhwS
UyDJa2FK6m3i1EFxXYGsQpFRlWs5J7AhllBSo8Y+SVJ+GznGlzGQ7mVGojZMi071SIhlJC81GXqA
ivikFGpdVjkc6b5pKLuMZe6f1ei31eiXI+lT+pqVpXj9Sbfm01yaMTKOLARm8FuoghYT9/f1yPwX
E2eSTdDnLuXWJ8opNdiCVoK79BvbYFmqfi/P4DHxC6nMGCSD0P8bzZrl9/xxNWK9Q7mgMxxwqNB+
zBMuJgym5K7oW23MU/u1JYU7yPPKfDaqwDaOGrcEcgSS8rCeSiHV7wyYre3cSTZhSkqX5F7TOLFx
FXdNEb10ih6v5Hoew/sx1/Jdahc4JnINggqdfSkxfUWDNeaaQ/VeK6mg5Bi7IyEYek1070i18M+D
+e3BXCx+/32bvH0t0Irf/PTRXH7y+1a5iB9I0HQUvntQGMvD8f3RtBA/MDfC//MfKsHvB4dvexfn
DZCjS5fxD48mEFPc3P+Glf4tAC980T8/nDJadNQX/D4McD+cHFq9FpVd53SxCiv6QjTlGHmJGCF/
TkNZhl4pIbEcktAW6wJw2Dspsa03GEaXPrZ2NvsOpp/ipZKT0LyCo5Hm3pzWnMmboUz48VSPfC1E
ck7WPd6JYlqOHE2MExeUDZlsEbtSbDGgamufSey5G6N3WF0qGBnnSQj5usc2lA/T02D1smvWymuv
hga6x3YfhM25MwjwzKriZRTZC+zQNQcL3qU82GnNdJkz4DaAT1+sgdDoOk1fMpkOBmz70dUmwR8Z
56vZkrEV6c9lndxR2N52E+X/EBDulsezm0vGOayHh5jmzlZLymMBiIfEmOw0tvJHOStHUaMM7zVL
23AC3NRAsqUU91Lbf5jm/GilaA5jWO3JZB8sEd/KCBXRtMs98RZU55ZIni1ElW4U6HupgU6eS1sa
fzeDA6STDWpN9x+bkQmRHJKr1G66EtyqjAQkNJUP8JG3eSKODhxAr9CCu3yK78pQu1PDcdMD0M8K
8xSEBZFFC1Ex3jesGPOUniuDM1w4YR6JYvVQSeU6L9WVbc73WlOMNIbs2HfIVswriVA6Z8UtbFoj
P6RduiLX1M/KHJp/cZeT2MjJ726cSF5jk1xlg3I0hOHHrbytOvNOG8eHqWnOliM2DdiiwWjOGsNv
EFF75MIbqI+pZ9qMjuisag1jOJ0oGyhPpKGb9j2p24dc0r82AFXsYYrcDgvTPtHnd1SYEhBHktOS
WpeY6RTnmap0ZSnSrWRlJ9iwt5mmH0Q/VP6cBdskGB7ygX+Fz91LwzCGPpcG5ybWyNKr+C5yHTq0
mZv6R6GaeuV2plAvaJHHLyWY58nTQyMl/62M1okjFR8NS7DmqRU5TKRUiqM2181VR6fgnwX2tzHN
kub7qwW2eRVl+5Odf/m578vrN4SqgQwcCZmtfvPYfF9e1X8xqWfLN4zf3Desod9PIqy8yzEEvAv6
lm+xNd93/oVdBP0QtRoL4oJi+VsnkeVI83nrX8b4Sz+GxRzU+iKd++NBpJjmOOhGB4xWG6xRQVXz
qjCCbHyKHUN8mexAmldx2i8RhUPe9U992zbWbVwVjLZ1IWl3XWn7SU1CBNNH5SLrs3lsyI26ssw6
fKbKbSA19woH70IKDiF68bWZJvMWDHJFwNXQP7VWo68rOXway3C8dKzjzFArJ32LDITlbmdP6oum
Kc8xAnTD7YQaH0kisdMV0ZL6TVvIduo5XZMX2zBVPv4pHb6VDs4vS4fH17TLsp882MuPfX+wF6OF
AYuclWYxgX2GlaNS0RZ6BlpKMpu+Vbu/1w20iigz0ap8p8R8124xgES59S0MeCk7/t4A8k8HbCIO
GY86kEwtFdDXUvJ+OmAbEGDYU9GoOOrXOY3cpDt9etfPf/Ze8Ep/fnEWS90fLvDDi1PirdRTgwsk
Yl/lYL8M9PW45jNwo0pY/YWyePltn4Sjf7ra8td8uh0SZYSUDlK7zfPbltCbHKmZOX5IjvUXF/qr
z+2HaiusYDVNCbfFObolLCTNnn79uf3pAhw0FBVmNLhp+tQLrf7znTAkGSPb4U6CpL1kTsmwVgJU
8euL/Onj+nYR+t24GjnVLO2fzxeRs6npRWIthBiPcpBElQnLAX50++HXF/rTU7BciLY7YRSs5apO
P/7zhYZZtLM9Ke22c24ZEybFRrNfKqXwKVZXv77UT++JxxnlI6KrP8GNKDEtaQ7kdmuakUShmVwL
rXzEXuORRVz8xQeoLO/HHx64bzf2n6v9iFgJzSAldGdut0RmriLcM12nrJVkAJFpE2s8xvvUsHyY
igcOp3tHa2/zsd/WUnBnJ8NMhpLU/MWf9LO/CJnigiFXUH3+iCy15CjW7X7iOw3eUvXBNLbWsPn1
R/yzZ/PzJZb//+ktc2ZrGIiTardyde5HQg3E7P/6Cj/7EoGtQ6dSFqjHN9b5pytIY9mP9VzxJTrG
uulkLw/UKzuZL9Zk/y838+lSy5/y6VJhMypWU9Ttdiho+A+4Qeim/S93w/MIoQRp/Y8cIyUcLQK2
inbrEF1VPcxoq83iiMvlL67zs7dM036/zg/fy3Io7MqUW2mG0Y3hhseMdrR5pYAzmn/THH0Z/1/4
Uf5kXf/5N/T7tZa/5dPH1pfB3Koy98SOdiMycT8NRB+P6kGZEnbM/5SLP7nUD7WXTmcHzvbCJTHQ
efJI/PFSdRbPVhVG3ZZbSzlmLt7d5iYPBliyRM5npV9jkNUbafvr6/7sMf983R8+ztzMsyGzWYKZ
3qwKEqPG+f5/uQLGcguxKjLtH9bftpzCbEgcVo+0uGZ0T+y6gxzh/3SRRRz1+ZtC4NBJqcRF8up9
EIyydv+33//D1zOFsxOHNr9/wa4FLLGief71FX7+ANjELix5gNa34vzTs1YFlRaCTmEvJK/ELF4T
RlGpPbhtqSMRBAuBjjEiTO7XV/351/+fq/6ozLIqS8uNkqtaanqyezyLQYju59cX+bZB/LiB6Dh0
/31vOoebz9+OHAm1ZIzXbmsQYGO8M/TZU6PeH6WvUU9cOKnkIkCNlP4FHeenn6lqwN3mbKXwof7x
uhb1i1JxXN9K1uSa0ujW1r2h76LJl5m4ds2uGn6Dm/7XFeOnVwTfibga1bb6I3WQSjoYUb7wnNyX
D1KIBHUzFi4ZybK0V9W/WAr/4mI/7suzqELJHrmYdOrp9xTbeFfcQIdOSF4L/uJa6jf2wp++RJAM
7LaUoMaPTmbN4ChnZFytIZUilgtAZ4ha7UcFlWxbSdsIMIDdfHWafdf3K80+5qm11pna10hsGJLe
hG2+w+mPzcGnPJp4zJLwBXgyPp7cCwrAMlntTblCd4l2Sip7ifMgF4EbdQUSneTYGi9EsnV8bam4
aMlTnAMxiE+idHYmrSG9fxDoW0xUwDGi7zLzqjna9Hruq5wKDYhBSa259nRx5EMcX7ribEsnZaRK
D++M8q6bdK/C3ZF9MUIyENXZMwvnQATNntRU1wp6T1ZDv+87OAD7EY6EbdEHS99F07qGhMK5Njyb
qMYQboXZnafikkynXuhuOBiu3PYr9Gsub5s/oXDQSWzUWgTcZCJOFiEfVeKSMSzP86qa3psILk8N
08lQN3GMcN2a/ELL1kgmvKx8H+O3Vhrve7P10+BlACuTIrGnteChG/FlwqIljajJ4VqkOHEJvmzJ
E7RkQtJ1sXfUej/o1Qrto2e35kOoAohrw8OgXju8lVr6XsxvY3SlRh0w7o+Sz0erE6/P8w3KKM9C
nJB0F7IZXblroZef9CZ2i2D2AthBmWNvVLW/asd7jY9DYwY/k/QYDfo1vQVXHVCVpYPbaQ86wPO0
JfFnhlkU0hU1b4Q+HCuQElq2IyfItZfkMiKCxosNBl1kkq+pj0HyQLyIO8gKW+LsJfF7Kt+JqfJB
0CODKGmdEcKGTCwtZL8xPubgqe3ezLxZVwztJtKF2Ow3jXLKlNAL7Gu1utGYnWVG6ErVhG6tRSrA
16pkLv1gVyK5ZMbVUHWll8rDEQXqKhktF92sx1ewTqTei7UEwxzp8VpPbvalHAy/GTM/tKK1Xd7W
2rCrl46H9jwgJzOqCuMskfO0csdixvx7H+i2mzemB1ocr57p2SqUwGe5vp/7G1VrXb08LTEvknKH
g9mbKQigD6KxrFZFfHGC98FcdFy5By7LtROs7gCnG8WDcrXcV/kotX+1FPzU2coZH8y1hqKYDtQf
l9UIu/9UEX68NcJVzAQ09tRVdJpxMq7MJziZTFP/YgPBTcLv/HH1IQh64TXQlCSB74/XtJJUbxUM
T9tZVZluy8Vtll4ywvKyEQbLsp9oD1ah7+i6bQzA/fqI4jMs1zHNqbkuTrYe3itEMbh9k62NDE2N
jn1cDTHPS8ouhlqwNKAdZ1jrNZ2lQfOkCGCR/qIWyGSEg1DxHZ+5N1W7nDggw3SF+oTDaqOmBVYJ
XjTG8MRlESdw6ES/inUoyGAp3SbAKB2Z+l3fv8PyhtQF5syMDw4GdtyJw1ozX+QBj3jw1ljTjhDy
6zxgyw/Kq6Z/js2vdgpizF78/eAVpnQ1CoYCgGfyMN6TObgb43ZjpIofRDmhlc8OSqQsaTy5l6AG
HO0QqUx+aw7deoxvgOugmbyFotbgcuCWYhhipkpUEhJA/U6J4TY56qoxxZVV043jHxMqPX6EpNQn
gUvQrB9oMh5/wyvtYV0K+S6YolWMmVs0xWZke++t2OfchnGjvCHMdNUr0DhRRIL9/6I01iVryGMa
xYpAohfN7reBsNBrLqtA/0ZU206Y1slMY04PkuYZc7cPK8aLwUAse3QzpFHtGuXAK5KcmsDklRaP
U2u95BrhvF27GThvuwTWHqMwORrLWaqwXkqRaK5WqDyZkrQjeUhdkxCzonDAW/qq2jdZnMKRLnws
LK5cIZ2lyS7rx4gTRsOIfzY3AcuWpDPg5xyIPp0U2vK1kEcvmNAd1/5QEZzRjr6A11Bor5Pykray
Kw22bwTGJaxSVLb6xpxfi/x1VJ5S7QbDn42Z3rDfpuwySgH/IfE0IbaKwhrA6hTl90ZzaxbXQj/0
rC19waT1qVRbdxQNKIyvRphi372L68mNe9JTI3mlhWdbC/ZJsjchcoHPAK6HHrtIyFI6BvODM+DQ
Uk4yw1VbWpXcSZ3wChvyuh3z7Rxh5Xiy7HOAizg3Mq8tP3JR4CxCYSc/J/qwn+1T0Y1MqVZaX7oR
EczWHY6UUUtcVG98MwXv4rMuwKEukCLnph4J5GJ7H6ovpXiQoY71ZGYUJtCBGbfRlRmQfd6vStPy
IocGb3xMmwnjk4rQ9+uET8uWxL4ZdU8leRa6mGjeezB0WvOh6tLBNsJNP2kYWU72SDogmZyt4POJ
V9MMze7Uonzt+ZaQI26c4mEatgSvu0b/NUluF0V1Ve2EARaiJK24vSWxxyuVZx2QQjXq7pQ9TsnT
LF61FsFywkFzfMBsvlESbVukl0l7mLV7yYa5CPxDIvAzGRMq9uXt7jdAmjxMQ0F4NcgIvuN83aOc
F/QERTCe7ZYoPrlxJ5aASm39Mi79DqrD3OcHCS5DRXxyrz908l097pR8awey2xlncwj8DsGLYcJW
tBN0g2+l9AyZDaNQyhYq+3XdIgAkCxlUQ6e5WPMwVkyUZZQrpjjEtox1CX4INUrT+5khNkmabFLa
G02Ue7C0vHoZzaXHQl6PqeOGBrdBBEpYElhg5/6An7Vr1pzP162Y79uWUDExbpL6VU1L4vxuElxc
3UeovEwxPXitXS0hvTXh0VV0EiOEOtY8vfQThnSp/NLDquuyy8xHkxPka+nBqqkIDsQ0K72o6n1q
tb6hpZtQ35U5+ZAZK/7ORBWfmru0OIzsPNV8rkJyo9dDJLtFm69FS3jxwFJev2vV6PVltcYaPnR8
4nHiGeAmMjMnnUlZKQS4iPNkfbWSt2xs3TZ5GQp5lRUsxtZbO4Urc3gxqOCkBnhFdyqpLrP0rW7U
27YhDrsjG86YN2hOr3qgGnOjeSYYRnT8m0hpNi2V7MhumE0GIC/4YEl1V7Z7NWAvURCuhuuxeLXT
W3uc/CQkkDrkESrFemglV8bUMQ/GegwiXybWQe071OQ4DPNhHdTvEJU9EOBdOnmVVa8UMTATZHgJ
g8WwMbsLT4zBlk+otY+sYxCH11lJLZWoTKdjiFwrvUUNrynYLKxVQ463GmTrkgRYJo9Df91hmbem
17zaCy1dTzPkQOneyU+zco7syyJt78hKz7r0KIc92clkMn+xmtZr8tdF8DUOl7F9KoZLxvvX1K9S
BbcjyH0jf+vVhzZ/NMVeiSp3hgTE2NZXOmstLyFW+XvJBHXEZFzwrubFfkBYJZwKOsEiGsu9ab5W
qYLyeHBNqiqjadZthmRT1vwiJm1IlVzw6Wu0lmtFk1aDSK5MEyUJ+dhq/sYOgNmBp6+hxM5gmgTr
KLixmHcb0XkE29jFp2ZAdcoJPGVjhAwkR9gyY/IsNwMGz1jnnQ11FG2EcAEXmCTOy+TSOGV5krXs
EsyFryT9utE/ZqCGKW/lXIcM4F8N50zqkUt942rqKScMIcmjVWQcAjKFSM/JaONGCnIx+SlJXw1L
uW11wbreU1fUX4K0ubXqozzshNqdZdvX+vA2sffzaJyrQACpNAzwoc1NQOmbGO0qXAwS/QPfLkaC
0zhcGc2F2K8L3qjQvh3GXd/lK73rOWa9x2yOKjxRLC4ezNG1aKy9pV11rBuFZF83s+2OyIXFQz0T
QWrdK5iL8vJ2RvVj9XtncFx7rrxAOhcxdBnzDTeMw9vWYnztFflgo0kY095V2K1neXo2cxTHL3JV
XxOQzGr0VVbE2gjJDrWRNEabyHmY63MwXhkxksc4w/zwlo5fRCJjoyCwnHcRTt0a0UVjILCNUDEU
uV9zvMjyAJOEeqvGCH5JQ62rU9rwhfHxtoHhV1BuggY1UvhlLFOvUG7FfNVx4DCiE8j8iX2iUi13
sr6InppJIkyF7HU7vvRQJupcc4cFGqtrOw0WasK/nuanVj8M3Q55NGb5nEPxiOr3PCBczL/0NEAT
dZeP1yqPeCSOzXCZoSdbJemnUDdFat03yKUS/uYnIqAZ/RNJJ0rY/WgdnAGOkIP79ChX24pZJ43w
9ZzkfmBzk/Ir84yVPOPR5xxVzhwocHRSNIBq3VRt7ltISUzCm6MA29GVnn+E+TGuT2TeuhBmfRJ0
79M0ugYvxRGk95xeBiKKobfoj0qQevHMjUATtkmokTGjTBNfBa4tCikO00g75cAF3LYbeFlm+0s1
6dd64bc8w7a8qqDg0gO2u/syu9dnnRNUv2mSr3kYnCnGu/wxzxVSOlmbp3MLS1Gvlki7wUvTd4Oc
3JY9bOC2FOzDYG2xkJUHI2h8cvDWpvwNBlRA3a6rVawGu7IZl7J006Iv7dJx4QS50aK8sOOVxDKJ
XXdfTiPRmfIG5dtarrJrRgdoMSSvCWbOksOTrfaPuoZwhTWytT+M8mtcXRoDuq6O/CWlMYqTlkWG
06sEc7hjw2ZnsauJc3141dO+EsroxyNOP4Pv0NAJYkgo4D6iwtmMwEsYg3pU8iHURey4mX7b1Ldc
z0EHn+FOTtT1YrZups5zRM52bN/G4rboHuLaetdGzvdldxVo0WZO4w+UuDl8o9R4MmRus9V3NeOV
kX+F6MdNqQ316a6iIBunE7VcG5xr8naDhM3DOimUgwUPYG4qh7a+q/Ijy6SnOT2AMm01F+XVrGDK
o1cw0p3Ig8SfU3MVlh/kB7ooszxLq7aNuKvqyQun7ShjnmrEqg1upqrcx/a8Tepsa6WJx5atK83K
hLAJpvEg2J8iss2cYN6E5WMYFJtmgeebRCQd5BmXYT1ez9GFjRUQTLYWbO29srQoMm/qp7XDFFXU
b+YS/VVryH/4/KpNUDZ7XSXSsQP8kj1n4fVQ3E8WK+SzNpt7s28BeH1kcbN3qMcEqctpN/IFxW4f
qVtpPEeJ5Qblu5hupNJ0taja9hFRdfA5cgoBkzzVqvRJrwMNHG/DzKJpo7FQljuctRvMhQ9pb62D
hbHPwzGb1BYc/aCKuk56dBSQzqPhY7yKMWxYsY5h8lHgb5wnj7hGnOJiLcHnlG2Ea5OxQHkwyyUn
oYodRvENVm3IOVeBSX0sZau2sLyQf26bm5Jiq8nPIXIyu7nLtdd2oWKqyZ5jAXrnKkr3vbQTVHt6
l28658lSYq8rvxrOB7PEbSnKcxDMVxWw4gI74/2UxHu1lK70Nl4Vlu3K+ras3wbaLwPEglTzOTT0
MpDlfN3BBrPNiAPDuA6L42hRLkoOBAB2ZPO+bgfPmu4x1xPm/T4KshH0dV0ca354dBq/xb8jpw85
LRCt3s/RgwljOpAzpBy+0ZV0pQxfnkgT5HQBrE2mRhYcJlqr8Cotch0RejoOwW6O/MlQtiYdOWk4
q4Hlp/GTojw1ZbOTbWtVZ2IVNbIXYAwOoAfOzT0BdJRR0bly7G1s8iJ29qqYb0uWgDa6kvTuIWPJ
iMR8Y6rXiU6ub38hMNdNwKg5AeuEHvgV/v4oe23Gx1m/juj/hQm1GZ3KNjcRvThrhxolFfE5moyN
htXU6Qqv4NzU5Wd7jDkT42c0KcR4U4WlelIaE03OniD/f/bOrTltLIvCfyU171BCdx6mq8Ymviex
Eyfu9Aul2AQJhIQlxO3Xz7cFxJZQZzp9VDVnqqbfOuCD2Jx9zr6ttaanMSlkCKVoP/rqzt+LQIQ1
u4NB4uoZcYm++94Z3nSI9G1rxDj/ycZ0r7aQUIwJRMPh/Kwv1Hf5gvjWP6M/d+08T+83uXUGxIl7
EsZs0CqdHKE8KoRjADuwEJ4UXIjJHPHEtfN1SrI9TO/jJdTheW+wLgQ3ODmLll+ekbJZL6HSnXtD
+rtrj9gpWS/vVgL0h/Cv6F2Nh0tvHZ8W0aJzvbXluwDFBWN8k23nZ4z9XBlAdRPPujSszs1k+3xB
LrK9sATVm62tayuyTuNO59b0VgO7E/GFkEYvAANnhTuwAQcniylyNyB5k9nZGhCxDZg4HueUFabv
++Z8kAI2thk4pC04WvjO9567dt5CDfTghUwtbM1O8nYiwOX1JLkrQDKPIRvPQDYPBeI86THrBOYZ
YtnLHAz0xkAUAEz0Amy0C0X3GKx01i8GEdhpPwq/hWCphWwb0Z/zeLn4nAjWery6sHrpmfNs3IKN
vZ8Rvk9AUjHjf2t2pucemG0Lqo3Cs97GPWiCLdDcU1DdLlXpFJT3ArS3A+qbQahLI0wvimV0jTrv
kwU6PFnE94kzJU3fvmcE9A+Sh0ugy+8moModKgz9aXJugzYfgjr3l1w8SVRc9SbPV50hwHQIDC8m
INVX8fQzM1of1mCrC4gkMhDt88i76xTe3UaQ7itrEM2GIncLCH4KGh7SpfsN6PjhECl6qG1PZgwc
RuvhQ5xCDAhfDTz0gq8vFr07Wsq/oxn/yZk8X8+N5M6cCslffvMMOn+62n5hIvdDJ8s/2/Nnbn0i
W7i5Bhs/5LKauLAAzKLN2yhkama6JVXmGLp1c/8+jDng4shZc8rBvOLOrQz2PmJxJ7UnkOkn3/rr
1WwQdmJaH0RnVH7dhz4EGgMHttCtY+O5UxvqvS35NWiz+GSWZ+uBsU4ml5ydpPkhpX7bWdxGm+lX
aNA/Fm56nYTry7J8+X/iLyi1XprcR3TkD0HcLI3LXx0Gx5wubW806Si7I/ZeDuccJiKBSTBKA22E
x4QE4xE0518GxxCfRvSCefO+t1PNfcFCoOIo7L1uOYkOguIXwBC9cpCkUnaG1AtALAObzPTwX20E
ynKo1MMR2btIEU5YXRvR9OtqtSmuNnNkbRACpSswoMoSn42RCEVa/SYdOm+fTfPLGglRf+PcG31I
cOLQH0C04Z5nyI3aKW0ue2HeDUWJFNK/1WmKOOnYi7zzCXKlKyowG+RLi37/0Sy2lDg64aWzpOBg
+L/bayjK10DeEUaNOhRbZxMAr0SpUS556Gp4HSOYmoT2VZFxYbpIqT7DmYB3X/ZjhikXyRQ2guHl
1FrdbDshkxPrMRyj0n4ShdaImWejk34G/ihdpOgGPeyLSFRdx078MR1KKoXgq7ea3vURgIUmILBF
EbbnbD/NNuZ90YG4NEzPYv/5Dx/5WOh/PtqrHIZQh2wUgdnZsniIluOHKcKzM6t/YQztb44o0nrG
ejRDojbeWtekG1d56P6eiIbteugnp6QWXztQLqRm54+h+/zQH1PFSorn9x5CuFbBxTZczGkBIpI7
zsYPDJ3dz0U9t7MZ3ubI6QKrP6dhQftv3js3+pBUOJkFQCuiWrxMcqqXgHdP+mHyYKHS649n11Bx
MXq6WGw2D1tUBfOzxZhdemMtIVA4WVOGRo6zl7oUPCe9jkNJDemSzrVpGEvI0hN3ep5RAfCDeTiP
M2QiUr84cSFl3F6EybNhDDo5/LynsKVQt/5fOWz256GcA29LDYK7YpRtPo7yIl7kBy+UV29Tui73
6d97088X2qsf3G/m6CEETzP0m6N8kUWPC5NDp6aMYHOk/JjR+fFg5VP/dJ04QHOheOITIMoR4kEb
VVnTZLwBycI3Mcry+5c7PkB8fnPbF2AnIzAiJsUnvrLUn9ni519zZ9Sfv+enX6FuCkvdFD50QgCH
fKZ2fQrASEFUTQEMlyFhGB+gFdrD3v77pqhsip5hsUt+eUfwPV82hN9lgN/poeYHHgQCBn7wyoYw
u+D0IDSFrp5hZDBMmm4Iuel+2RJY78UUIBaZ9uYiBlCGqAdTODVToMmMAqjLGCuoMtFr1tQUFv1t
NVMInxYqpBa4KmId8B9EQLVdwXi6wMA5TXiHsHL8932j4cT8W/5R2RVyYoJU4XdHHrZU8D4yBah6
o4c1GKIWkRpNTSEEsWq7AgeB/pkrXkbFRMpUDPX68oDWjak1BoTRdOhBPKutg+xutd2Q3N+7RwEy
+ex7aH+hpBMhoZopzC4GMJj70Nk5OOCUdwQGwALwVUDtaom2ZGVHYAY4plwBv3KPuoKP1fOc4PJX
NkWPqEmUoMpgQUA7FVM44IoYm2cUERCEvgdmK9co7I3AZCAhIemVnLtmCIOzA3Ag0aXWEYX6NVpG
DAwRm5wFqOoIYqJiih5ML8SWLmo7FDlLfKWe7lGvm5RZwC8lHi6JBVKc0HGhl851WTeF0YWTmWtl
z/8l7qOlKZw6++mvm6LfpXYi8kpckj7MGnUHsblbLGB/useZoqqqdmiafhc5CVJR+CJNUJUyw11x
EBPmIhMQOHU1WwgedjeWfulov437A1A0lUOORDQFwT4dmwJ2W49EDd6lHTGulg4iMELFXUH24QNN
hPyKfMsUYr/KpoAEi8OSVA0j6XuTCo5e0Q4A6S2SD/CZUp4ov2rFEGbXsXxAytDtC85BkEp6bgkS
BUVTcH3YwDV6UAeQipFrHe0JaP0pdzOZQOChb24uUCI1U5CFUbSiPGHw20uCcXxQUISVNEzvSFOI
mpQtIYR2sPhgD/onAseu+Iew5bnw4cHwBAiIUp6m/iFpk5opuEiBKpJYcBrsqJBqppBEzHAcSA+Q
Rdf59tidYSqpeb8LGQiYRBBhSGkKx0h9V8D6APk88E7b3+n2YHz9YgpH/dSkdgUZBYwrPvUptFDq
BRuzLHFTRt6TtOkaXslvqOggMNWJJUgxdkXLuil6XQqasAVT1dG6uOsoR5pUNEXdlVKeu6f1qTmI
07VwHrrb+76HrrvCbadWQZVO2FwoZtM6r5nCRnxIytx07w/Hqp5nxS5dVjg2pbgLXE2Y6hhjsClS
1UxhCnUTxDjEmjt9Qk0v031pTcEUJnVsNEjQTDz87jVT9Lq8YJHEs200zkD29XcVS3hiCejoCLsp
dpczLbUIix4pKTpZmpR3tS1rwjGqfoHQ7CLb8jEEKZl/HFZIjAnU03FlMEjbUrcUFhTvUq9LRQaG
N5ItuOYcIeSs7QqZPKKKYdMOkrKNpkeFo3yBEHfjID6pJxVeoxQeqpqCAhb7hcIWco6+o29LTHIn
xV1BWCFVfc7FfbHuaFdQ6vagjCm7pNoWeF31qqbHVUlmDukPIVTDIAEzFchbEVj4QhWnb7HCVc5L
iSoA3cM67lDXpOFzFGA5XWG4P9DwaXt/7EtrKlcpaakNmgvJWM4KpibqCQiEmryGqYQkTNfuh6ue
k3p8T7oelGMMt0xKa8eEIeyhKOeaKLnrPETgKuek4hwUZKjxUqPiwBB3q9yjTlfGsgjLNc9JXeWc
VLIPm3MCgg4SLbItVqyYAhUgTgmf4hU66JyY2uakbSRiBiETPXIZrOB6qEdXpVYSVuizaXQeOJIH
VwwpaA+y/YmnTVMyUqFprewKEjEYXURUeHeP6rorROpKzRQ4CDmFQ1WTwj5qWHVLWF1KmgaMoS4o
A2bzdC11S7NbzRJwSLPxIR5kP+xlv2p7wscrqO5CbbqXpOAD9SvvCuWfmiVkT5BkibAAqaeU92vu
wSABEhtiLevQKdLTFG1EFdTyCSTJzLlHgarWTEGrVDaLR2YujOTazrUL5Z/arqC8K/AkTgOKFHsh
qIqD0AqC4Jrir2Qmu66ynrtCOaowvW6v33dgay5TD8a2a7sCnUCyd44KihV7NJeWppBJW7VdwVkB
joE8i9Ca7nmTgyDvQ4GXNpGHWIm2NRuRGFIzhckkJr0/MhCK+p7ROxpup8FO/r7fMtqmpJ5yeMWe
cEnBiLldCOuFz7zmHj3qFEzlkY5B2k2pW9egQqg91fYEpvCYScU77F2ZjmO4cmi6cn9wYFK3kTK4
tgm6rxxVUNIE+sXEBLNouwZ6zRTsCtqDNFMp7wqCTNfqrsd2VtsV3B8mux+1B4CNNjWsuoMAEYM+
huY69TzuW31NoV7dpdBNz8Mqv6Xs/op39LpIsHGPko1pjXiQpo3ylugD+AAhxmAek0UCwK6YwqTg
SczhwR4uGHB9DwrllJREjI65Tc3mRfyvYgqjKzMEpK1lQYccvTS+fpmYrxxdyZnJPDeQBlJzA+B9
3UHYFZR9mWL2e1qPX/nK5SvBywEURScHEFgp7lj1D5nJo5yJUm15d+jrH+pxJm0gWoJSrdnBSVmx
4h+gP6hjWD4TzgTe+obcffWYgo4xrBmChQMn5pRiGxVTUPSXviG4oF3yoe1RoR5TSE0TyDn1TA5P
pGCONgXWkQIeuiRlL0jXQ7OV9INyP9googakuI7Gd70u5qFVxoivNAm1nagQgIJaVEH6QRrK1fCi
i1c9KqwumTkTSXsMvranpsC61EzB/WGAKYVfh5yznN89dhAKGRS6GUuS6V1dj4ojlbpfBorJrqBQ
J61zUnTXNYhTKqemTdjNnKbF/CJVXn2Lmke0S3/HFARQFOsg2jc9mkH1VqnAC5k34jrdDSdquyuU
LxApVTDDDACfQQHC66NSt0MrVQIwAm4Bpu8LZn8p7P4Lb/pBjHMaRvFTSYkTjfIm5pw/e8OBBeb4
9deENyW3SeWtwpGz+/QdGYz8/29VypyyzfPq1UPbp/yo/d/vv+Pxp1c+7PDFDv94EY2yIHsMN+UL
m/2Tvg9mkOr8Kw4ewyKoULMwB+Vwrx3+rZnf58dJ+bPVT4LpKDusc/n0z39Q2Ze12eEv3/SYO+gv
rr05rPJqZeJU9ZWz4Ol7mj0dlnq1PFdEC8uPlkHj6oQlLayOIkPj6hQalVc/DeIwLZLDSq8sw9mg
vnoYoNa8WIwOa71anyqQ+vrRIivyw0IviwsYWH3xOGjYkIIoVV86jWN8+LDSqwdvw0lP07iYfYsa
zgAJ8JUf/l0UwI43CJ4aflU535U/YDD6lC7Sw0KvjNOGs8IkHTU9eBuuOiiWQdzw3G046tv8MfiT
H7UNTz2Lg3HcuCPb8NOzLEiQ0Wo4ZoTBQHnDnAdP+dOoafU2nPU8ih/DDCK8w5O+7EhBxak/fYwr
NRxigjNTX7yIvx+WefXcbbjpBcdAM0epzH4oP/kFl96owVMFSKK++Ch5yhpOd4FmtLB4lgTJU8MJ
JjP+6stHY2iyk6emLdOGs15EcZx/S7O0GIeHx33ZOjKRrv4V0njWtOUlk1Je/DJ5ioLkzcdo2XSe
ydCw8kdcBY9T5AAPK72yThs+ezX6/n2EAkTT+m047k3wPdiMGqMytw3PvSFJaDBNG35703QiyBif
8k96M2q0dxsOezNaNhw1MsWv/tTRt1G2aFhdBvqUV38XPEWN21BGSFtYPQkWTb+n14aLvguyqOkX
lZm2Fh49WzRFM14b7vkuTbK0wYFk+Ef5yd8HeR4Uh4VeDi4Z4FFe/MM0iNM0b0g8ZCimheVHo8cw
/da4Z9pw1A+EqeMmy7fhqh/yx1EaN9hGpmSUbXMbxLM3JyNqP4fFXn5bmQRp4QPyx4aIRtrV6mtH
ySiOg4aARmYk1JdP4+lhmVdWacNXbwtI2mcNi7fhq5+CZBG8+djoUAJzVTbMpyAL8nTRtCfb8NdP
IxjE07jBoaR7pv70izdXaZg07Zo2/PXT4s1N8dhUK5AWtPrTF7NFU3wq9DstLL4KkqTpnJThXeXl
74NNnGaHhV5cSnqPyot/ThrvbZn3VF77C5WxvKkwJq1C5dUfgikS9Q3eJN23FlZvTraln9XC4nkY
JeNmxZH/7KxNbYwfMJfj5saBgL/pz6rNG3nHYzwKst/+DQAA//8=</cx:binary>
              </cx:geoCache>
            </cx:geography>
          </cx:layoutPr>
        </cx:series>
      </cx:plotAreaRegion>
    </cx:plotArea>
    <cx:legend pos="r" align="min" overlay="0"/>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microsoft.com/office/2014/relationships/chartEx" Target="../charts/chartEx1.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4.xml.rels><?xml version="1.0" encoding="UTF-8" standalone="yes"?>
<Relationships xmlns="http://schemas.openxmlformats.org/package/2006/relationships"><Relationship Id="rId2" Type="http://schemas.microsoft.com/office/2014/relationships/chartEx" Target="../charts/chartEx2.xml"/><Relationship Id="rId1" Type="http://schemas.openxmlformats.org/officeDocument/2006/relationships/chart" Target="../charts/chart20.xml"/></Relationships>
</file>

<file path=xl/drawings/_rels/drawing15.xml.rels><?xml version="1.0" encoding="UTF-8" standalone="yes"?>
<Relationships xmlns="http://schemas.openxmlformats.org/package/2006/relationships"><Relationship Id="rId2" Type="http://schemas.microsoft.com/office/2014/relationships/chartEx" Target="../charts/chartEx3.xml"/><Relationship Id="rId1" Type="http://schemas.openxmlformats.org/officeDocument/2006/relationships/chart" Target="../charts/chart21.xml"/></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2.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xml.rels><?xml version="1.0" encoding="UTF-8" standalone="yes"?>
<Relationships xmlns="http://schemas.openxmlformats.org/package/2006/relationships"><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9</xdr:col>
      <xdr:colOff>9525</xdr:colOff>
      <xdr:row>5</xdr:row>
      <xdr:rowOff>0</xdr:rowOff>
    </xdr:from>
    <xdr:to>
      <xdr:col>16</xdr:col>
      <xdr:colOff>314325</xdr:colOff>
      <xdr:row>19</xdr:row>
      <xdr:rowOff>152400</xdr:rowOff>
    </xdr:to>
    <xdr:graphicFrame macro="">
      <xdr:nvGraphicFramePr>
        <xdr:cNvPr id="4" name="Chart 3">
          <a:extLst>
            <a:ext uri="{FF2B5EF4-FFF2-40B4-BE49-F238E27FC236}">
              <a16:creationId xmlns:a16="http://schemas.microsoft.com/office/drawing/2014/main" id="{BD2725EC-42F5-4068-B102-ED728249F18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19050</xdr:colOff>
      <xdr:row>5</xdr:row>
      <xdr:rowOff>4762</xdr:rowOff>
    </xdr:from>
    <xdr:to>
      <xdr:col>9</xdr:col>
      <xdr:colOff>0</xdr:colOff>
      <xdr:row>19</xdr:row>
      <xdr:rowOff>152400</xdr:rowOff>
    </xdr:to>
    <xdr:graphicFrame macro="">
      <xdr:nvGraphicFramePr>
        <xdr:cNvPr id="5" name="Chart 4">
          <a:extLst>
            <a:ext uri="{FF2B5EF4-FFF2-40B4-BE49-F238E27FC236}">
              <a16:creationId xmlns:a16="http://schemas.microsoft.com/office/drawing/2014/main" id="{9FE7539C-190C-4221-B136-4A91BC5555E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3</xdr:col>
      <xdr:colOff>0</xdr:colOff>
      <xdr:row>1</xdr:row>
      <xdr:rowOff>0</xdr:rowOff>
    </xdr:from>
    <xdr:to>
      <xdr:col>10</xdr:col>
      <xdr:colOff>304800</xdr:colOff>
      <xdr:row>15</xdr:row>
      <xdr:rowOff>76200</xdr:rowOff>
    </xdr:to>
    <mc:AlternateContent xmlns:mc="http://schemas.openxmlformats.org/markup-compatibility/2006">
      <mc:Choice xmlns:cx4="http://schemas.microsoft.com/office/drawing/2016/5/10/chartex" Requires="cx4">
        <xdr:graphicFrame macro="">
          <xdr:nvGraphicFramePr>
            <xdr:cNvPr id="6" name="Chart 5">
              <a:extLst>
                <a:ext uri="{FF2B5EF4-FFF2-40B4-BE49-F238E27FC236}">
                  <a16:creationId xmlns:a16="http://schemas.microsoft.com/office/drawing/2014/main" id="{2A71DCFD-FD80-4334-B037-C46D8576BC53}"/>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828800" y="190500"/>
              <a:ext cx="4572000" cy="274320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11.xml><?xml version="1.0" encoding="utf-8"?>
<xdr:wsDr xmlns:xdr="http://schemas.openxmlformats.org/drawingml/2006/spreadsheetDrawing" xmlns:a="http://schemas.openxmlformats.org/drawingml/2006/main">
  <xdr:twoCellAnchor>
    <xdr:from>
      <xdr:col>4</xdr:col>
      <xdr:colOff>28575</xdr:colOff>
      <xdr:row>0</xdr:row>
      <xdr:rowOff>0</xdr:rowOff>
    </xdr:from>
    <xdr:to>
      <xdr:col>12</xdr:col>
      <xdr:colOff>9525</xdr:colOff>
      <xdr:row>12</xdr:row>
      <xdr:rowOff>0</xdr:rowOff>
    </xdr:to>
    <xdr:graphicFrame macro="">
      <xdr:nvGraphicFramePr>
        <xdr:cNvPr id="2" name="Chart 1">
          <a:extLst>
            <a:ext uri="{FF2B5EF4-FFF2-40B4-BE49-F238E27FC236}">
              <a16:creationId xmlns:a16="http://schemas.microsoft.com/office/drawing/2014/main" id="{01B1F43E-ABC7-4C30-BF39-4E4E80C08EE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19050</xdr:colOff>
      <xdr:row>12</xdr:row>
      <xdr:rowOff>4762</xdr:rowOff>
    </xdr:from>
    <xdr:to>
      <xdr:col>12</xdr:col>
      <xdr:colOff>0</xdr:colOff>
      <xdr:row>22</xdr:row>
      <xdr:rowOff>66675</xdr:rowOff>
    </xdr:to>
    <xdr:graphicFrame macro="">
      <xdr:nvGraphicFramePr>
        <xdr:cNvPr id="3" name="Chart 2">
          <a:extLst>
            <a:ext uri="{FF2B5EF4-FFF2-40B4-BE49-F238E27FC236}">
              <a16:creationId xmlns:a16="http://schemas.microsoft.com/office/drawing/2014/main" id="{10652371-3D3C-4D07-B6D1-83667B86296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0</xdr:colOff>
      <xdr:row>7</xdr:row>
      <xdr:rowOff>185737</xdr:rowOff>
    </xdr:from>
    <xdr:to>
      <xdr:col>18</xdr:col>
      <xdr:colOff>219075</xdr:colOff>
      <xdr:row>22</xdr:row>
      <xdr:rowOff>71437</xdr:rowOff>
    </xdr:to>
    <xdr:graphicFrame macro="">
      <xdr:nvGraphicFramePr>
        <xdr:cNvPr id="4" name="Chart 3">
          <a:extLst>
            <a:ext uri="{FF2B5EF4-FFF2-40B4-BE49-F238E27FC236}">
              <a16:creationId xmlns:a16="http://schemas.microsoft.com/office/drawing/2014/main" id="{CF52D565-1BE8-410C-BA18-14CA2738BBC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5</xdr:col>
      <xdr:colOff>276225</xdr:colOff>
      <xdr:row>1</xdr:row>
      <xdr:rowOff>4762</xdr:rowOff>
    </xdr:from>
    <xdr:to>
      <xdr:col>12</xdr:col>
      <xdr:colOff>581025</xdr:colOff>
      <xdr:row>15</xdr:row>
      <xdr:rowOff>80962</xdr:rowOff>
    </xdr:to>
    <xdr:graphicFrame macro="">
      <xdr:nvGraphicFramePr>
        <xdr:cNvPr id="2" name="Chart 1">
          <a:extLst>
            <a:ext uri="{FF2B5EF4-FFF2-40B4-BE49-F238E27FC236}">
              <a16:creationId xmlns:a16="http://schemas.microsoft.com/office/drawing/2014/main" id="{D0CBF86A-EFA5-400A-8F91-3F709656D27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5</xdr:col>
      <xdr:colOff>600075</xdr:colOff>
      <xdr:row>1</xdr:row>
      <xdr:rowOff>4762</xdr:rowOff>
    </xdr:from>
    <xdr:to>
      <xdr:col>13</xdr:col>
      <xdr:colOff>295275</xdr:colOff>
      <xdr:row>15</xdr:row>
      <xdr:rowOff>80962</xdr:rowOff>
    </xdr:to>
    <xdr:graphicFrame macro="">
      <xdr:nvGraphicFramePr>
        <xdr:cNvPr id="2" name="Chart 1">
          <a:extLst>
            <a:ext uri="{FF2B5EF4-FFF2-40B4-BE49-F238E27FC236}">
              <a16:creationId xmlns:a16="http://schemas.microsoft.com/office/drawing/2014/main" id="{53255195-161E-4341-BE15-4563AFF609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11</xdr:col>
      <xdr:colOff>600075</xdr:colOff>
      <xdr:row>0</xdr:row>
      <xdr:rowOff>0</xdr:rowOff>
    </xdr:from>
    <xdr:to>
      <xdr:col>17</xdr:col>
      <xdr:colOff>504825</xdr:colOff>
      <xdr:row>13</xdr:row>
      <xdr:rowOff>38100</xdr:rowOff>
    </xdr:to>
    <xdr:graphicFrame macro="">
      <xdr:nvGraphicFramePr>
        <xdr:cNvPr id="2" name="Chart 1">
          <a:extLst>
            <a:ext uri="{FF2B5EF4-FFF2-40B4-BE49-F238E27FC236}">
              <a16:creationId xmlns:a16="http://schemas.microsoft.com/office/drawing/2014/main" id="{270E58B1-3400-4E52-B73A-DECC73CDDD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9525</xdr:colOff>
      <xdr:row>0</xdr:row>
      <xdr:rowOff>0</xdr:rowOff>
    </xdr:from>
    <xdr:to>
      <xdr:col>11</xdr:col>
      <xdr:colOff>600075</xdr:colOff>
      <xdr:row>21</xdr:row>
      <xdr:rowOff>9524</xdr:rowOff>
    </xdr:to>
    <mc:AlternateContent xmlns:mc="http://schemas.openxmlformats.org/markup-compatibility/2006">
      <mc:Choice xmlns:cx4="http://schemas.microsoft.com/office/drawing/2016/5/10/chartex" Requires="cx4">
        <xdr:graphicFrame macro="">
          <xdr:nvGraphicFramePr>
            <xdr:cNvPr id="4" name="Chart 3">
              <a:extLst>
                <a:ext uri="{FF2B5EF4-FFF2-40B4-BE49-F238E27FC236}">
                  <a16:creationId xmlns:a16="http://schemas.microsoft.com/office/drawing/2014/main" id="{B17B51F0-0316-4AD3-80DA-272E2625E415}"/>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5467350" y="0"/>
              <a:ext cx="3638550" cy="4238624"/>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15.xml><?xml version="1.0" encoding="utf-8"?>
<xdr:wsDr xmlns:xdr="http://schemas.openxmlformats.org/drawingml/2006/spreadsheetDrawing" xmlns:a="http://schemas.openxmlformats.org/drawingml/2006/main">
  <xdr:twoCellAnchor>
    <xdr:from>
      <xdr:col>11</xdr:col>
      <xdr:colOff>600075</xdr:colOff>
      <xdr:row>0</xdr:row>
      <xdr:rowOff>0</xdr:rowOff>
    </xdr:from>
    <xdr:to>
      <xdr:col>17</xdr:col>
      <xdr:colOff>514350</xdr:colOff>
      <xdr:row>13</xdr:row>
      <xdr:rowOff>38100</xdr:rowOff>
    </xdr:to>
    <xdr:graphicFrame macro="">
      <xdr:nvGraphicFramePr>
        <xdr:cNvPr id="2" name="Chart 1">
          <a:extLst>
            <a:ext uri="{FF2B5EF4-FFF2-40B4-BE49-F238E27FC236}">
              <a16:creationId xmlns:a16="http://schemas.microsoft.com/office/drawing/2014/main" id="{64F6F175-F985-450D-985A-45E348E3CD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9525</xdr:colOff>
      <xdr:row>0</xdr:row>
      <xdr:rowOff>0</xdr:rowOff>
    </xdr:from>
    <xdr:to>
      <xdr:col>11</xdr:col>
      <xdr:colOff>600075</xdr:colOff>
      <xdr:row>21</xdr:row>
      <xdr:rowOff>180974</xdr:rowOff>
    </xdr:to>
    <mc:AlternateContent xmlns:mc="http://schemas.openxmlformats.org/markup-compatibility/2006">
      <mc:Choice xmlns:cx4="http://schemas.microsoft.com/office/drawing/2016/5/10/chartex" Requires="cx4">
        <xdr:graphicFrame macro="">
          <xdr:nvGraphicFramePr>
            <xdr:cNvPr id="3" name="Chart 2">
              <a:extLst>
                <a:ext uri="{FF2B5EF4-FFF2-40B4-BE49-F238E27FC236}">
                  <a16:creationId xmlns:a16="http://schemas.microsoft.com/office/drawing/2014/main" id="{7BB57556-8B49-4153-BB6D-4AFE408DBF55}"/>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5467350" y="0"/>
              <a:ext cx="3638550" cy="4410074"/>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16.xml><?xml version="1.0" encoding="utf-8"?>
<xdr:wsDr xmlns:xdr="http://schemas.openxmlformats.org/drawingml/2006/spreadsheetDrawing" xmlns:a="http://schemas.openxmlformats.org/drawingml/2006/main">
  <xdr:twoCellAnchor editAs="oneCell">
    <xdr:from>
      <xdr:col>5</xdr:col>
      <xdr:colOff>9525</xdr:colOff>
      <xdr:row>2</xdr:row>
      <xdr:rowOff>9525</xdr:rowOff>
    </xdr:from>
    <xdr:to>
      <xdr:col>21</xdr:col>
      <xdr:colOff>265145</xdr:colOff>
      <xdr:row>7</xdr:row>
      <xdr:rowOff>38021</xdr:rowOff>
    </xdr:to>
    <xdr:pic>
      <xdr:nvPicPr>
        <xdr:cNvPr id="2" name="Picture 1">
          <a:extLst>
            <a:ext uri="{FF2B5EF4-FFF2-40B4-BE49-F238E27FC236}">
              <a16:creationId xmlns:a16="http://schemas.microsoft.com/office/drawing/2014/main" id="{93856379-E396-4899-BEAE-B7E245F33FE3}"/>
            </a:ext>
          </a:extLst>
        </xdr:cNvPr>
        <xdr:cNvPicPr>
          <a:picLocks noChangeAspect="1"/>
        </xdr:cNvPicPr>
      </xdr:nvPicPr>
      <xdr:blipFill>
        <a:blip xmlns:r="http://schemas.openxmlformats.org/officeDocument/2006/relationships" r:embed="rId1"/>
        <a:stretch>
          <a:fillRect/>
        </a:stretch>
      </xdr:blipFill>
      <xdr:spPr>
        <a:xfrm>
          <a:off x="3933825" y="390525"/>
          <a:ext cx="10009220" cy="98099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5</xdr:row>
      <xdr:rowOff>42862</xdr:rowOff>
    </xdr:from>
    <xdr:to>
      <xdr:col>2</xdr:col>
      <xdr:colOff>1457325</xdr:colOff>
      <xdr:row>19</xdr:row>
      <xdr:rowOff>119062</xdr:rowOff>
    </xdr:to>
    <xdr:graphicFrame macro="">
      <xdr:nvGraphicFramePr>
        <xdr:cNvPr id="2" name="Chart 1">
          <a:extLst>
            <a:ext uri="{FF2B5EF4-FFF2-40B4-BE49-F238E27FC236}">
              <a16:creationId xmlns:a16="http://schemas.microsoft.com/office/drawing/2014/main" id="{DBEC6D3F-6BF2-4148-9447-7FB41EAE526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25</xdr:row>
      <xdr:rowOff>0</xdr:rowOff>
    </xdr:from>
    <xdr:to>
      <xdr:col>12</xdr:col>
      <xdr:colOff>636620</xdr:colOff>
      <xdr:row>30</xdr:row>
      <xdr:rowOff>28496</xdr:rowOff>
    </xdr:to>
    <xdr:pic>
      <xdr:nvPicPr>
        <xdr:cNvPr id="4" name="Picture 3">
          <a:extLst>
            <a:ext uri="{FF2B5EF4-FFF2-40B4-BE49-F238E27FC236}">
              <a16:creationId xmlns:a16="http://schemas.microsoft.com/office/drawing/2014/main" id="{5328869F-5934-4234-A98D-DF25A9E99A99}"/>
            </a:ext>
          </a:extLst>
        </xdr:cNvPr>
        <xdr:cNvPicPr>
          <a:picLocks noChangeAspect="1"/>
        </xdr:cNvPicPr>
      </xdr:nvPicPr>
      <xdr:blipFill>
        <a:blip xmlns:r="http://schemas.openxmlformats.org/officeDocument/2006/relationships" r:embed="rId2"/>
        <a:stretch>
          <a:fillRect/>
        </a:stretch>
      </xdr:blipFill>
      <xdr:spPr>
        <a:xfrm>
          <a:off x="0" y="4762500"/>
          <a:ext cx="10009220" cy="98099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4</xdr:col>
      <xdr:colOff>0</xdr:colOff>
      <xdr:row>0</xdr:row>
      <xdr:rowOff>185737</xdr:rowOff>
    </xdr:from>
    <xdr:to>
      <xdr:col>11</xdr:col>
      <xdr:colOff>304800</xdr:colOff>
      <xdr:row>15</xdr:row>
      <xdr:rowOff>71437</xdr:rowOff>
    </xdr:to>
    <xdr:graphicFrame macro="">
      <xdr:nvGraphicFramePr>
        <xdr:cNvPr id="2" name="Chart 1">
          <a:extLst>
            <a:ext uri="{FF2B5EF4-FFF2-40B4-BE49-F238E27FC236}">
              <a16:creationId xmlns:a16="http://schemas.microsoft.com/office/drawing/2014/main" id="{AA4A02A2-CD88-458D-B3D3-99F7AB4B191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5</xdr:col>
      <xdr:colOff>0</xdr:colOff>
      <xdr:row>0</xdr:row>
      <xdr:rowOff>4762</xdr:rowOff>
    </xdr:from>
    <xdr:to>
      <xdr:col>12</xdr:col>
      <xdr:colOff>304800</xdr:colOff>
      <xdr:row>14</xdr:row>
      <xdr:rowOff>80962</xdr:rowOff>
    </xdr:to>
    <xdr:graphicFrame macro="">
      <xdr:nvGraphicFramePr>
        <xdr:cNvPr id="4" name="Chart 3">
          <a:extLst>
            <a:ext uri="{FF2B5EF4-FFF2-40B4-BE49-F238E27FC236}">
              <a16:creationId xmlns:a16="http://schemas.microsoft.com/office/drawing/2014/main" id="{F7791338-A7DC-4BE2-ABDA-28E7C9CBCB8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600075</xdr:colOff>
      <xdr:row>0</xdr:row>
      <xdr:rowOff>14287</xdr:rowOff>
    </xdr:from>
    <xdr:to>
      <xdr:col>12</xdr:col>
      <xdr:colOff>295275</xdr:colOff>
      <xdr:row>14</xdr:row>
      <xdr:rowOff>90487</xdr:rowOff>
    </xdr:to>
    <xdr:graphicFrame macro="">
      <xdr:nvGraphicFramePr>
        <xdr:cNvPr id="2" name="Chart 1">
          <a:extLst>
            <a:ext uri="{FF2B5EF4-FFF2-40B4-BE49-F238E27FC236}">
              <a16:creationId xmlns:a16="http://schemas.microsoft.com/office/drawing/2014/main" id="{830FC356-8DB9-4388-A8FE-D46CC83BAA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0</xdr:row>
      <xdr:rowOff>0</xdr:rowOff>
    </xdr:from>
    <xdr:to>
      <xdr:col>11</xdr:col>
      <xdr:colOff>304800</xdr:colOff>
      <xdr:row>14</xdr:row>
      <xdr:rowOff>71437</xdr:rowOff>
    </xdr:to>
    <xdr:graphicFrame macro="">
      <xdr:nvGraphicFramePr>
        <xdr:cNvPr id="2" name="Chart 1">
          <a:extLst>
            <a:ext uri="{FF2B5EF4-FFF2-40B4-BE49-F238E27FC236}">
              <a16:creationId xmlns:a16="http://schemas.microsoft.com/office/drawing/2014/main" id="{00DBE76C-AADE-4132-8213-4A0007A4EAE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5</xdr:col>
      <xdr:colOff>9525</xdr:colOff>
      <xdr:row>0</xdr:row>
      <xdr:rowOff>0</xdr:rowOff>
    </xdr:from>
    <xdr:to>
      <xdr:col>12</xdr:col>
      <xdr:colOff>314325</xdr:colOff>
      <xdr:row>14</xdr:row>
      <xdr:rowOff>71437</xdr:rowOff>
    </xdr:to>
    <xdr:graphicFrame macro="">
      <xdr:nvGraphicFramePr>
        <xdr:cNvPr id="2" name="Chart 1">
          <a:extLst>
            <a:ext uri="{FF2B5EF4-FFF2-40B4-BE49-F238E27FC236}">
              <a16:creationId xmlns:a16="http://schemas.microsoft.com/office/drawing/2014/main" id="{5BC031BF-26E7-469A-9BE7-707B1788D7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14287</xdr:rowOff>
    </xdr:from>
    <xdr:to>
      <xdr:col>8</xdr:col>
      <xdr:colOff>581025</xdr:colOff>
      <xdr:row>21</xdr:row>
      <xdr:rowOff>0</xdr:rowOff>
    </xdr:to>
    <xdr:graphicFrame macro="">
      <xdr:nvGraphicFramePr>
        <xdr:cNvPr id="2" name="Chart 1">
          <a:extLst>
            <a:ext uri="{FF2B5EF4-FFF2-40B4-BE49-F238E27FC236}">
              <a16:creationId xmlns:a16="http://schemas.microsoft.com/office/drawing/2014/main" id="{6BEE6451-A797-430A-BFBF-F348283697C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600075</xdr:colOff>
      <xdr:row>6</xdr:row>
      <xdr:rowOff>200025</xdr:rowOff>
    </xdr:from>
    <xdr:to>
      <xdr:col>14</xdr:col>
      <xdr:colOff>28575</xdr:colOff>
      <xdr:row>20</xdr:row>
      <xdr:rowOff>185737</xdr:rowOff>
    </xdr:to>
    <xdr:graphicFrame macro="">
      <xdr:nvGraphicFramePr>
        <xdr:cNvPr id="3" name="Chart 2">
          <a:extLst>
            <a:ext uri="{FF2B5EF4-FFF2-40B4-BE49-F238E27FC236}">
              <a16:creationId xmlns:a16="http://schemas.microsoft.com/office/drawing/2014/main" id="{F3171807-8C40-4294-8D22-39066EF818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23812</xdr:rowOff>
    </xdr:from>
    <xdr:to>
      <xdr:col>10</xdr:col>
      <xdr:colOff>971550</xdr:colOff>
      <xdr:row>21</xdr:row>
      <xdr:rowOff>0</xdr:rowOff>
    </xdr:to>
    <xdr:graphicFrame macro="">
      <xdr:nvGraphicFramePr>
        <xdr:cNvPr id="2" name="Chart 1">
          <a:extLst>
            <a:ext uri="{FF2B5EF4-FFF2-40B4-BE49-F238E27FC236}">
              <a16:creationId xmlns:a16="http://schemas.microsoft.com/office/drawing/2014/main" id="{965056EE-2074-4088-B3EC-2E5D4B0BB1D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590550</xdr:colOff>
      <xdr:row>3</xdr:row>
      <xdr:rowOff>23812</xdr:rowOff>
    </xdr:from>
    <xdr:to>
      <xdr:col>10</xdr:col>
      <xdr:colOff>971550</xdr:colOff>
      <xdr:row>11</xdr:row>
      <xdr:rowOff>200025</xdr:rowOff>
    </xdr:to>
    <xdr:graphicFrame macro="">
      <xdr:nvGraphicFramePr>
        <xdr:cNvPr id="3" name="Chart 2">
          <a:extLst>
            <a:ext uri="{FF2B5EF4-FFF2-40B4-BE49-F238E27FC236}">
              <a16:creationId xmlns:a16="http://schemas.microsoft.com/office/drawing/2014/main" id="{131C8213-88CA-470D-99F0-D220AFA220F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6</xdr:col>
      <xdr:colOff>9525</xdr:colOff>
      <xdr:row>0</xdr:row>
      <xdr:rowOff>0</xdr:rowOff>
    </xdr:from>
    <xdr:to>
      <xdr:col>11</xdr:col>
      <xdr:colOff>0</xdr:colOff>
      <xdr:row>13</xdr:row>
      <xdr:rowOff>38100</xdr:rowOff>
    </xdr:to>
    <xdr:graphicFrame macro="">
      <xdr:nvGraphicFramePr>
        <xdr:cNvPr id="2" name="Chart 1">
          <a:extLst>
            <a:ext uri="{FF2B5EF4-FFF2-40B4-BE49-F238E27FC236}">
              <a16:creationId xmlns:a16="http://schemas.microsoft.com/office/drawing/2014/main" id="{4DBB5E2B-A4AE-4183-B3DC-C3A8C3F7C08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609599</xdr:colOff>
      <xdr:row>0</xdr:row>
      <xdr:rowOff>0</xdr:rowOff>
    </xdr:from>
    <xdr:to>
      <xdr:col>17</xdr:col>
      <xdr:colOff>9524</xdr:colOff>
      <xdr:row>13</xdr:row>
      <xdr:rowOff>38100</xdr:rowOff>
    </xdr:to>
    <xdr:graphicFrame macro="">
      <xdr:nvGraphicFramePr>
        <xdr:cNvPr id="3" name="Chart 2">
          <a:extLst>
            <a:ext uri="{FF2B5EF4-FFF2-40B4-BE49-F238E27FC236}">
              <a16:creationId xmlns:a16="http://schemas.microsoft.com/office/drawing/2014/main" id="{AA2434DF-B5E5-4C36-8857-D76CA93FE5A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11</xdr:col>
      <xdr:colOff>323850</xdr:colOff>
      <xdr:row>0</xdr:row>
      <xdr:rowOff>14287</xdr:rowOff>
    </xdr:from>
    <xdr:to>
      <xdr:col>19</xdr:col>
      <xdr:colOff>19050</xdr:colOff>
      <xdr:row>13</xdr:row>
      <xdr:rowOff>52387</xdr:rowOff>
    </xdr:to>
    <xdr:graphicFrame macro="">
      <xdr:nvGraphicFramePr>
        <xdr:cNvPr id="2" name="Chart 1">
          <a:extLst>
            <a:ext uri="{FF2B5EF4-FFF2-40B4-BE49-F238E27FC236}">
              <a16:creationId xmlns:a16="http://schemas.microsoft.com/office/drawing/2014/main" id="{16EB5006-AF3C-4FB8-BCE8-DFDB03685D6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19050</xdr:colOff>
      <xdr:row>0</xdr:row>
      <xdr:rowOff>0</xdr:rowOff>
    </xdr:from>
    <xdr:to>
      <xdr:col>11</xdr:col>
      <xdr:colOff>323850</xdr:colOff>
      <xdr:row>13</xdr:row>
      <xdr:rowOff>38100</xdr:rowOff>
    </xdr:to>
    <xdr:graphicFrame macro="">
      <xdr:nvGraphicFramePr>
        <xdr:cNvPr id="3" name="Chart 2">
          <a:extLst>
            <a:ext uri="{FF2B5EF4-FFF2-40B4-BE49-F238E27FC236}">
              <a16:creationId xmlns:a16="http://schemas.microsoft.com/office/drawing/2014/main" id="{BCC24BCE-77DD-40C8-BAED-F034191D58D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Princess Bordeaux Bartolazo" refreshedDate="44459.453225115743" createdVersion="6" refreshedVersion="6" minRefreshableVersion="3" recordCount="542" xr:uid="{FC98E7E9-217D-4666-9F4A-BF17BEE76468}">
  <cacheSource type="worksheet">
    <worksheetSource name="Table24"/>
  </cacheSource>
  <cacheFields count="45">
    <cacheField name="Client ID #" numFmtId="0">
      <sharedItems containsNonDate="0" containsString="0" containsBlank="1"/>
    </cacheField>
    <cacheField name="Client Last Name" numFmtId="0">
      <sharedItems containsNonDate="0" containsString="0" containsBlank="1"/>
    </cacheField>
    <cacheField name="Client First Name" numFmtId="0">
      <sharedItems containsNonDate="0" containsString="0" containsBlank="1"/>
    </cacheField>
    <cacheField name="DOB" numFmtId="14">
      <sharedItems containsNonDate="0" containsString="0" containsBlank="1"/>
    </cacheField>
    <cacheField name="If client DOB unknown, is client under 18?" numFmtId="1">
      <sharedItems containsNonDate="0" containsString="0" containsBlank="1"/>
    </cacheField>
    <cacheField name="If client is under 18, is the client involved in child welfare?" numFmtId="1">
      <sharedItems containsNonDate="0" containsString="0" containsBlank="1"/>
    </cacheField>
    <cacheField name="If client is under 18, was parental consent obtained?" numFmtId="1">
      <sharedItems containsNonDate="0" containsString="0" containsBlank="1"/>
    </cacheField>
    <cacheField name="Sex" numFmtId="0">
      <sharedItems containsNonDate="0" containsString="0" containsBlank="1"/>
    </cacheField>
    <cacheField name="Residence Zip Code" numFmtId="1">
      <sharedItems containsNonDate="0" containsString="0" containsBlank="1"/>
    </cacheField>
    <cacheField name="Race" numFmtId="0">
      <sharedItems containsNonDate="0" containsString="0" containsBlank="1"/>
    </cacheField>
    <cacheField name="Ethnicity" numFmtId="0">
      <sharedItems containsNonDate="0" containsString="0" containsBlank="1"/>
    </cacheField>
    <cacheField name="Name of School Attending (enter N/A if non-school aged)" numFmtId="1">
      <sharedItems containsNonDate="0" containsString="0" containsBlank="1"/>
    </cacheField>
    <cacheField name="Date of Call" numFmtId="165">
      <sharedItems containsNonDate="0" containsDate="1" containsString="0" containsBlank="1" minDate="1905-01-01T00:00:00" maxDate="1905-01-01T00:00:00" count="1">
        <m/>
      </sharedItems>
      <fieldGroup par="44" base="12">
        <rangePr groupBy="days" startDate="1905-01-01T00:00:00" endDate="1905-01-01T00:00:00"/>
        <groupItems count="368">
          <s v="(blank)"/>
          <s v="1-Jan"/>
          <s v="2-Jan"/>
          <s v="3-Jan"/>
          <s v="4-Jan"/>
          <s v="5-Jan"/>
          <s v="6-Jan"/>
          <s v="7-Jan"/>
          <s v="8-Jan"/>
          <s v="9-Jan"/>
          <s v="10-Jan"/>
          <s v="11-Jan"/>
          <s v="12-Jan"/>
          <s v="13-Jan"/>
          <s v="14-Jan"/>
          <s v="15-Jan"/>
          <s v="16-Jan"/>
          <s v="17-Jan"/>
          <s v="18-Jan"/>
          <s v="19-Jan"/>
          <s v="20-Jan"/>
          <s v="21-Jan"/>
          <s v="22-Jan"/>
          <s v="23-Jan"/>
          <s v="24-Jan"/>
          <s v="25-Jan"/>
          <s v="26-Jan"/>
          <s v="27-Jan"/>
          <s v="28-Jan"/>
          <s v="29-Jan"/>
          <s v="30-Jan"/>
          <s v="31-Jan"/>
          <s v="1-Feb"/>
          <s v="2-Feb"/>
          <s v="3-Feb"/>
          <s v="4-Feb"/>
          <s v="5-Feb"/>
          <s v="6-Feb"/>
          <s v="7-Feb"/>
          <s v="8-Feb"/>
          <s v="9-Feb"/>
          <s v="10-Feb"/>
          <s v="11-Feb"/>
          <s v="12-Feb"/>
          <s v="13-Feb"/>
          <s v="14-Feb"/>
          <s v="15-Feb"/>
          <s v="16-Feb"/>
          <s v="17-Feb"/>
          <s v="18-Feb"/>
          <s v="19-Feb"/>
          <s v="20-Feb"/>
          <s v="21-Feb"/>
          <s v="22-Feb"/>
          <s v="23-Feb"/>
          <s v="24-Feb"/>
          <s v="25-Feb"/>
          <s v="26-Feb"/>
          <s v="27-Feb"/>
          <s v="28-Feb"/>
          <s v="29-Feb"/>
          <s v="1-Mar"/>
          <s v="2-Mar"/>
          <s v="3-Mar"/>
          <s v="4-Mar"/>
          <s v="5-Mar"/>
          <s v="6-Mar"/>
          <s v="7-Mar"/>
          <s v="8-Mar"/>
          <s v="9-Mar"/>
          <s v="10-Mar"/>
          <s v="11-Mar"/>
          <s v="12-Mar"/>
          <s v="13-Mar"/>
          <s v="14-Mar"/>
          <s v="15-Mar"/>
          <s v="16-Mar"/>
          <s v="17-Mar"/>
          <s v="18-Mar"/>
          <s v="19-Mar"/>
          <s v="20-Mar"/>
          <s v="21-Mar"/>
          <s v="22-Mar"/>
          <s v="23-Mar"/>
          <s v="24-Mar"/>
          <s v="25-Mar"/>
          <s v="26-Mar"/>
          <s v="27-Mar"/>
          <s v="28-Mar"/>
          <s v="29-Mar"/>
          <s v="30-Mar"/>
          <s v="31-Mar"/>
          <s v="1-Apr"/>
          <s v="2-Apr"/>
          <s v="3-Apr"/>
          <s v="4-Apr"/>
          <s v="5-Apr"/>
          <s v="6-Apr"/>
          <s v="7-Apr"/>
          <s v="8-Apr"/>
          <s v="9-Apr"/>
          <s v="10-Apr"/>
          <s v="11-Apr"/>
          <s v="12-Apr"/>
          <s v="13-Apr"/>
          <s v="14-Apr"/>
          <s v="15-Apr"/>
          <s v="16-Apr"/>
          <s v="17-Apr"/>
          <s v="18-Apr"/>
          <s v="19-Apr"/>
          <s v="20-Apr"/>
          <s v="21-Apr"/>
          <s v="22-Apr"/>
          <s v="23-Apr"/>
          <s v="24-Apr"/>
          <s v="25-Apr"/>
          <s v="26-Apr"/>
          <s v="27-Apr"/>
          <s v="28-Apr"/>
          <s v="29-Apr"/>
          <s v="30-Apr"/>
          <s v="1-May"/>
          <s v="2-May"/>
          <s v="3-May"/>
          <s v="4-May"/>
          <s v="5-May"/>
          <s v="6-May"/>
          <s v="7-May"/>
          <s v="8-May"/>
          <s v="9-May"/>
          <s v="10-May"/>
          <s v="11-May"/>
          <s v="12-May"/>
          <s v="13-May"/>
          <s v="14-May"/>
          <s v="15-May"/>
          <s v="16-May"/>
          <s v="17-May"/>
          <s v="18-May"/>
          <s v="19-May"/>
          <s v="20-May"/>
          <s v="21-May"/>
          <s v="22-May"/>
          <s v="23-May"/>
          <s v="24-May"/>
          <s v="25-May"/>
          <s v="26-May"/>
          <s v="27-May"/>
          <s v="28-May"/>
          <s v="29-May"/>
          <s v="30-May"/>
          <s v="31-May"/>
          <s v="1-Jun"/>
          <s v="2-Jun"/>
          <s v="3-Jun"/>
          <s v="4-Jun"/>
          <s v="5-Jun"/>
          <s v="6-Jun"/>
          <s v="7-Jun"/>
          <s v="8-Jun"/>
          <s v="9-Jun"/>
          <s v="10-Jun"/>
          <s v="11-Jun"/>
          <s v="12-Jun"/>
          <s v="13-Jun"/>
          <s v="14-Jun"/>
          <s v="15-Jun"/>
          <s v="16-Jun"/>
          <s v="17-Jun"/>
          <s v="18-Jun"/>
          <s v="19-Jun"/>
          <s v="20-Jun"/>
          <s v="21-Jun"/>
          <s v="22-Jun"/>
          <s v="23-Jun"/>
          <s v="24-Jun"/>
          <s v="25-Jun"/>
          <s v="26-Jun"/>
          <s v="27-Jun"/>
          <s v="28-Jun"/>
          <s v="29-Jun"/>
          <s v="30-Jun"/>
          <s v="1-Jul"/>
          <s v="2-Jul"/>
          <s v="3-Jul"/>
          <s v="4-Jul"/>
          <s v="5-Jul"/>
          <s v="6-Jul"/>
          <s v="7-Jul"/>
          <s v="8-Jul"/>
          <s v="9-Jul"/>
          <s v="10-Jul"/>
          <s v="11-Jul"/>
          <s v="12-Jul"/>
          <s v="13-Jul"/>
          <s v="14-Jul"/>
          <s v="15-Jul"/>
          <s v="16-Jul"/>
          <s v="17-Jul"/>
          <s v="18-Jul"/>
          <s v="19-Jul"/>
          <s v="20-Jul"/>
          <s v="21-Jul"/>
          <s v="22-Jul"/>
          <s v="23-Jul"/>
          <s v="24-Jul"/>
          <s v="25-Jul"/>
          <s v="26-Jul"/>
          <s v="27-Jul"/>
          <s v="28-Jul"/>
          <s v="29-Jul"/>
          <s v="30-Jul"/>
          <s v="31-Jul"/>
          <s v="1-Aug"/>
          <s v="2-Aug"/>
          <s v="3-Aug"/>
          <s v="4-Aug"/>
          <s v="5-Aug"/>
          <s v="6-Aug"/>
          <s v="7-Aug"/>
          <s v="8-Aug"/>
          <s v="9-Aug"/>
          <s v="10-Aug"/>
          <s v="11-Aug"/>
          <s v="12-Aug"/>
          <s v="13-Aug"/>
          <s v="14-Aug"/>
          <s v="15-Aug"/>
          <s v="16-Aug"/>
          <s v="17-Aug"/>
          <s v="18-Aug"/>
          <s v="19-Aug"/>
          <s v="20-Aug"/>
          <s v="21-Aug"/>
          <s v="22-Aug"/>
          <s v="23-Aug"/>
          <s v="24-Aug"/>
          <s v="25-Aug"/>
          <s v="26-Aug"/>
          <s v="27-Aug"/>
          <s v="28-Aug"/>
          <s v="29-Aug"/>
          <s v="30-Aug"/>
          <s v="31-Aug"/>
          <s v="1-Sep"/>
          <s v="2-Sep"/>
          <s v="3-Sep"/>
          <s v="4-Sep"/>
          <s v="5-Sep"/>
          <s v="6-Sep"/>
          <s v="7-Sep"/>
          <s v="8-Sep"/>
          <s v="9-Sep"/>
          <s v="10-Sep"/>
          <s v="11-Sep"/>
          <s v="12-Sep"/>
          <s v="13-Sep"/>
          <s v="14-Sep"/>
          <s v="15-Sep"/>
          <s v="16-Sep"/>
          <s v="17-Sep"/>
          <s v="18-Sep"/>
          <s v="19-Sep"/>
          <s v="20-Sep"/>
          <s v="21-Sep"/>
          <s v="22-Sep"/>
          <s v="23-Sep"/>
          <s v="24-Sep"/>
          <s v="25-Sep"/>
          <s v="26-Sep"/>
          <s v="27-Sep"/>
          <s v="28-Sep"/>
          <s v="29-Sep"/>
          <s v="30-Sep"/>
          <s v="1-Oct"/>
          <s v="2-Oct"/>
          <s v="3-Oct"/>
          <s v="4-Oct"/>
          <s v="5-Oct"/>
          <s v="6-Oct"/>
          <s v="7-Oct"/>
          <s v="8-Oct"/>
          <s v="9-Oct"/>
          <s v="10-Oct"/>
          <s v="11-Oct"/>
          <s v="12-Oct"/>
          <s v="13-Oct"/>
          <s v="14-Oct"/>
          <s v="15-Oct"/>
          <s v="16-Oct"/>
          <s v="17-Oct"/>
          <s v="18-Oct"/>
          <s v="19-Oct"/>
          <s v="20-Oct"/>
          <s v="21-Oct"/>
          <s v="22-Oct"/>
          <s v="23-Oct"/>
          <s v="24-Oct"/>
          <s v="25-Oct"/>
          <s v="26-Oct"/>
          <s v="27-Oct"/>
          <s v="28-Oct"/>
          <s v="29-Oct"/>
          <s v="30-Oct"/>
          <s v="31-Oct"/>
          <s v="1-Nov"/>
          <s v="2-Nov"/>
          <s v="3-Nov"/>
          <s v="4-Nov"/>
          <s v="5-Nov"/>
          <s v="6-Nov"/>
          <s v="7-Nov"/>
          <s v="8-Nov"/>
          <s v="9-Nov"/>
          <s v="10-Nov"/>
          <s v="11-Nov"/>
          <s v="12-Nov"/>
          <s v="13-Nov"/>
          <s v="14-Nov"/>
          <s v="15-Nov"/>
          <s v="16-Nov"/>
          <s v="17-Nov"/>
          <s v="18-Nov"/>
          <s v="19-Nov"/>
          <s v="20-Nov"/>
          <s v="21-Nov"/>
          <s v="22-Nov"/>
          <s v="23-Nov"/>
          <s v="24-Nov"/>
          <s v="25-Nov"/>
          <s v="26-Nov"/>
          <s v="27-Nov"/>
          <s v="28-Nov"/>
          <s v="29-Nov"/>
          <s v="30-Nov"/>
          <s v="1-Dec"/>
          <s v="2-Dec"/>
          <s v="3-Dec"/>
          <s v="4-Dec"/>
          <s v="5-Dec"/>
          <s v="6-Dec"/>
          <s v="7-Dec"/>
          <s v="8-Dec"/>
          <s v="9-Dec"/>
          <s v="10-Dec"/>
          <s v="11-Dec"/>
          <s v="12-Dec"/>
          <s v="13-Dec"/>
          <s v="14-Dec"/>
          <s v="15-Dec"/>
          <s v="16-Dec"/>
          <s v="17-Dec"/>
          <s v="18-Dec"/>
          <s v="19-Dec"/>
          <s v="20-Dec"/>
          <s v="21-Dec"/>
          <s v="22-Dec"/>
          <s v="23-Dec"/>
          <s v="24-Dec"/>
          <s v="25-Dec"/>
          <s v="26-Dec"/>
          <s v="27-Dec"/>
          <s v="28-Dec"/>
          <s v="29-Dec"/>
          <s v="30-Dec"/>
          <s v="31-Dec"/>
          <s v="&gt;1/1/1905"/>
        </groupItems>
      </fieldGroup>
    </cacheField>
    <cacheField name="Time of Inital Call" numFmtId="166">
      <sharedItems containsNonDate="0" containsString="0" containsBlank="1"/>
    </cacheField>
    <cacheField name="Source of Inital Call" numFmtId="164">
      <sharedItems containsNonDate="0" containsBlank="1" count="5">
        <m/>
        <s v="Other" u="1"/>
        <s v="Parent/Guardian" u="1"/>
        <s v="Law Enforcement" u="1"/>
        <s v="School" u="1"/>
      </sharedItems>
    </cacheField>
    <cacheField name="More detail if Source of Initial Call was Other" numFmtId="164">
      <sharedItems containsNonDate="0" containsBlank="1" count="10">
        <m/>
        <s v="Community" u="1"/>
        <s v="National Suicide Hotline" u="1"/>
        <s v="Crisis Hotline" u="1"/>
        <s v="None" u="1"/>
        <s v="Daughter Sharia Snow" u="1"/>
        <s v="writer returned call" u="1"/>
        <s v="Self" u="1"/>
        <s v="Home" u="1"/>
        <s v="Randy Plumb (uncle)" u="1"/>
      </sharedItems>
    </cacheField>
    <cacheField name="Intervention Determined" numFmtId="164">
      <sharedItems containsNonDate="0" containsString="0" containsBlank="1"/>
    </cacheField>
    <cacheField name="Time of Arrival (enter value from &quot;Time of Initial Call&quot; column if phone/telehealth)" numFmtId="166">
      <sharedItems containsNonDate="0" containsString="0" containsBlank="1"/>
    </cacheField>
    <cacheField name="Place of Contact" numFmtId="164">
      <sharedItems containsNonDate="0" containsString="0" containsBlank="1"/>
    </cacheField>
    <cacheField name="Reason if Not Seen" numFmtId="164">
      <sharedItems containsNonDate="0" containsString="0" containsBlank="1"/>
    </cacheField>
    <cacheField name="Type of Contact" numFmtId="0">
      <sharedItems containsNonDate="0" containsString="0" containsBlank="1"/>
    </cacheField>
    <cacheField name="Referred By" numFmtId="164">
      <sharedItems containsNonDate="0" containsString="0" containsBlank="1"/>
    </cacheField>
    <cacheField name="Admission to CSU?" numFmtId="0">
      <sharedItems containsNonDate="0" containsString="0" containsBlank="1"/>
    </cacheField>
    <cacheField name="Referred to Treatment?" numFmtId="164">
      <sharedItems containsNonDate="0" containsString="0" containsBlank="1"/>
    </cacheField>
    <cacheField name="If Referred, Where (Agency Name)?" numFmtId="1">
      <sharedItems containsNonDate="0" containsString="0" containsBlank="1"/>
    </cacheField>
    <cacheField name="If Referred, What Level of Treatment?" numFmtId="1">
      <sharedItems containsNonDate="0" containsBlank="1" count="44">
        <m/>
        <s v="" u="1"/>
        <s v="Inpatient" u="1"/>
        <s v="Terri Flebotte, LCSW" u="1"/>
        <s v="Intensive Outpatient " u="1"/>
        <s v="Grief Support" u="1"/>
        <s v="counseling" u="1"/>
        <s v="Out of county caller, directed to St Johns County" u="1"/>
        <s v="Case Management" u="1"/>
        <s v="Psychiatric services" u="1"/>
        <s v="Unknown due to no ability to contact/out of state" u="1"/>
        <s v="Inpatient at VA in Gainsville" u="1"/>
        <s v="Outpatient" u="1"/>
        <s v="Eustis OP" u="1"/>
        <s v="Therapy" u="1"/>
        <s v="Adult Case Management and Med Management" u="1"/>
        <s v="N/A" u="1"/>
        <s v="SUD" u="1"/>
        <s v="Outpatient Therapy" u="1"/>
        <s v="Outpatient Therapy and Med Management" u="1"/>
        <s v="ES" u="1"/>
        <s v="Medication Management" u="1"/>
        <s v="Inpt (Vol)" u="1"/>
        <s v="Inpt (invol)" u="1"/>
        <s v="Residential" u="1"/>
        <s v="CCSO initiated Baker Act and cancelled MRT " u="1"/>
        <s v="Duval Crisis Response" u="1"/>
        <s v="Outpatient Therapy  " u="1"/>
        <s v="TCM" u="1"/>
        <s v="Trauma Therapy and Med Management" u="1"/>
        <s v=" Outpatient " u="1"/>
        <s v="Individual/Family Therapy/Med Management" u="1"/>
        <s v="Inpatient " u="1"/>
        <s v="Beach House " u="1"/>
        <s v="Medical emergency, not behavioral health call" u="1"/>
        <s v="Declined " u="1"/>
        <s v="BA" u="1"/>
        <s v="Vol/ Inpatient" u="1"/>
        <s v="Info call" u="1"/>
        <s v="Trauma Therapy   " u="1"/>
        <s v="Outpatient " u="1"/>
        <s v="Outpatient, Add on ABA Services/Psychological testing" u="1"/>
        <s v="OPBH" u="1"/>
        <s v="unknown" u="1"/>
      </sharedItems>
    </cacheField>
    <cacheField name="Engaged in Referred Services? (Unknown if cannot aquire info. from referred provider; N/A if no referral)" numFmtId="0">
      <sharedItems containsNonDate="0" containsString="0" containsBlank="1"/>
    </cacheField>
    <cacheField name="Successfully Completed Treatment? (Unknown if cannot aquire info. from referred provider; N/A if no referral)" numFmtId="0">
      <sharedItems containsNonDate="0" containsString="0" containsBlank="1"/>
    </cacheField>
    <cacheField name="Seriously Emotionally Disturbed (SED)? (Unknown if cannot aquire info. from referred provider; N/A if no referral)" numFmtId="0">
      <sharedItems containsNonDate="0" containsString="0" containsBlank="1"/>
    </cacheField>
    <cacheField name="Emotionally Disturbed (ED)? (Unknown if cannot aquire info. from referred provider; N/A if no referral)" numFmtId="0">
      <sharedItems containsNonDate="0" containsString="0" containsBlank="1"/>
    </cacheField>
    <cacheField name="Improved Level of Functioning? (CFARS) (Unknown if cannot aquire info. from referred provider; N/A if no referral)" numFmtId="0">
      <sharedItems containsNonDate="0" containsString="0" containsBlank="1"/>
    </cacheField>
    <cacheField name="Follow-up Activity " numFmtId="0">
      <sharedItems containsNonDate="0" containsString="0" containsBlank="1"/>
    </cacheField>
    <cacheField name="Follow-up Date" numFmtId="14">
      <sharedItems containsNonDate="0" containsString="0" containsBlank="1"/>
    </cacheField>
    <cacheField name="Provider Notes (Optional)" numFmtId="14">
      <sharedItems containsNonDate="0" containsString="0" containsBlank="1"/>
    </cacheField>
    <cacheField name="No Data entry required on this tab beyond this point" numFmtId="14">
      <sharedItems containsNonDate="0" containsString="0" containsBlank="1"/>
    </cacheField>
    <cacheField name="Validation Errors" numFmtId="0">
      <sharedItems/>
    </cacheField>
    <cacheField name="Client Age" numFmtId="0">
      <sharedItems/>
    </cacheField>
    <cacheField name="Response Time" numFmtId="0">
      <sharedItems/>
    </cacheField>
    <cacheField name="Days between call and follow-up" numFmtId="0">
      <sharedItems containsSemiMixedTypes="0" containsString="0" containsNumber="1" containsInteger="1" minValue="0" maxValue="0"/>
    </cacheField>
    <cacheField name="Under 18" numFmtId="0">
      <sharedItems/>
    </cacheField>
    <cacheField name="Rounded Time of Call" numFmtId="164">
      <sharedItems/>
    </cacheField>
    <cacheField name="Day of Week of Call" numFmtId="0">
      <sharedItems/>
    </cacheField>
    <cacheField name="County from ZIP Code" numFmtId="0">
      <sharedItems/>
    </cacheField>
    <cacheField name="Months" numFmtId="0" databaseField="0">
      <fieldGroup base="12">
        <rangePr groupBy="months" startDate="1905-01-01T00:00:00" endDate="1905-01-01T00:00:00"/>
        <groupItems count="14">
          <s v="&lt;1/1/1905"/>
          <s v="Jan"/>
          <s v="Feb"/>
          <s v="Mar"/>
          <s v="Apr"/>
          <s v="May"/>
          <s v="Jun"/>
          <s v="Jul"/>
          <s v="Aug"/>
          <s v="Sep"/>
          <s v="Oct"/>
          <s v="Nov"/>
          <s v="Dec"/>
          <s v="&gt;1/1/1905"/>
        </groupItems>
      </fieldGroup>
    </cacheField>
    <cacheField name="Years" numFmtId="0" databaseField="0">
      <fieldGroup base="12">
        <rangePr groupBy="years" startDate="1905-01-01T00:00:00" endDate="1905-01-01T00:00:00"/>
        <groupItems count="3">
          <s v="&lt;1/1/1905"/>
          <s v="1905"/>
          <s v="&gt;1/1/1905"/>
        </groupItems>
      </fieldGroup>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42">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r>
    <m/>
    <m/>
    <m/>
    <m/>
    <m/>
    <m/>
    <m/>
    <m/>
    <m/>
    <m/>
    <m/>
    <m/>
    <x v="0"/>
    <m/>
    <x v="0"/>
    <x v="0"/>
    <m/>
    <m/>
    <m/>
    <m/>
    <m/>
    <m/>
    <m/>
    <m/>
    <m/>
    <x v="0"/>
    <m/>
    <m/>
    <m/>
    <m/>
    <m/>
    <m/>
    <m/>
    <m/>
    <m/>
    <s v=""/>
    <s v="Cannot be calculated"/>
    <s v="Cannot be calculated"/>
    <n v="0"/>
    <s v="No"/>
    <s v=""/>
    <s v=""/>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40493E7-76B2-46E2-82E4-782604FDAB07}" name="PivotTable5" cacheId="6"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1:B3" firstHeaderRow="1" firstDataRow="1" firstDataCol="1"/>
  <pivotFields count="45">
    <pivotField dataField="1" showAll="0"/>
    <pivotField showAll="0"/>
    <pivotField showAll="0"/>
    <pivotField showAll="0"/>
    <pivotField showAll="0"/>
    <pivotField showAll="0"/>
    <pivotField showAll="0"/>
    <pivotField showAll="0"/>
    <pivotField showAll="0"/>
    <pivotField showAll="0"/>
    <pivotField showAll="0"/>
    <pivotField showAll="0"/>
    <pivotField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ascending">
      <items count="45">
        <item m="1" x="1"/>
        <item m="1" x="30"/>
        <item m="1" x="15"/>
        <item m="1" x="36"/>
        <item m="1" x="33"/>
        <item m="1" x="8"/>
        <item m="1" x="25"/>
        <item m="1" x="6"/>
        <item m="1" x="35"/>
        <item m="1" x="26"/>
        <item m="1" x="20"/>
        <item m="1" x="13"/>
        <item m="1" x="5"/>
        <item m="1" x="31"/>
        <item m="1" x="38"/>
        <item m="1" x="2"/>
        <item m="1" x="32"/>
        <item m="1" x="11"/>
        <item m="1" x="23"/>
        <item m="1" x="22"/>
        <item m="1" x="4"/>
        <item m="1" x="34"/>
        <item m="1" x="21"/>
        <item m="1" x="16"/>
        <item m="1" x="42"/>
        <item m="1" x="7"/>
        <item m="1" x="12"/>
        <item m="1" x="40"/>
        <item m="1" x="18"/>
        <item m="1" x="27"/>
        <item m="1" x="19"/>
        <item m="1" x="41"/>
        <item m="1" x="9"/>
        <item m="1" x="24"/>
        <item m="1" x="17"/>
        <item m="1" x="28"/>
        <item m="1" x="3"/>
        <item m="1" x="14"/>
        <item m="1" x="39"/>
        <item m="1" x="29"/>
        <item m="1" x="43"/>
        <item m="1" x="10"/>
        <item m="1" x="37"/>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4">
        <item x="0"/>
        <item x="1"/>
        <item x="2"/>
        <item t="default"/>
      </items>
    </pivotField>
  </pivotFields>
  <rowFields count="1">
    <field x="25"/>
  </rowFields>
  <rowItems count="2">
    <i>
      <x v="43"/>
    </i>
    <i t="grand">
      <x/>
    </i>
  </rowItems>
  <colItems count="1">
    <i/>
  </colItems>
  <dataFields count="1">
    <dataField name="Count of Client ID #"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E1F86E8-7CF3-467D-B498-13E16980E036}" name="PivotTable2" cacheId="6" applyNumberFormats="0" applyBorderFormats="0" applyFontFormats="0" applyPatternFormats="0" applyAlignmentFormats="0" applyWidthHeightFormats="1" dataCaption="Values" updatedVersion="6" minRefreshableVersion="3" useAutoFormatting="1" colGrandTotals="0" itemPrintTitles="1" createdVersion="6" indent="0" outline="1" outlineData="1" multipleFieldFilters="0">
  <location ref="E3:F6" firstHeaderRow="1" firstDataRow="3" firstDataCol="1" rowPageCount="1" colPageCount="1"/>
  <pivotFields count="45">
    <pivotField dataField="1"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369">
        <item h="1"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h="1" x="367"/>
        <item t="default"/>
      </items>
    </pivotField>
    <pivotField showAll="0"/>
    <pivotField axis="axisRow" showAll="0">
      <items count="6">
        <item x="0"/>
        <item m="1" x="1"/>
        <item sd="0" m="1" x="2"/>
        <item sd="0" m="1" x="4"/>
        <item sd="0" m="1" x="3"/>
        <item t="default"/>
      </items>
    </pivotField>
    <pivotField axis="axisRow" showAll="0" sortType="ascending">
      <items count="11">
        <item m="1" x="1"/>
        <item m="1" x="3"/>
        <item m="1" x="5"/>
        <item m="1" x="8"/>
        <item m="1" x="2"/>
        <item m="1" x="4"/>
        <item m="1" x="9"/>
        <item m="1" x="7"/>
        <item m="1" x="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15">
        <item x="0"/>
        <item x="1"/>
        <item x="2"/>
        <item x="3"/>
        <item x="4"/>
        <item x="5"/>
        <item x="6"/>
        <item x="7"/>
        <item x="8"/>
        <item x="9"/>
        <item x="10"/>
        <item x="11"/>
        <item x="12"/>
        <item x="13"/>
        <item t="default"/>
      </items>
    </pivotField>
    <pivotField axis="axisCol" showAll="0">
      <items count="4">
        <item x="0"/>
        <item x="1"/>
        <item x="2"/>
        <item t="default"/>
      </items>
    </pivotField>
  </pivotFields>
  <rowFields count="2">
    <field x="14"/>
    <field x="15"/>
  </rowFields>
  <rowItems count="1">
    <i t="grand">
      <x/>
    </i>
  </rowItems>
  <colFields count="2">
    <field x="44"/>
    <field x="43"/>
  </colFields>
  <pageFields count="1">
    <pageField fld="12" hier="-1"/>
  </pageFields>
  <dataFields count="1">
    <dataField name="# Calls" fld="0" subtotal="count" baseField="14" baseItem="2"/>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6B1B8FB-255D-478D-AECC-CD6AD2C9214B}" name="Table4" displayName="Table4" ref="R1:R11" totalsRowShown="0">
  <autoFilter ref="R1:R11" xr:uid="{45F4A915-D2FB-4287-BAA4-0A6E8F2934F2}"/>
  <sortState xmlns:xlrd2="http://schemas.microsoft.com/office/spreadsheetml/2017/richdata2" ref="R2:R11">
    <sortCondition ref="R1:R11"/>
  </sortState>
  <tableColumns count="1">
    <tableColumn id="1" xr3:uid="{C07E44CE-ABD7-4DFF-92CD-D9883CD523F9}" name="Provider"/>
  </tableColumns>
  <tableStyleInfo name="TableStyleLight9"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720A3732-02DB-4DED-B46C-F5AD8E0E8E5A}" name="Sex" displayName="Sex" ref="D1:D3" totalsRowShown="0" headerRowDxfId="80" tableBorderDxfId="79">
  <autoFilter ref="D1:D3" xr:uid="{001D9814-FF5D-4165-8276-646E0397F650}"/>
  <tableColumns count="1">
    <tableColumn id="1" xr3:uid="{E3157324-0AB4-4CFD-9AD4-C292B6B94156}" name="Sex"/>
  </tableColumns>
  <tableStyleInfo name="TableStyleMedium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2DB0AEC-8967-4402-BF16-EE171DF8EE99}" name="Race" displayName="Race" ref="E1:E10" totalsRowShown="0" headerRowDxfId="78" dataDxfId="77" tableBorderDxfId="76">
  <autoFilter ref="E1:E10" xr:uid="{D83A9AD7-2921-4529-A20D-5D362817C360}"/>
  <tableColumns count="1">
    <tableColumn id="1" xr3:uid="{CCE3BF69-C3BB-479F-B0A8-626A62AF887B}" name="Race" dataDxfId="75"/>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45DEF240-D7B1-4A88-A7CF-41B47DC76141}" name="Ethnicity" displayName="Ethnicity" ref="F1:F10" totalsRowShown="0" headerRowDxfId="74" dataDxfId="73" tableBorderDxfId="72">
  <autoFilter ref="F1:F10" xr:uid="{2E8B1C40-340E-4F67-9ECD-8F90849B510A}"/>
  <tableColumns count="1">
    <tableColumn id="1" xr3:uid="{883A1BEC-79B5-40A5-A01C-F6A034DDDC46}" name="Ethnicity" dataDxfId="71"/>
  </tableColumns>
  <tableStyleInfo name="TableStyleMedium7"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9346644-46F9-4CAB-96D1-B7D90B532B21}" name="CallSource" displayName="CallSource" ref="G1:G5" totalsRowShown="0" headerRowDxfId="70" tableBorderDxfId="69">
  <autoFilter ref="G1:G5" xr:uid="{152B4ACA-3410-461F-A759-1BA6799D670E}"/>
  <tableColumns count="1">
    <tableColumn id="1" xr3:uid="{71347A64-B95B-42BA-98B1-4E5567C994BE}" name="Source of Inital Call"/>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9EBB0447-464F-415D-80CD-F56C536DD609}" name="Intervention" displayName="Intervention" ref="H1:H5" totalsRowShown="0" headerRowDxfId="68" tableBorderDxfId="67">
  <autoFilter ref="H1:H5" xr:uid="{F3E15A4C-0178-4131-B219-2A6639365849}"/>
  <tableColumns count="1">
    <tableColumn id="1" xr3:uid="{74314E22-071C-463C-8FBB-5F5E824C965C}" name="Intervention Determined"/>
  </tableColumns>
  <tableStyleInfo name="TableStyleMedium7"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635B0118-F8B7-4930-A7A5-DAE325ED19C6}" name="ReasonNotSeen" displayName="ReasonNotSeen" ref="I1:I3" totalsRowShown="0" headerRowDxfId="66" tableBorderDxfId="65">
  <autoFilter ref="I1:I3" xr:uid="{24D2EDEB-66F6-4D45-A055-8539756ACB30}"/>
  <tableColumns count="1">
    <tableColumn id="1" xr3:uid="{59E59E43-358E-46E6-B82D-9436FD181A6D}" name="Reason if Not Seen"/>
  </tableColumns>
  <tableStyleInfo name="TableStyleMedium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2A9BFFF7-7F20-46F7-88E1-9DAB53C84DAF}" name="ContactType" displayName="ContactType" ref="J1:J3" totalsRowShown="0" headerRowDxfId="64" tableBorderDxfId="63">
  <autoFilter ref="J1:J3" xr:uid="{512076EB-F966-4E53-8A81-BA3B6DEEC0F6}"/>
  <tableColumns count="1">
    <tableColumn id="1" xr3:uid="{1B135AF1-6C72-49CB-9B6F-ED561A18FDCC}" name="Type of Contact"/>
  </tableColumns>
  <tableStyleInfo name="TableStyleMedium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400D832F-07F2-4C74-A712-53C92F9BFC29}" name="CSUAdmission" displayName="CSUAdmission" ref="K1:K3" totalsRowShown="0" headerRowDxfId="62" tableBorderDxfId="61">
  <autoFilter ref="K1:K3" xr:uid="{1D926A19-4AB1-4533-B441-E3AFE19A385D}"/>
  <tableColumns count="1">
    <tableColumn id="1" xr3:uid="{143496E9-ED0A-4111-9AC0-13487EF8C451}" name="Admission to CSU?"/>
  </tableColumns>
  <tableStyleInfo name="TableStyleMedium1"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E5440F19-8C9D-4B8B-83B9-44C721F7809B}" name="ReferredTreatment" displayName="ReferredTreatment" ref="L1:L5" totalsRowShown="0" headerRowDxfId="60" tableBorderDxfId="59">
  <autoFilter ref="L1:L5" xr:uid="{54788EB1-053B-415C-91AA-D72FCD739A21}"/>
  <tableColumns count="1">
    <tableColumn id="1" xr3:uid="{35A87C24-D470-453C-905D-6627DF4125E6}" name="Referred to Treatment?"/>
  </tableColumns>
  <tableStyleInfo name="TableStyleMedium1"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38D69611-988B-4A40-B53F-5F7DB218F613}" name="EngagedServices" displayName="EngagedServices" ref="M1:M5" totalsRowShown="0" headerRowDxfId="58" tableBorderDxfId="57">
  <autoFilter ref="M1:M5" xr:uid="{CD0D9F38-A163-4F2F-BF0D-76B816277CB0}"/>
  <tableColumns count="1">
    <tableColumn id="1" xr3:uid="{7212037D-50E7-464A-B62D-4821C53717C6}" name="Engaged in Referred Services? (Unknown if cannot aquire info. from referred provider; N/A if no referral)"/>
  </tableColumns>
  <tableStyleInfo name="TableStyleMedium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6A442CF2-CDF1-4833-9986-972C3D34FF08}" name="Lifestream" displayName="Lifestream" ref="S1:S3" totalsRowShown="0">
  <autoFilter ref="S1:S3" xr:uid="{5F089DFE-70C6-49D0-8729-ADE02E3F9161}"/>
  <sortState xmlns:xlrd2="http://schemas.microsoft.com/office/spreadsheetml/2017/richdata2" ref="S2:S3">
    <sortCondition ref="S1:S3"/>
  </sortState>
  <tableColumns count="1">
    <tableColumn id="1" xr3:uid="{0B92C092-6E27-4C6D-8F0B-E6A6A4161A45}" name="Lifestream"/>
  </tableColumns>
  <tableStyleInfo name="TableStyleLight9"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4844694C-F8B0-4426-888D-530BE78ECAE7}" name="CompletedTreatment" displayName="CompletedTreatment" ref="N1:N5" totalsRowShown="0" headerRowDxfId="56" tableBorderDxfId="55">
  <autoFilter ref="N1:N5" xr:uid="{4043E2EB-478F-4373-ACBE-6C84F71B85A9}"/>
  <tableColumns count="1">
    <tableColumn id="1" xr3:uid="{281D3325-BC8D-460B-A303-4F30FCF4D96D}" name="Successfully Completed Treatment? (Unknown if cannot aquire info. from referred provider; N/A if no referral)"/>
  </tableColumns>
  <tableStyleInfo name="TableStyleMedium1"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2BCCA600-6530-4D09-AEB1-23826F5B65F0}" name="SED" displayName="SED" ref="O1:O5" totalsRowShown="0" headerRowDxfId="54" tableBorderDxfId="53">
  <autoFilter ref="O1:O5" xr:uid="{90A2A2E1-B6AD-442C-BC2D-FD53A75973BC}"/>
  <tableColumns count="1">
    <tableColumn id="1" xr3:uid="{6908B522-E0AA-4DAB-8774-184C86CC548D}" name="Seriously Emotionally Disturbed (SED)? (Unknown if cannot aquire info. from referred provider; N/A if no referral)"/>
  </tableColumns>
  <tableStyleInfo name="TableStyleMedium1"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B1F11A7A-DF1E-4955-B0BD-EB32550D23F2}" name="ED" displayName="ED" ref="P1:P5" totalsRowShown="0" headerRowDxfId="52" tableBorderDxfId="51">
  <autoFilter ref="P1:P5" xr:uid="{48E0D4E4-055D-4FEF-8047-E44B065B2CF9}"/>
  <tableColumns count="1">
    <tableColumn id="1" xr3:uid="{250E5A43-088A-4F89-AC5D-24CE5959F731}" name="Emotionally Disturbed (ED)? (Unknown if cannot aquire info. from referred provider; N/A if no referral)"/>
  </tableColumns>
  <tableStyleInfo name="TableStyleMedium1"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576CA72E-1DDA-47E2-877E-8AF0FA091634}" name="CFARS" displayName="CFARS" ref="Q1:Q5" totalsRowShown="0" headerRowDxfId="50" tableBorderDxfId="49">
  <autoFilter ref="Q1:Q5" xr:uid="{BBF8A5B3-40DF-4A10-BBDE-469040867073}"/>
  <tableColumns count="1">
    <tableColumn id="1" xr3:uid="{B7C3AE38-E105-4C5C-823E-76084532A966}" name="Improved Level of Functioning? (CFARS) (Unknown if cannot aquire info. from referred provider; N/A if no referral)"/>
  </tableColumns>
  <tableStyleInfo name="TableStyleMedium1"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4393EB2-ACC8-4A5D-842E-1831112AD786}" name="Table27" displayName="Table27" ref="Y1:AA1473" totalsRowShown="0">
  <autoFilter ref="Y1:AA1473" xr:uid="{A1FACE3C-9E10-435B-9A29-39669D6F9765}"/>
  <tableColumns count="3">
    <tableColumn id="1" xr3:uid="{636084CF-21B5-4EC3-ADF5-85C23491A937}" name="Zip Code"/>
    <tableColumn id="2" xr3:uid="{4ECC6926-C8E2-45DB-98FA-A59ABB590CA5}" name="City"/>
    <tableColumn id="3" xr3:uid="{1918E8FF-08CF-434F-9CD9-F582FEBECDB0}" name="County"/>
  </tableColumns>
  <tableStyleInfo name="TableStyleMedium1"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D0D005CB-A860-48F6-84A4-F3CA755C3B21}" name="Table9" displayName="Table9" ref="A1:E95" totalsRowShown="0">
  <autoFilter ref="A1:E95" xr:uid="{409FA4AD-2A90-48A2-8984-8BD6CCAA25AD}"/>
  <tableColumns count="5">
    <tableColumn id="1" xr3:uid="{BC191A12-ACF9-4080-A108-412F5D448CF7}" name="Tab" dataDxfId="48"/>
    <tableColumn id="2" xr3:uid="{2E762AFA-1894-4BAE-9EEC-D6D7CC26346E}" name="Field" dataDxfId="47"/>
    <tableColumn id="3" xr3:uid="{88B9E138-9DE6-49FA-97D4-6D4AC2D4EE4B}" name="Definition"/>
    <tableColumn id="4" xr3:uid="{EF5F6E91-434F-401B-BB5B-0B1875F6F8C5}" name="Format"/>
    <tableColumn id="5" xr3:uid="{761DA351-777B-432E-8C88-15A41BC8F7FB}" name="Required?"/>
  </tableColumns>
  <tableStyleInfo name="TableStyleMedium7"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7C959DE-C721-430C-A30E-D40F69E1102F}" name="Table24" displayName="Table24" ref="A1:AQ543" totalsRowShown="0" headerRowDxfId="45">
  <autoFilter ref="A1:AQ543" xr:uid="{7B43CB01-2126-48F8-862F-FA27F5AACB59}"/>
  <tableColumns count="43">
    <tableColumn id="1" xr3:uid="{94850DEF-ED76-4F1D-B413-D3F055C411E2}" name="Client ID #" dataDxfId="44"/>
    <tableColumn id="32" xr3:uid="{38A8BEFE-0D95-4645-AE12-01AEAB3B301C}" name="Client Last Name"/>
    <tableColumn id="13" xr3:uid="{682368CE-E13D-4BC4-8536-7C14B147043A}" name="Client First Name" dataDxfId="43"/>
    <tableColumn id="2" xr3:uid="{AB2FFA0E-61F6-4D74-9161-6121163FFFEC}" name="DOB" dataDxfId="42"/>
    <tableColumn id="18" xr3:uid="{E2C35878-D0E8-43FE-A7C2-D6A43C0CA1B3}" name="If client DOB unknown, is client under 18?" dataDxfId="41"/>
    <tableColumn id="37" xr3:uid="{90B98A28-A5A6-495F-8313-F6C7E7C485D6}" name="If client is under 18, is the client involved in child welfare?" dataDxfId="40"/>
    <tableColumn id="38" xr3:uid="{FBE829EE-AD94-4377-A6C5-683C85016C2D}" name="If client is under 18, was parental consent obtained?" dataDxfId="39"/>
    <tableColumn id="3" xr3:uid="{5DDE7193-835E-4485-88D0-EE85C1F01E83}" name="Sex" dataDxfId="38"/>
    <tableColumn id="4" xr3:uid="{307A2A87-28DC-4B1F-B254-5BF5FD70C6C6}" name="Residence Zip Code" dataDxfId="37"/>
    <tableColumn id="27" xr3:uid="{072FDE51-7A6F-4599-9744-EB43138D269B}" name="Race" dataDxfId="36"/>
    <tableColumn id="31" xr3:uid="{60152126-8D7D-48C1-8E69-1BB32DB2D663}" name="Ethnicity" dataDxfId="35"/>
    <tableColumn id="23" xr3:uid="{7EC086D3-7912-4539-8234-0E9BCA2CBB25}" name="Name of School Attending (enter N/A if non-school aged)" dataDxfId="34"/>
    <tableColumn id="16" xr3:uid="{97845232-EE46-4E5B-AF0D-FE21A7611824}" name="Date of Call" dataDxfId="33"/>
    <tableColumn id="5" xr3:uid="{2FC811CA-893B-4331-B2E4-BD2D56B92583}" name="Time of Inital Call" dataDxfId="32"/>
    <tableColumn id="19" xr3:uid="{49480AAE-7545-4ACC-B3D5-BF2B3C06086E}" name="Source of Inital Call" dataDxfId="31"/>
    <tableColumn id="47" xr3:uid="{E2350428-800A-4E0F-99C1-3B30F57FC569}" name="More detail if Source of Initial Call was Other" dataDxfId="30"/>
    <tableColumn id="28" xr3:uid="{C4026D23-6EDE-4D17-B66F-299F08628124}" name="Intervention Determined" dataDxfId="29"/>
    <tableColumn id="29" xr3:uid="{CD5E6ACF-D0C8-4E5C-8C86-57DF6F6B6B8D}" name="Time of Arrival (enter value from &quot;Time of Initial Call&quot; column if phone/telehealth)" dataDxfId="28"/>
    <tableColumn id="20" xr3:uid="{512C6D3D-1EA1-4712-821D-9CC2B72795D7}" name="Place of Contact" dataDxfId="27"/>
    <tableColumn id="30" xr3:uid="{739A4431-93E8-4A33-B242-DB31DBBABF28}" name="Reason if Not Seen" dataDxfId="26"/>
    <tableColumn id="8" xr3:uid="{B81EABAA-AD96-4808-8C3C-C057A0F7A63D}" name="Type of Contact" dataDxfId="25"/>
    <tableColumn id="21" xr3:uid="{485ABAE2-397F-4853-86D9-606B59894469}" name="Referred By" dataDxfId="24"/>
    <tableColumn id="9" xr3:uid="{B1AC96CB-BBEE-4686-BD72-F49E1FA4EF69}" name="Admission to CSU?"/>
    <tableColumn id="10" xr3:uid="{8EC1A5C7-5FF1-4BE1-8F44-A58095F175E6}" name="Referred to Treatment?" dataDxfId="23"/>
    <tableColumn id="17" xr3:uid="{00F57D28-010F-4A0C-A9C3-2E37D008E647}" name="If Referred, Where (Agency Name)?" dataDxfId="22"/>
    <tableColumn id="22" xr3:uid="{DCF0DF71-B7AC-4805-8FDA-E4CF0A218410}" name="If Referred, What Level of Treatment?" dataDxfId="21"/>
    <tableColumn id="24" xr3:uid="{CFCD3E3B-AF10-4F21-9B95-EA5BC8C0EC64}" name="Engaged in Referred Services? (Unknown if cannot aquire info. from referred provider; N/A if no referral)" dataDxfId="20"/>
    <tableColumn id="11" xr3:uid="{372A500F-565D-4391-BEB6-378B631085A3}" name="Successfully Completed Treatment? (Unknown if cannot aquire info. from referred provider; N/A if no referral)" dataDxfId="19"/>
    <tableColumn id="12" xr3:uid="{EE8EA158-5FE9-4176-8720-A894D638FF86}" name="Seriously Emotionally Disturbed (SED)? (Unknown if cannot aquire info. from referred provider; N/A if no referral)" dataDxfId="18"/>
    <tableColumn id="14" xr3:uid="{2D683E58-0D24-49EF-A6DE-199673321522}" name="Emotionally Disturbed (ED)? (Unknown if cannot aquire info. from referred provider; N/A if no referral)" dataDxfId="17"/>
    <tableColumn id="15" xr3:uid="{59014E80-61CA-4C88-B6B2-EA4D2AD6D7D9}" name="Improved Level of Functioning? (CFARS) (Unknown if cannot aquire info. from referred provider; N/A if no referral)" dataDxfId="16"/>
    <tableColumn id="25" xr3:uid="{6DE424D4-1D55-4F7C-8F0F-683F3525E8B0}" name="Follow-up Activity "/>
    <tableColumn id="26" xr3:uid="{18EB86F4-0DCB-417F-A3FB-0248E93B17DF}" name="Follow-up Date" dataDxfId="15"/>
    <tableColumn id="35" xr3:uid="{F3D8B212-A3BE-4C7B-B04D-3CEAA4BD23C8}" name="Provider Notes (Optional)" dataDxfId="14"/>
    <tableColumn id="6" xr3:uid="{65D9D5EA-678E-4467-BE83-991008D05665}" name="No Data entry required on this tab beyond this point" dataDxfId="13"/>
    <tableColumn id="36" xr3:uid="{D8FAF8FE-1072-4D01-917A-23A10505EFF1}" name="Validation Errors" dataDxfId="12">
      <calculatedColumnFormula>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calculatedColumnFormula>
    </tableColumn>
    <tableColumn id="39" xr3:uid="{64E51E63-BCC2-4E3B-A29F-DBB1B03ACFB7}" name="Client Age" dataDxfId="11">
      <calculatedColumnFormula>IFERROR(IF(OR(TRIM(Table24[[#This Row],[DOB]])="",TRIM(Table24[[#This Row],[Date of Call]])=""),"Cannot be calculated",DATEDIF(Table24[[#This Row],[DOB]],Table24[[#This Row],[Date of Call]],"Y")),"Cannot be calculated")</calculatedColumnFormula>
    </tableColumn>
    <tableColumn id="40" xr3:uid="{578DCEBE-E3CF-4B27-85E3-38B3FEC3A07B}" name="Response Time" dataDxfId="10">
      <calculatedColumnFormula>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calculatedColumnFormula>
    </tableColumn>
    <tableColumn id="45" xr3:uid="{13AE3738-ABA9-47B5-A039-A69456A98EBB}" name="Days between call and follow-up" dataDxfId="9">
      <calculatedColumnFormula>IFERROR(DATEDIF(Table24[[#This Row],[Date of Call]],Table24[[#This Row],[Follow-up Date]],"D"),"Cannot be calculated")</calculatedColumnFormula>
    </tableColumn>
    <tableColumn id="46" xr3:uid="{27A7E381-C457-44AA-9076-913CDA87810A}" name="Under 18" dataDxfId="8">
      <calculatedColumnFormula>IF(OR(Table24[[#This Row],[Client Age]]&lt;18,Table24[[#This Row],[If client DOB unknown, is client under 18?]]="Yes"),"Yes","No")</calculatedColumnFormula>
    </tableColumn>
    <tableColumn id="7" xr3:uid="{A350E270-28C4-46AF-9FE0-6E8D7AE1CF6C}" name="Rounded Time of Call" dataDxfId="7">
      <calculatedColumnFormula>IF(Table24[[#This Row],[Time of Inital Call]]="","",IFERROR(MROUND(Table24[[#This Row],[Time of Inital Call]],"1:00"),""))</calculatedColumnFormula>
    </tableColumn>
    <tableColumn id="33" xr3:uid="{9EA97CF6-6DF5-4E6D-83D5-EA022A77274C}" name="Day of Week of Call" dataDxfId="6">
      <calculatedColumnFormula>IF(Table24[[#This Row],[Date of Call]]="","",TEXT(Table24[[#This Row],[Date of Call]],"dddd"))</calculatedColumnFormula>
    </tableColumn>
    <tableColumn id="34" xr3:uid="{DE359891-CCD7-4B58-A6AD-A5CF473F6AFE}" name="County from ZIP Code" dataDxfId="5">
      <calculatedColumnFormula>IFERROR(VLOOKUP(Table24[[#This Row],[Residence Zip Code]],Table27[],3,FALSE),"")</calculatedColumnFormula>
    </tableColumn>
  </tableColumns>
  <tableStyleInfo name="TableStyleLight17"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D603392-3400-4675-A6AA-F8546B016185}" name="Table1" displayName="Table1" ref="A1:G115" totalsRowShown="0">
  <autoFilter ref="A1:G115" xr:uid="{67F79D85-3A32-4B85-BC96-B85B7095F43B}"/>
  <tableColumns count="7">
    <tableColumn id="1" xr3:uid="{F925812F-D84F-419A-B461-991AA0936352}" name="Type of Outreach"/>
    <tableColumn id="2" xr3:uid="{687B2339-8629-4C83-84F5-4179B7CE16B7}" name="Type of Entity Where Outreach was Provided"/>
    <tableColumn id="5" xr3:uid="{54A00F80-9045-45DC-8F44-B7E5C749ACEB}" name="Explain &quot;Other&quot;" dataDxfId="3"/>
    <tableColumn id="4" xr3:uid="{15BBC5C3-3B43-4FE3-A639-978FEFA9DF3A}" name="Name of Entity"/>
    <tableColumn id="3" xr3:uid="{DAE47248-3099-4659-ABBC-AA4B4B5EFDC5}" name="Date of Outreach" dataDxfId="2"/>
    <tableColumn id="6" xr3:uid="{6FC214A8-1CE0-44BE-AEAD-62E59FBFA731}" name="No Data entry required on this tab beyond this point" dataDxfId="1"/>
    <tableColumn id="7" xr3:uid="{292D69DC-E853-4C83-8413-3183766FC671}" name="Validation Errors" dataDxfId="0">
      <calculatedColumnFormula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calculatedColumnFormula>
    </tableColumn>
  </tableColumns>
  <tableStyleInfo name="TableStyleLight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2FA85258-BF9E-4548-A4B8-E11F64DFFFD5}" name="Meridian" displayName="Meridian" ref="T1:T4" totalsRowShown="0">
  <autoFilter ref="T1:T4" xr:uid="{D43FD229-5E9F-4875-B8BC-2083D3D28C9A}"/>
  <sortState xmlns:xlrd2="http://schemas.microsoft.com/office/spreadsheetml/2017/richdata2" ref="T2:T4">
    <sortCondition ref="T1:T4"/>
  </sortState>
  <tableColumns count="1">
    <tableColumn id="1" xr3:uid="{511949B9-3F32-4310-AC04-5A0DD7D87B91}" name="Meridian"/>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EBE31D6-D51C-4F06-8F10-2DE035B1F933}" name="Other" displayName="Other" ref="V1:V2" totalsRowShown="0">
  <autoFilter ref="V1:V2" xr:uid="{C150CB59-8402-42BB-BC85-6C8E51BD3952}"/>
  <tableColumns count="1">
    <tableColumn id="1" xr3:uid="{81912C2B-2148-4585-8302-F6C35DEE9ED4}" name="Other"/>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3B81C9F3-3607-4E59-A1A7-92F0BD34DA91}" name="SMA" displayName="SMA" ref="U1:U3" totalsRowShown="0">
  <autoFilter ref="U1:U3" xr:uid="{A67B08D3-10D6-4F2A-968A-614CCE27FFBB}"/>
  <tableColumns count="1">
    <tableColumn id="1" xr3:uid="{C13260D5-35CA-4C3A-A82E-8E44FEB0BAA4}" name="SMA"/>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2A561DB-50D5-41E7-AF0C-938F575C84AE}" name="Under18" displayName="Under18" ref="A1:A5" totalsRowShown="0" headerRowDxfId="86" tableBorderDxfId="85">
  <autoFilter ref="A1:A5" xr:uid="{221ECC24-0BFB-4AC6-B83F-A6D8976F948A}"/>
  <tableColumns count="1">
    <tableColumn id="1" xr3:uid="{2F2B7F6C-F61C-492B-821B-2B15EEC04EDD}" name="If client DOB unknown, is client under 18?"/>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F0B8AA0A-2986-4289-9DAB-36A4CA472CC6}" name="OutreachEntity" displayName="OutreachEntity" ref="W1:W4" totalsRowShown="0">
  <autoFilter ref="W1:W4" xr:uid="{0FAB5519-8B76-467F-AC65-6038BA89F875}"/>
  <tableColumns count="1">
    <tableColumn id="1" xr3:uid="{0E38CB89-7DF2-4A90-A5A5-33FC3F0A17A8}" name="OutreachEntity"/>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F14CCB02-C549-45A1-98F8-DFA771F9AD33}" name="ChildWelfare" displayName="ChildWelfare" ref="B1:B5" totalsRowShown="0" headerRowDxfId="84" tableBorderDxfId="83">
  <autoFilter ref="B1:B5" xr:uid="{63AEDA56-C08A-45D6-9617-9239C521D22D}"/>
  <tableColumns count="1">
    <tableColumn id="1" xr3:uid="{67762203-7D59-4C49-BF02-7E3FBE304AD0}" name="If client is under 18, is the client involved in child welfare?"/>
  </tableColumns>
  <tableStyleInfo name="TableStyleMedium3"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1915B610-06F2-41E3-93D3-F30AE745E2B6}" name="ParentalConsent" displayName="ParentalConsent" ref="C1:C5" totalsRowShown="0" headerRowDxfId="82" tableBorderDxfId="81">
  <autoFilter ref="C1:C5" xr:uid="{991F895E-68AB-48B2-9AE5-E9D18F2AA9D1}"/>
  <tableColumns count="1">
    <tableColumn id="1" xr3:uid="{CB116545-093D-4CFC-B93E-E99045579EE5}" name="If client is under 18, was parental consent obtained?"/>
  </tableColumns>
  <tableStyleInfo name="TableStyleMedium4"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table" Target="../tables/table8.xml"/><Relationship Id="rId13" Type="http://schemas.openxmlformats.org/officeDocument/2006/relationships/table" Target="../tables/table13.xml"/><Relationship Id="rId18" Type="http://schemas.openxmlformats.org/officeDocument/2006/relationships/table" Target="../tables/table18.xml"/><Relationship Id="rId3" Type="http://schemas.openxmlformats.org/officeDocument/2006/relationships/table" Target="../tables/table3.xml"/><Relationship Id="rId21" Type="http://schemas.openxmlformats.org/officeDocument/2006/relationships/table" Target="../tables/table21.xml"/><Relationship Id="rId7" Type="http://schemas.openxmlformats.org/officeDocument/2006/relationships/table" Target="../tables/table7.xml"/><Relationship Id="rId12" Type="http://schemas.openxmlformats.org/officeDocument/2006/relationships/table" Target="../tables/table12.xml"/><Relationship Id="rId17" Type="http://schemas.openxmlformats.org/officeDocument/2006/relationships/table" Target="../tables/table17.xml"/><Relationship Id="rId2" Type="http://schemas.openxmlformats.org/officeDocument/2006/relationships/table" Target="../tables/table2.xml"/><Relationship Id="rId16" Type="http://schemas.openxmlformats.org/officeDocument/2006/relationships/table" Target="../tables/table16.xml"/><Relationship Id="rId20" Type="http://schemas.openxmlformats.org/officeDocument/2006/relationships/table" Target="../tables/table20.xml"/><Relationship Id="rId1" Type="http://schemas.openxmlformats.org/officeDocument/2006/relationships/table" Target="../tables/table1.xml"/><Relationship Id="rId6" Type="http://schemas.openxmlformats.org/officeDocument/2006/relationships/table" Target="../tables/table6.xml"/><Relationship Id="rId11" Type="http://schemas.openxmlformats.org/officeDocument/2006/relationships/table" Target="../tables/table11.xml"/><Relationship Id="rId24" Type="http://schemas.openxmlformats.org/officeDocument/2006/relationships/table" Target="../tables/table24.xml"/><Relationship Id="rId5" Type="http://schemas.openxmlformats.org/officeDocument/2006/relationships/table" Target="../tables/table5.xml"/><Relationship Id="rId15" Type="http://schemas.openxmlformats.org/officeDocument/2006/relationships/table" Target="../tables/table15.xml"/><Relationship Id="rId23" Type="http://schemas.openxmlformats.org/officeDocument/2006/relationships/table" Target="../tables/table23.xml"/><Relationship Id="rId10" Type="http://schemas.openxmlformats.org/officeDocument/2006/relationships/table" Target="../tables/table10.xml"/><Relationship Id="rId19" Type="http://schemas.openxmlformats.org/officeDocument/2006/relationships/table" Target="../tables/table19.xml"/><Relationship Id="rId4" Type="http://schemas.openxmlformats.org/officeDocument/2006/relationships/table" Target="../tables/table4.xml"/><Relationship Id="rId9" Type="http://schemas.openxmlformats.org/officeDocument/2006/relationships/table" Target="../tables/table9.xml"/><Relationship Id="rId14" Type="http://schemas.openxmlformats.org/officeDocument/2006/relationships/table" Target="../tables/table14.xml"/><Relationship Id="rId22" Type="http://schemas.openxmlformats.org/officeDocument/2006/relationships/table" Target="../tables/table22.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ivotTable" Target="../pivotTables/pivotTable1.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ivotTable" Target="../pivotTables/pivotTable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3.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B648C-6FA9-47C2-9F34-03D7BCEF7070}">
  <dimension ref="A1:AA1473"/>
  <sheetViews>
    <sheetView workbookViewId="0">
      <selection activeCell="B14" sqref="B14"/>
    </sheetView>
  </sheetViews>
  <sheetFormatPr defaultRowHeight="15" x14ac:dyDescent="0.25"/>
  <cols>
    <col min="1" max="1" width="39.85546875" customWidth="1"/>
    <col min="2" max="2" width="54.42578125" customWidth="1"/>
    <col min="3" max="3" width="49" customWidth="1"/>
    <col min="6" max="6" width="10.85546875" customWidth="1"/>
    <col min="7" max="7" width="20.140625" customWidth="1"/>
    <col min="8" max="8" width="25.42578125" customWidth="1"/>
    <col min="9" max="9" width="19.85546875" customWidth="1"/>
    <col min="10" max="10" width="16.85546875" customWidth="1"/>
    <col min="11" max="11" width="19.7109375" customWidth="1"/>
    <col min="12" max="12" width="24" customWidth="1"/>
    <col min="13" max="17" width="73.42578125" customWidth="1"/>
    <col min="18" max="18" width="10.7109375" customWidth="1"/>
    <col min="19" max="19" width="12.5703125" customWidth="1"/>
    <col min="20" max="21" width="11.140625" customWidth="1"/>
    <col min="23" max="23" width="16.42578125" customWidth="1"/>
    <col min="25" max="25" width="10.85546875" customWidth="1"/>
    <col min="27" max="27" width="9.42578125" customWidth="1"/>
  </cols>
  <sheetData>
    <row r="1" spans="1:27" x14ac:dyDescent="0.25">
      <c r="A1" s="41" t="s">
        <v>30</v>
      </c>
      <c r="B1" s="41" t="s">
        <v>34</v>
      </c>
      <c r="C1" s="41" t="s">
        <v>33</v>
      </c>
      <c r="D1" s="41" t="s">
        <v>24</v>
      </c>
      <c r="E1" s="41" t="s">
        <v>22</v>
      </c>
      <c r="F1" s="41" t="s">
        <v>21</v>
      </c>
      <c r="G1" s="41" t="s">
        <v>17</v>
      </c>
      <c r="H1" s="41" t="s">
        <v>16</v>
      </c>
      <c r="I1" s="41" t="s">
        <v>12</v>
      </c>
      <c r="J1" s="41" t="s">
        <v>11</v>
      </c>
      <c r="K1" s="41" t="s">
        <v>9</v>
      </c>
      <c r="L1" s="41" t="s">
        <v>8</v>
      </c>
      <c r="M1" s="41" t="s">
        <v>5</v>
      </c>
      <c r="N1" s="41" t="s">
        <v>31</v>
      </c>
      <c r="O1" s="41" t="s">
        <v>4</v>
      </c>
      <c r="P1" s="41" t="s">
        <v>3</v>
      </c>
      <c r="Q1" s="41" t="s">
        <v>2</v>
      </c>
      <c r="R1" t="s">
        <v>92</v>
      </c>
      <c r="S1" t="s">
        <v>102</v>
      </c>
      <c r="T1" t="s">
        <v>96</v>
      </c>
      <c r="U1" t="s">
        <v>93</v>
      </c>
      <c r="V1" t="s">
        <v>60</v>
      </c>
      <c r="W1" t="s">
        <v>249</v>
      </c>
      <c r="Y1" t="s">
        <v>309</v>
      </c>
      <c r="Z1" t="s">
        <v>310</v>
      </c>
      <c r="AA1" t="s">
        <v>311</v>
      </c>
    </row>
    <row r="2" spans="1:27" x14ac:dyDescent="0.25">
      <c r="A2" s="39" t="s">
        <v>55</v>
      </c>
      <c r="B2" s="39" t="s">
        <v>55</v>
      </c>
      <c r="C2" s="39" t="s">
        <v>55</v>
      </c>
      <c r="D2" s="39" t="s">
        <v>56</v>
      </c>
      <c r="E2" s="39" t="s">
        <v>57</v>
      </c>
      <c r="F2" s="39" t="s">
        <v>64</v>
      </c>
      <c r="G2" s="39" t="s">
        <v>73</v>
      </c>
      <c r="H2" s="39" t="s">
        <v>74</v>
      </c>
      <c r="I2" s="39" t="s">
        <v>75</v>
      </c>
      <c r="J2" s="39" t="s">
        <v>76</v>
      </c>
      <c r="K2" s="39" t="s">
        <v>55</v>
      </c>
      <c r="L2" s="39" t="s">
        <v>77</v>
      </c>
      <c r="M2" s="39" t="s">
        <v>55</v>
      </c>
      <c r="N2" s="39" t="s">
        <v>55</v>
      </c>
      <c r="O2" s="39" t="s">
        <v>55</v>
      </c>
      <c r="P2" s="39" t="s">
        <v>55</v>
      </c>
      <c r="Q2" s="39" t="s">
        <v>55</v>
      </c>
      <c r="R2" t="s">
        <v>95</v>
      </c>
      <c r="S2" t="s">
        <v>104</v>
      </c>
      <c r="T2" t="s">
        <v>107</v>
      </c>
      <c r="U2" t="s">
        <v>246</v>
      </c>
      <c r="V2" t="s">
        <v>54</v>
      </c>
      <c r="W2" t="s">
        <v>73</v>
      </c>
      <c r="Y2">
        <v>32003</v>
      </c>
      <c r="Z2" t="s">
        <v>312</v>
      </c>
      <c r="AA2" t="s">
        <v>98</v>
      </c>
    </row>
    <row r="3" spans="1:27" x14ac:dyDescent="0.25">
      <c r="A3" s="40" t="s">
        <v>78</v>
      </c>
      <c r="B3" s="40" t="s">
        <v>78</v>
      </c>
      <c r="C3" s="40" t="s">
        <v>80</v>
      </c>
      <c r="D3" s="40" t="s">
        <v>82</v>
      </c>
      <c r="E3" s="40" t="s">
        <v>58</v>
      </c>
      <c r="F3" s="40" t="s">
        <v>65</v>
      </c>
      <c r="G3" s="40" t="s">
        <v>84</v>
      </c>
      <c r="H3" s="40" t="s">
        <v>86</v>
      </c>
      <c r="I3" s="40" t="s">
        <v>60</v>
      </c>
      <c r="J3" s="40" t="s">
        <v>89</v>
      </c>
      <c r="K3" s="40" t="s">
        <v>78</v>
      </c>
      <c r="L3" s="40" t="s">
        <v>90</v>
      </c>
      <c r="M3" s="40" t="s">
        <v>78</v>
      </c>
      <c r="N3" s="40" t="s">
        <v>78</v>
      </c>
      <c r="O3" s="40" t="s">
        <v>78</v>
      </c>
      <c r="P3" s="40" t="s">
        <v>78</v>
      </c>
      <c r="Q3" s="40" t="s">
        <v>78</v>
      </c>
      <c r="R3" t="s">
        <v>97</v>
      </c>
      <c r="S3" t="s">
        <v>103</v>
      </c>
      <c r="T3" t="s">
        <v>106</v>
      </c>
      <c r="U3" t="s">
        <v>245</v>
      </c>
      <c r="W3" t="s">
        <v>84</v>
      </c>
      <c r="X3" t="str" cm="1">
        <f t="array" aca="1" ref="X3" ca="1">IF(IFERROR(INDIRECT(Instructions!$B$8),"Other")&lt;&gt;"Other",Instructions!$B$8,"Other")</f>
        <v>Other</v>
      </c>
      <c r="Y3">
        <v>32004</v>
      </c>
      <c r="Z3" t="s">
        <v>313</v>
      </c>
      <c r="AA3" t="s">
        <v>935</v>
      </c>
    </row>
    <row r="4" spans="1:27" x14ac:dyDescent="0.25">
      <c r="A4" s="39" t="s">
        <v>79</v>
      </c>
      <c r="B4" s="39" t="s">
        <v>79</v>
      </c>
      <c r="C4" s="39" t="s">
        <v>81</v>
      </c>
      <c r="D4" s="49"/>
      <c r="E4" s="39" t="s">
        <v>59</v>
      </c>
      <c r="F4" s="39" t="s">
        <v>66</v>
      </c>
      <c r="G4" s="39" t="s">
        <v>85</v>
      </c>
      <c r="H4" s="39" t="s">
        <v>87</v>
      </c>
      <c r="I4" s="49"/>
      <c r="J4" s="49"/>
      <c r="K4" s="49"/>
      <c r="L4" s="39" t="s">
        <v>91</v>
      </c>
      <c r="M4" s="39" t="s">
        <v>79</v>
      </c>
      <c r="N4" s="39" t="s">
        <v>79</v>
      </c>
      <c r="O4" s="39" t="s">
        <v>79</v>
      </c>
      <c r="P4" s="39" t="s">
        <v>79</v>
      </c>
      <c r="Q4" s="39" t="s">
        <v>79</v>
      </c>
      <c r="R4" t="s">
        <v>94</v>
      </c>
      <c r="T4" t="s">
        <v>105</v>
      </c>
      <c r="W4" t="s">
        <v>248</v>
      </c>
      <c r="Y4">
        <v>32006</v>
      </c>
      <c r="Z4" t="s">
        <v>314</v>
      </c>
      <c r="AA4" t="s">
        <v>98</v>
      </c>
    </row>
    <row r="5" spans="1:27" x14ac:dyDescent="0.25">
      <c r="A5" s="42" t="s">
        <v>54</v>
      </c>
      <c r="B5" s="40" t="s">
        <v>54</v>
      </c>
      <c r="C5" s="40" t="s">
        <v>54</v>
      </c>
      <c r="D5" s="45"/>
      <c r="E5" s="40" t="s">
        <v>60</v>
      </c>
      <c r="F5" s="40" t="s">
        <v>67</v>
      </c>
      <c r="G5" s="40" t="s">
        <v>60</v>
      </c>
      <c r="H5" s="40" t="s">
        <v>88</v>
      </c>
      <c r="I5" s="45"/>
      <c r="J5" s="45"/>
      <c r="K5" s="45"/>
      <c r="L5" s="40" t="s">
        <v>78</v>
      </c>
      <c r="M5" s="40" t="s">
        <v>54</v>
      </c>
      <c r="N5" s="40" t="s">
        <v>54</v>
      </c>
      <c r="O5" s="40" t="s">
        <v>54</v>
      </c>
      <c r="P5" s="40" t="s">
        <v>54</v>
      </c>
      <c r="Q5" s="40" t="s">
        <v>54</v>
      </c>
      <c r="R5" t="s">
        <v>100</v>
      </c>
      <c r="Y5">
        <v>32007</v>
      </c>
      <c r="Z5" t="s">
        <v>315</v>
      </c>
      <c r="AA5" t="s">
        <v>316</v>
      </c>
    </row>
    <row r="6" spans="1:27" x14ac:dyDescent="0.25">
      <c r="A6" s="43"/>
      <c r="B6" s="49"/>
      <c r="C6" s="49"/>
      <c r="D6" s="45"/>
      <c r="E6" s="39" t="s">
        <v>61</v>
      </c>
      <c r="F6" s="39" t="s">
        <v>68</v>
      </c>
      <c r="G6" s="49"/>
      <c r="H6" s="49"/>
      <c r="I6" s="45"/>
      <c r="J6" s="45"/>
      <c r="K6" s="45"/>
      <c r="L6" s="49"/>
      <c r="M6" s="49"/>
      <c r="N6" s="49"/>
      <c r="O6" s="49"/>
      <c r="P6" s="49"/>
      <c r="Q6" s="50"/>
      <c r="R6" t="s">
        <v>98</v>
      </c>
      <c r="Y6">
        <v>32008</v>
      </c>
      <c r="Z6" t="s">
        <v>317</v>
      </c>
      <c r="AA6" t="s">
        <v>318</v>
      </c>
    </row>
    <row r="7" spans="1:27" x14ac:dyDescent="0.25">
      <c r="A7" s="43"/>
      <c r="B7" s="45"/>
      <c r="C7" s="45"/>
      <c r="D7" s="45"/>
      <c r="E7" s="40" t="s">
        <v>83</v>
      </c>
      <c r="F7" s="40" t="s">
        <v>69</v>
      </c>
      <c r="G7" s="45"/>
      <c r="H7" s="45"/>
      <c r="I7" s="45"/>
      <c r="J7" s="45"/>
      <c r="K7" s="45"/>
      <c r="L7" s="45"/>
      <c r="M7" s="45"/>
      <c r="N7" s="45"/>
      <c r="O7" s="45"/>
      <c r="P7" s="45"/>
      <c r="Q7" s="47"/>
      <c r="R7" t="s">
        <v>102</v>
      </c>
      <c r="Y7">
        <v>32009</v>
      </c>
      <c r="Z7" t="s">
        <v>319</v>
      </c>
      <c r="AA7" t="s">
        <v>320</v>
      </c>
    </row>
    <row r="8" spans="1:27" x14ac:dyDescent="0.25">
      <c r="A8" s="43"/>
      <c r="B8" s="45"/>
      <c r="C8" s="45"/>
      <c r="D8" s="45"/>
      <c r="E8" s="39" t="s">
        <v>62</v>
      </c>
      <c r="F8" s="39" t="s">
        <v>70</v>
      </c>
      <c r="G8" s="45"/>
      <c r="H8" s="45"/>
      <c r="I8" s="45"/>
      <c r="J8" s="45"/>
      <c r="K8" s="45"/>
      <c r="L8" s="45"/>
      <c r="M8" s="45"/>
      <c r="N8" s="45"/>
      <c r="O8" s="45"/>
      <c r="P8" s="45"/>
      <c r="Q8" s="47"/>
      <c r="R8" t="s">
        <v>96</v>
      </c>
      <c r="Y8">
        <v>32011</v>
      </c>
      <c r="Z8" t="s">
        <v>321</v>
      </c>
      <c r="AA8" t="s">
        <v>320</v>
      </c>
    </row>
    <row r="9" spans="1:27" x14ac:dyDescent="0.25">
      <c r="A9" s="43"/>
      <c r="B9" s="45"/>
      <c r="C9" s="45"/>
      <c r="D9" s="45"/>
      <c r="E9" s="40" t="s">
        <v>63</v>
      </c>
      <c r="F9" s="40" t="s">
        <v>71</v>
      </c>
      <c r="G9" s="45"/>
      <c r="H9" s="45"/>
      <c r="I9" s="45"/>
      <c r="J9" s="45"/>
      <c r="K9" s="45"/>
      <c r="L9" s="45"/>
      <c r="M9" s="45"/>
      <c r="N9" s="45"/>
      <c r="O9" s="45"/>
      <c r="P9" s="45"/>
      <c r="Q9" s="47"/>
      <c r="R9" t="s">
        <v>99</v>
      </c>
      <c r="Y9">
        <v>32013</v>
      </c>
      <c r="Z9" t="s">
        <v>322</v>
      </c>
      <c r="AA9" t="s">
        <v>323</v>
      </c>
    </row>
    <row r="10" spans="1:27" x14ac:dyDescent="0.25">
      <c r="A10" s="44"/>
      <c r="B10" s="46"/>
      <c r="C10" s="46"/>
      <c r="D10" s="46"/>
      <c r="E10" s="39" t="s">
        <v>72</v>
      </c>
      <c r="F10" s="39" t="s">
        <v>72</v>
      </c>
      <c r="G10" s="46"/>
      <c r="H10" s="46"/>
      <c r="I10" s="46"/>
      <c r="J10" s="46"/>
      <c r="K10" s="46"/>
      <c r="L10" s="46"/>
      <c r="M10" s="46"/>
      <c r="N10" s="46"/>
      <c r="O10" s="46"/>
      <c r="P10" s="46"/>
      <c r="Q10" s="48"/>
      <c r="R10" t="s">
        <v>93</v>
      </c>
      <c r="Y10">
        <v>32024</v>
      </c>
      <c r="Z10" t="s">
        <v>324</v>
      </c>
      <c r="AA10" t="s">
        <v>325</v>
      </c>
    </row>
    <row r="11" spans="1:27" x14ac:dyDescent="0.25">
      <c r="R11" t="s">
        <v>101</v>
      </c>
      <c r="Y11">
        <v>32025</v>
      </c>
      <c r="Z11" t="s">
        <v>324</v>
      </c>
      <c r="AA11" t="s">
        <v>325</v>
      </c>
    </row>
    <row r="12" spans="1:27" x14ac:dyDescent="0.25">
      <c r="Y12">
        <v>32026</v>
      </c>
      <c r="Z12" t="s">
        <v>326</v>
      </c>
      <c r="AA12" t="s">
        <v>327</v>
      </c>
    </row>
    <row r="13" spans="1:27" x14ac:dyDescent="0.25">
      <c r="Y13">
        <v>32030</v>
      </c>
      <c r="Z13" t="s">
        <v>328</v>
      </c>
      <c r="AA13" t="s">
        <v>98</v>
      </c>
    </row>
    <row r="14" spans="1:27" x14ac:dyDescent="0.25">
      <c r="Y14">
        <v>32033</v>
      </c>
      <c r="Z14" t="s">
        <v>329</v>
      </c>
      <c r="AA14" t="s">
        <v>935</v>
      </c>
    </row>
    <row r="15" spans="1:27" x14ac:dyDescent="0.25">
      <c r="Y15">
        <v>32034</v>
      </c>
      <c r="Z15" t="s">
        <v>330</v>
      </c>
      <c r="AA15" t="s">
        <v>320</v>
      </c>
    </row>
    <row r="16" spans="1:27" x14ac:dyDescent="0.25">
      <c r="Y16">
        <v>32035</v>
      </c>
      <c r="Z16" t="s">
        <v>330</v>
      </c>
      <c r="AA16" t="s">
        <v>320</v>
      </c>
    </row>
    <row r="17" spans="25:27" x14ac:dyDescent="0.25">
      <c r="Y17">
        <v>32038</v>
      </c>
      <c r="Z17" t="s">
        <v>331</v>
      </c>
      <c r="AA17" t="s">
        <v>325</v>
      </c>
    </row>
    <row r="18" spans="25:27" x14ac:dyDescent="0.25">
      <c r="Y18">
        <v>32040</v>
      </c>
      <c r="Z18" t="s">
        <v>332</v>
      </c>
      <c r="AA18" t="s">
        <v>333</v>
      </c>
    </row>
    <row r="19" spans="25:27" x14ac:dyDescent="0.25">
      <c r="Y19">
        <v>32041</v>
      </c>
      <c r="Z19" t="s">
        <v>334</v>
      </c>
      <c r="AA19" t="s">
        <v>320</v>
      </c>
    </row>
    <row r="20" spans="25:27" x14ac:dyDescent="0.25">
      <c r="Y20">
        <v>32042</v>
      </c>
      <c r="Z20" t="s">
        <v>335</v>
      </c>
      <c r="AA20" t="s">
        <v>336</v>
      </c>
    </row>
    <row r="21" spans="25:27" x14ac:dyDescent="0.25">
      <c r="Y21">
        <v>32043</v>
      </c>
      <c r="Z21" t="s">
        <v>337</v>
      </c>
      <c r="AA21" t="s">
        <v>98</v>
      </c>
    </row>
    <row r="22" spans="25:27" x14ac:dyDescent="0.25">
      <c r="Y22">
        <v>32044</v>
      </c>
      <c r="Z22" t="s">
        <v>338</v>
      </c>
      <c r="AA22" t="s">
        <v>336</v>
      </c>
    </row>
    <row r="23" spans="25:27" x14ac:dyDescent="0.25">
      <c r="Y23">
        <v>32046</v>
      </c>
      <c r="Z23" t="s">
        <v>339</v>
      </c>
      <c r="AA23" t="s">
        <v>320</v>
      </c>
    </row>
    <row r="24" spans="25:27" x14ac:dyDescent="0.25">
      <c r="Y24">
        <v>32050</v>
      </c>
      <c r="Z24" t="s">
        <v>340</v>
      </c>
      <c r="AA24" t="s">
        <v>98</v>
      </c>
    </row>
    <row r="25" spans="25:27" x14ac:dyDescent="0.25">
      <c r="Y25">
        <v>32052</v>
      </c>
      <c r="Z25" t="s">
        <v>341</v>
      </c>
      <c r="AA25" t="s">
        <v>342</v>
      </c>
    </row>
    <row r="26" spans="25:27" x14ac:dyDescent="0.25">
      <c r="Y26">
        <v>32053</v>
      </c>
      <c r="Z26" t="s">
        <v>343</v>
      </c>
      <c r="AA26" t="s">
        <v>342</v>
      </c>
    </row>
    <row r="27" spans="25:27" x14ac:dyDescent="0.25">
      <c r="Y27">
        <v>32054</v>
      </c>
      <c r="Z27" t="s">
        <v>344</v>
      </c>
      <c r="AA27" t="s">
        <v>327</v>
      </c>
    </row>
    <row r="28" spans="25:27" x14ac:dyDescent="0.25">
      <c r="Y28">
        <v>32055</v>
      </c>
      <c r="Z28" t="s">
        <v>324</v>
      </c>
      <c r="AA28" t="s">
        <v>325</v>
      </c>
    </row>
    <row r="29" spans="25:27" x14ac:dyDescent="0.25">
      <c r="Y29">
        <v>32056</v>
      </c>
      <c r="Z29" t="s">
        <v>324</v>
      </c>
      <c r="AA29" t="s">
        <v>325</v>
      </c>
    </row>
    <row r="30" spans="25:27" x14ac:dyDescent="0.25">
      <c r="Y30">
        <v>32058</v>
      </c>
      <c r="Z30" t="s">
        <v>345</v>
      </c>
      <c r="AA30" t="s">
        <v>336</v>
      </c>
    </row>
    <row r="31" spans="25:27" x14ac:dyDescent="0.25">
      <c r="Y31">
        <v>32059</v>
      </c>
      <c r="Z31" t="s">
        <v>346</v>
      </c>
      <c r="AA31" t="s">
        <v>347</v>
      </c>
    </row>
    <row r="32" spans="25:27" x14ac:dyDescent="0.25">
      <c r="Y32">
        <v>32060</v>
      </c>
      <c r="Z32" t="s">
        <v>348</v>
      </c>
      <c r="AA32" t="s">
        <v>318</v>
      </c>
    </row>
    <row r="33" spans="25:27" x14ac:dyDescent="0.25">
      <c r="Y33">
        <v>32061</v>
      </c>
      <c r="Z33" t="s">
        <v>349</v>
      </c>
      <c r="AA33" t="s">
        <v>325</v>
      </c>
    </row>
    <row r="34" spans="25:27" x14ac:dyDescent="0.25">
      <c r="Y34">
        <v>32062</v>
      </c>
      <c r="Z34" t="s">
        <v>350</v>
      </c>
      <c r="AA34" t="s">
        <v>318</v>
      </c>
    </row>
    <row r="35" spans="25:27" x14ac:dyDescent="0.25">
      <c r="Y35">
        <v>32063</v>
      </c>
      <c r="Z35" t="s">
        <v>351</v>
      </c>
      <c r="AA35" t="s">
        <v>333</v>
      </c>
    </row>
    <row r="36" spans="25:27" x14ac:dyDescent="0.25">
      <c r="Y36">
        <v>32064</v>
      </c>
      <c r="Z36" t="s">
        <v>348</v>
      </c>
      <c r="AA36" t="s">
        <v>318</v>
      </c>
    </row>
    <row r="37" spans="25:27" x14ac:dyDescent="0.25">
      <c r="Y37">
        <v>32065</v>
      </c>
      <c r="Z37" t="s">
        <v>312</v>
      </c>
      <c r="AA37" t="s">
        <v>98</v>
      </c>
    </row>
    <row r="38" spans="25:27" x14ac:dyDescent="0.25">
      <c r="Y38">
        <v>32066</v>
      </c>
      <c r="Z38" t="s">
        <v>352</v>
      </c>
      <c r="AA38" t="s">
        <v>323</v>
      </c>
    </row>
    <row r="39" spans="25:27" x14ac:dyDescent="0.25">
      <c r="Y39">
        <v>32067</v>
      </c>
      <c r="Z39" t="s">
        <v>312</v>
      </c>
      <c r="AA39" t="s">
        <v>98</v>
      </c>
    </row>
    <row r="40" spans="25:27" x14ac:dyDescent="0.25">
      <c r="Y40">
        <v>32068</v>
      </c>
      <c r="Z40" t="s">
        <v>340</v>
      </c>
      <c r="AA40" t="s">
        <v>98</v>
      </c>
    </row>
    <row r="41" spans="25:27" x14ac:dyDescent="0.25">
      <c r="Y41">
        <v>32071</v>
      </c>
      <c r="Z41" t="s">
        <v>353</v>
      </c>
      <c r="AA41" t="s">
        <v>318</v>
      </c>
    </row>
    <row r="42" spans="25:27" x14ac:dyDescent="0.25">
      <c r="Y42">
        <v>32072</v>
      </c>
      <c r="Z42" t="s">
        <v>354</v>
      </c>
      <c r="AA42" t="s">
        <v>333</v>
      </c>
    </row>
    <row r="43" spans="25:27" x14ac:dyDescent="0.25">
      <c r="Y43">
        <v>32073</v>
      </c>
      <c r="Z43" t="s">
        <v>312</v>
      </c>
      <c r="AA43" t="s">
        <v>98</v>
      </c>
    </row>
    <row r="44" spans="25:27" x14ac:dyDescent="0.25">
      <c r="Y44">
        <v>32079</v>
      </c>
      <c r="Z44" t="s">
        <v>355</v>
      </c>
      <c r="AA44" t="s">
        <v>98</v>
      </c>
    </row>
    <row r="45" spans="25:27" x14ac:dyDescent="0.25">
      <c r="Y45">
        <v>32080</v>
      </c>
      <c r="Z45" t="s">
        <v>356</v>
      </c>
      <c r="AA45" t="s">
        <v>935</v>
      </c>
    </row>
    <row r="46" spans="25:27" x14ac:dyDescent="0.25">
      <c r="Y46">
        <v>32081</v>
      </c>
      <c r="Z46" t="s">
        <v>357</v>
      </c>
      <c r="AA46" t="s">
        <v>935</v>
      </c>
    </row>
    <row r="47" spans="25:27" x14ac:dyDescent="0.25">
      <c r="Y47">
        <v>32082</v>
      </c>
      <c r="Z47" t="s">
        <v>313</v>
      </c>
      <c r="AA47" t="s">
        <v>935</v>
      </c>
    </row>
    <row r="48" spans="25:27" x14ac:dyDescent="0.25">
      <c r="Y48">
        <v>32083</v>
      </c>
      <c r="Z48" t="s">
        <v>326</v>
      </c>
      <c r="AA48" t="s">
        <v>327</v>
      </c>
    </row>
    <row r="49" spans="25:27" x14ac:dyDescent="0.25">
      <c r="Y49">
        <v>32084</v>
      </c>
      <c r="Z49" t="s">
        <v>356</v>
      </c>
      <c r="AA49" t="s">
        <v>935</v>
      </c>
    </row>
    <row r="50" spans="25:27" x14ac:dyDescent="0.25">
      <c r="Y50">
        <v>32085</v>
      </c>
      <c r="Z50" t="s">
        <v>356</v>
      </c>
      <c r="AA50" t="s">
        <v>935</v>
      </c>
    </row>
    <row r="51" spans="25:27" x14ac:dyDescent="0.25">
      <c r="Y51">
        <v>32086</v>
      </c>
      <c r="Z51" t="s">
        <v>356</v>
      </c>
      <c r="AA51" t="s">
        <v>935</v>
      </c>
    </row>
    <row r="52" spans="25:27" x14ac:dyDescent="0.25">
      <c r="Y52">
        <v>32087</v>
      </c>
      <c r="Z52" t="s">
        <v>358</v>
      </c>
      <c r="AA52" t="s">
        <v>333</v>
      </c>
    </row>
    <row r="53" spans="25:27" x14ac:dyDescent="0.25">
      <c r="Y53">
        <v>32091</v>
      </c>
      <c r="Z53" t="s">
        <v>359</v>
      </c>
      <c r="AA53" t="s">
        <v>336</v>
      </c>
    </row>
    <row r="54" spans="25:27" x14ac:dyDescent="0.25">
      <c r="Y54">
        <v>32092</v>
      </c>
      <c r="Z54" t="s">
        <v>356</v>
      </c>
      <c r="AA54" t="s">
        <v>935</v>
      </c>
    </row>
    <row r="55" spans="25:27" x14ac:dyDescent="0.25">
      <c r="Y55">
        <v>32094</v>
      </c>
      <c r="Z55" t="s">
        <v>360</v>
      </c>
      <c r="AA55" t="s">
        <v>318</v>
      </c>
    </row>
    <row r="56" spans="25:27" x14ac:dyDescent="0.25">
      <c r="Y56">
        <v>32095</v>
      </c>
      <c r="Z56" t="s">
        <v>356</v>
      </c>
      <c r="AA56" t="s">
        <v>935</v>
      </c>
    </row>
    <row r="57" spans="25:27" x14ac:dyDescent="0.25">
      <c r="Y57">
        <v>32096</v>
      </c>
      <c r="Z57" t="s">
        <v>361</v>
      </c>
      <c r="AA57" t="s">
        <v>342</v>
      </c>
    </row>
    <row r="58" spans="25:27" x14ac:dyDescent="0.25">
      <c r="Y58">
        <v>32097</v>
      </c>
      <c r="Z58" t="s">
        <v>334</v>
      </c>
      <c r="AA58" t="s">
        <v>320</v>
      </c>
    </row>
    <row r="59" spans="25:27" x14ac:dyDescent="0.25">
      <c r="Y59">
        <v>32099</v>
      </c>
      <c r="Z59" t="s">
        <v>362</v>
      </c>
      <c r="AA59" t="s">
        <v>363</v>
      </c>
    </row>
    <row r="60" spans="25:27" x14ac:dyDescent="0.25">
      <c r="Y60">
        <v>32102</v>
      </c>
      <c r="Z60" t="s">
        <v>364</v>
      </c>
      <c r="AA60" t="s">
        <v>365</v>
      </c>
    </row>
    <row r="61" spans="25:27" x14ac:dyDescent="0.25">
      <c r="Y61">
        <v>32105</v>
      </c>
      <c r="Z61" t="s">
        <v>366</v>
      </c>
      <c r="AA61" t="s">
        <v>367</v>
      </c>
    </row>
    <row r="62" spans="25:27" x14ac:dyDescent="0.25">
      <c r="Y62">
        <v>32110</v>
      </c>
      <c r="Z62" t="s">
        <v>368</v>
      </c>
      <c r="AA62" t="s">
        <v>369</v>
      </c>
    </row>
    <row r="63" spans="25:27" x14ac:dyDescent="0.25">
      <c r="Y63">
        <v>32111</v>
      </c>
      <c r="Z63" t="s">
        <v>370</v>
      </c>
      <c r="AA63" t="s">
        <v>371</v>
      </c>
    </row>
    <row r="64" spans="25:27" x14ac:dyDescent="0.25">
      <c r="Y64">
        <v>32112</v>
      </c>
      <c r="Z64" t="s">
        <v>372</v>
      </c>
      <c r="AA64" t="s">
        <v>316</v>
      </c>
    </row>
    <row r="65" spans="25:27" x14ac:dyDescent="0.25">
      <c r="Y65">
        <v>32113</v>
      </c>
      <c r="Z65" t="s">
        <v>373</v>
      </c>
      <c r="AA65" t="s">
        <v>371</v>
      </c>
    </row>
    <row r="66" spans="25:27" x14ac:dyDescent="0.25">
      <c r="Y66">
        <v>32114</v>
      </c>
      <c r="Z66" t="s">
        <v>374</v>
      </c>
      <c r="AA66" t="s">
        <v>367</v>
      </c>
    </row>
    <row r="67" spans="25:27" x14ac:dyDescent="0.25">
      <c r="Y67">
        <v>32115</v>
      </c>
      <c r="Z67" t="s">
        <v>374</v>
      </c>
      <c r="AA67" t="s">
        <v>367</v>
      </c>
    </row>
    <row r="68" spans="25:27" x14ac:dyDescent="0.25">
      <c r="Y68">
        <v>32116</v>
      </c>
      <c r="Z68" t="s">
        <v>374</v>
      </c>
      <c r="AA68" t="s">
        <v>367</v>
      </c>
    </row>
    <row r="69" spans="25:27" x14ac:dyDescent="0.25">
      <c r="Y69">
        <v>32117</v>
      </c>
      <c r="Z69" t="s">
        <v>374</v>
      </c>
      <c r="AA69" t="s">
        <v>367</v>
      </c>
    </row>
    <row r="70" spans="25:27" x14ac:dyDescent="0.25">
      <c r="Y70">
        <v>32118</v>
      </c>
      <c r="Z70" t="s">
        <v>374</v>
      </c>
      <c r="AA70" t="s">
        <v>367</v>
      </c>
    </row>
    <row r="71" spans="25:27" x14ac:dyDescent="0.25">
      <c r="Y71">
        <v>32119</v>
      </c>
      <c r="Z71" t="s">
        <v>374</v>
      </c>
      <c r="AA71" t="s">
        <v>367</v>
      </c>
    </row>
    <row r="72" spans="25:27" x14ac:dyDescent="0.25">
      <c r="Y72">
        <v>32120</v>
      </c>
      <c r="Z72" t="s">
        <v>374</v>
      </c>
      <c r="AA72" t="s">
        <v>367</v>
      </c>
    </row>
    <row r="73" spans="25:27" x14ac:dyDescent="0.25">
      <c r="Y73">
        <v>32121</v>
      </c>
      <c r="Z73" t="s">
        <v>374</v>
      </c>
      <c r="AA73" t="s">
        <v>367</v>
      </c>
    </row>
    <row r="74" spans="25:27" x14ac:dyDescent="0.25">
      <c r="Y74">
        <v>32122</v>
      </c>
      <c r="Z74" t="s">
        <v>374</v>
      </c>
      <c r="AA74" t="s">
        <v>367</v>
      </c>
    </row>
    <row r="75" spans="25:27" x14ac:dyDescent="0.25">
      <c r="Y75">
        <v>32123</v>
      </c>
      <c r="Z75" t="s">
        <v>375</v>
      </c>
      <c r="AA75" t="s">
        <v>367</v>
      </c>
    </row>
    <row r="76" spans="25:27" x14ac:dyDescent="0.25">
      <c r="Y76">
        <v>32124</v>
      </c>
      <c r="Z76" t="s">
        <v>374</v>
      </c>
      <c r="AA76" t="s">
        <v>367</v>
      </c>
    </row>
    <row r="77" spans="25:27" x14ac:dyDescent="0.25">
      <c r="Y77">
        <v>32125</v>
      </c>
      <c r="Z77" t="s">
        <v>374</v>
      </c>
      <c r="AA77" t="s">
        <v>367</v>
      </c>
    </row>
    <row r="78" spans="25:27" x14ac:dyDescent="0.25">
      <c r="Y78">
        <v>32126</v>
      </c>
      <c r="Z78" t="s">
        <v>374</v>
      </c>
      <c r="AA78" t="s">
        <v>367</v>
      </c>
    </row>
    <row r="79" spans="25:27" x14ac:dyDescent="0.25">
      <c r="Y79">
        <v>32127</v>
      </c>
      <c r="Z79" t="s">
        <v>375</v>
      </c>
      <c r="AA79" t="s">
        <v>367</v>
      </c>
    </row>
    <row r="80" spans="25:27" x14ac:dyDescent="0.25">
      <c r="Y80">
        <v>32128</v>
      </c>
      <c r="Z80" t="s">
        <v>375</v>
      </c>
      <c r="AA80" t="s">
        <v>367</v>
      </c>
    </row>
    <row r="81" spans="25:27" x14ac:dyDescent="0.25">
      <c r="Y81">
        <v>32129</v>
      </c>
      <c r="Z81" t="s">
        <v>375</v>
      </c>
      <c r="AA81" t="s">
        <v>367</v>
      </c>
    </row>
    <row r="82" spans="25:27" x14ac:dyDescent="0.25">
      <c r="Y82">
        <v>32130</v>
      </c>
      <c r="Z82" t="s">
        <v>376</v>
      </c>
      <c r="AA82" t="s">
        <v>367</v>
      </c>
    </row>
    <row r="83" spans="25:27" x14ac:dyDescent="0.25">
      <c r="Y83">
        <v>32131</v>
      </c>
      <c r="Z83" t="s">
        <v>377</v>
      </c>
      <c r="AA83" t="s">
        <v>316</v>
      </c>
    </row>
    <row r="84" spans="25:27" x14ac:dyDescent="0.25">
      <c r="Y84">
        <v>32132</v>
      </c>
      <c r="Z84" t="s">
        <v>378</v>
      </c>
      <c r="AA84" t="s">
        <v>367</v>
      </c>
    </row>
    <row r="85" spans="25:27" x14ac:dyDescent="0.25">
      <c r="Y85">
        <v>32133</v>
      </c>
      <c r="Z85" t="s">
        <v>379</v>
      </c>
      <c r="AA85" t="s">
        <v>371</v>
      </c>
    </row>
    <row r="86" spans="25:27" x14ac:dyDescent="0.25">
      <c r="Y86">
        <v>32134</v>
      </c>
      <c r="Z86" t="s">
        <v>380</v>
      </c>
      <c r="AA86" t="s">
        <v>371</v>
      </c>
    </row>
    <row r="87" spans="25:27" x14ac:dyDescent="0.25">
      <c r="Y87">
        <v>32135</v>
      </c>
      <c r="Z87" t="s">
        <v>381</v>
      </c>
      <c r="AA87" t="s">
        <v>369</v>
      </c>
    </row>
    <row r="88" spans="25:27" x14ac:dyDescent="0.25">
      <c r="Y88">
        <v>32136</v>
      </c>
      <c r="Z88" t="s">
        <v>382</v>
      </c>
      <c r="AA88" t="s">
        <v>369</v>
      </c>
    </row>
    <row r="89" spans="25:27" x14ac:dyDescent="0.25">
      <c r="Y89">
        <v>32137</v>
      </c>
      <c r="Z89" t="s">
        <v>381</v>
      </c>
      <c r="AA89" t="s">
        <v>369</v>
      </c>
    </row>
    <row r="90" spans="25:27" x14ac:dyDescent="0.25">
      <c r="Y90">
        <v>32138</v>
      </c>
      <c r="Z90" t="s">
        <v>383</v>
      </c>
      <c r="AA90" t="s">
        <v>316</v>
      </c>
    </row>
    <row r="91" spans="25:27" x14ac:dyDescent="0.25">
      <c r="Y91">
        <v>32139</v>
      </c>
      <c r="Z91" t="s">
        <v>384</v>
      </c>
      <c r="AA91" t="s">
        <v>316</v>
      </c>
    </row>
    <row r="92" spans="25:27" x14ac:dyDescent="0.25">
      <c r="Y92">
        <v>32140</v>
      </c>
      <c r="Z92" t="s">
        <v>385</v>
      </c>
      <c r="AA92" t="s">
        <v>316</v>
      </c>
    </row>
    <row r="93" spans="25:27" x14ac:dyDescent="0.25">
      <c r="Y93">
        <v>32141</v>
      </c>
      <c r="Z93" t="s">
        <v>378</v>
      </c>
      <c r="AA93" t="s">
        <v>367</v>
      </c>
    </row>
    <row r="94" spans="25:27" x14ac:dyDescent="0.25">
      <c r="Y94">
        <v>32142</v>
      </c>
      <c r="Z94" t="s">
        <v>381</v>
      </c>
      <c r="AA94" t="s">
        <v>369</v>
      </c>
    </row>
    <row r="95" spans="25:27" x14ac:dyDescent="0.25">
      <c r="Y95">
        <v>32145</v>
      </c>
      <c r="Z95" t="s">
        <v>386</v>
      </c>
      <c r="AA95" t="s">
        <v>935</v>
      </c>
    </row>
    <row r="96" spans="25:27" x14ac:dyDescent="0.25">
      <c r="Y96">
        <v>32147</v>
      </c>
      <c r="Z96" t="s">
        <v>387</v>
      </c>
      <c r="AA96" t="s">
        <v>316</v>
      </c>
    </row>
    <row r="97" spans="25:27" x14ac:dyDescent="0.25">
      <c r="Y97">
        <v>32148</v>
      </c>
      <c r="Z97" t="s">
        <v>388</v>
      </c>
      <c r="AA97" t="s">
        <v>316</v>
      </c>
    </row>
    <row r="98" spans="25:27" x14ac:dyDescent="0.25">
      <c r="Y98">
        <v>32149</v>
      </c>
      <c r="Z98" t="s">
        <v>389</v>
      </c>
      <c r="AA98" t="s">
        <v>316</v>
      </c>
    </row>
    <row r="99" spans="25:27" x14ac:dyDescent="0.25">
      <c r="Y99">
        <v>32157</v>
      </c>
      <c r="Z99" t="s">
        <v>390</v>
      </c>
      <c r="AA99" t="s">
        <v>316</v>
      </c>
    </row>
    <row r="100" spans="25:27" x14ac:dyDescent="0.25">
      <c r="Y100">
        <v>32158</v>
      </c>
      <c r="Z100" t="s">
        <v>391</v>
      </c>
      <c r="AA100" t="s">
        <v>365</v>
      </c>
    </row>
    <row r="101" spans="25:27" x14ac:dyDescent="0.25">
      <c r="Y101">
        <v>32159</v>
      </c>
      <c r="Z101" t="s">
        <v>391</v>
      </c>
      <c r="AA101" t="s">
        <v>365</v>
      </c>
    </row>
    <row r="102" spans="25:27" x14ac:dyDescent="0.25">
      <c r="Y102">
        <v>32160</v>
      </c>
      <c r="Z102" t="s">
        <v>392</v>
      </c>
      <c r="AA102" t="s">
        <v>98</v>
      </c>
    </row>
    <row r="103" spans="25:27" x14ac:dyDescent="0.25">
      <c r="Y103">
        <v>32162</v>
      </c>
      <c r="Z103" t="s">
        <v>391</v>
      </c>
      <c r="AA103" t="s">
        <v>393</v>
      </c>
    </row>
    <row r="104" spans="25:27" x14ac:dyDescent="0.25">
      <c r="Y104">
        <v>32164</v>
      </c>
      <c r="Z104" t="s">
        <v>381</v>
      </c>
      <c r="AA104" t="s">
        <v>369</v>
      </c>
    </row>
    <row r="105" spans="25:27" x14ac:dyDescent="0.25">
      <c r="Y105">
        <v>32168</v>
      </c>
      <c r="Z105" t="s">
        <v>394</v>
      </c>
      <c r="AA105" t="s">
        <v>367</v>
      </c>
    </row>
    <row r="106" spans="25:27" x14ac:dyDescent="0.25">
      <c r="Y106">
        <v>32169</v>
      </c>
      <c r="Z106" t="s">
        <v>394</v>
      </c>
      <c r="AA106" t="s">
        <v>367</v>
      </c>
    </row>
    <row r="107" spans="25:27" x14ac:dyDescent="0.25">
      <c r="Y107">
        <v>32170</v>
      </c>
      <c r="Z107" t="s">
        <v>394</v>
      </c>
      <c r="AA107" t="s">
        <v>367</v>
      </c>
    </row>
    <row r="108" spans="25:27" x14ac:dyDescent="0.25">
      <c r="Y108">
        <v>32173</v>
      </c>
      <c r="Z108" t="s">
        <v>395</v>
      </c>
      <c r="AA108" t="s">
        <v>367</v>
      </c>
    </row>
    <row r="109" spans="25:27" x14ac:dyDescent="0.25">
      <c r="Y109">
        <v>32174</v>
      </c>
      <c r="Z109" t="s">
        <v>395</v>
      </c>
      <c r="AA109" t="s">
        <v>367</v>
      </c>
    </row>
    <row r="110" spans="25:27" x14ac:dyDescent="0.25">
      <c r="Y110">
        <v>32175</v>
      </c>
      <c r="Z110" t="s">
        <v>395</v>
      </c>
      <c r="AA110" t="s">
        <v>367</v>
      </c>
    </row>
    <row r="111" spans="25:27" x14ac:dyDescent="0.25">
      <c r="Y111">
        <v>32176</v>
      </c>
      <c r="Z111" t="s">
        <v>395</v>
      </c>
      <c r="AA111" t="s">
        <v>367</v>
      </c>
    </row>
    <row r="112" spans="25:27" x14ac:dyDescent="0.25">
      <c r="Y112">
        <v>32177</v>
      </c>
      <c r="Z112" t="s">
        <v>396</v>
      </c>
      <c r="AA112" t="s">
        <v>316</v>
      </c>
    </row>
    <row r="113" spans="25:27" x14ac:dyDescent="0.25">
      <c r="Y113">
        <v>32178</v>
      </c>
      <c r="Z113" t="s">
        <v>396</v>
      </c>
      <c r="AA113" t="s">
        <v>316</v>
      </c>
    </row>
    <row r="114" spans="25:27" x14ac:dyDescent="0.25">
      <c r="Y114">
        <v>32179</v>
      </c>
      <c r="Z114" t="s">
        <v>397</v>
      </c>
      <c r="AA114" t="s">
        <v>371</v>
      </c>
    </row>
    <row r="115" spans="25:27" x14ac:dyDescent="0.25">
      <c r="Y115">
        <v>32180</v>
      </c>
      <c r="Z115" t="s">
        <v>398</v>
      </c>
      <c r="AA115" t="s">
        <v>367</v>
      </c>
    </row>
    <row r="116" spans="25:27" x14ac:dyDescent="0.25">
      <c r="Y116">
        <v>32181</v>
      </c>
      <c r="Z116" t="s">
        <v>399</v>
      </c>
      <c r="AA116" t="s">
        <v>316</v>
      </c>
    </row>
    <row r="117" spans="25:27" x14ac:dyDescent="0.25">
      <c r="Y117">
        <v>32182</v>
      </c>
      <c r="Z117" t="s">
        <v>400</v>
      </c>
      <c r="AA117" t="s">
        <v>371</v>
      </c>
    </row>
    <row r="118" spans="25:27" x14ac:dyDescent="0.25">
      <c r="Y118">
        <v>32183</v>
      </c>
      <c r="Z118" t="s">
        <v>397</v>
      </c>
      <c r="AA118" t="s">
        <v>371</v>
      </c>
    </row>
    <row r="119" spans="25:27" x14ac:dyDescent="0.25">
      <c r="Y119">
        <v>32185</v>
      </c>
      <c r="Z119" t="s">
        <v>401</v>
      </c>
      <c r="AA119" t="s">
        <v>316</v>
      </c>
    </row>
    <row r="120" spans="25:27" x14ac:dyDescent="0.25">
      <c r="Y120">
        <v>32187</v>
      </c>
      <c r="Z120" t="s">
        <v>402</v>
      </c>
      <c r="AA120" t="s">
        <v>316</v>
      </c>
    </row>
    <row r="121" spans="25:27" x14ac:dyDescent="0.25">
      <c r="Y121">
        <v>32189</v>
      </c>
      <c r="Z121" t="s">
        <v>403</v>
      </c>
      <c r="AA121" t="s">
        <v>316</v>
      </c>
    </row>
    <row r="122" spans="25:27" x14ac:dyDescent="0.25">
      <c r="Y122">
        <v>32190</v>
      </c>
      <c r="Z122" t="s">
        <v>404</v>
      </c>
      <c r="AA122" t="s">
        <v>367</v>
      </c>
    </row>
    <row r="123" spans="25:27" x14ac:dyDescent="0.25">
      <c r="Y123">
        <v>32192</v>
      </c>
      <c r="Z123" t="s">
        <v>405</v>
      </c>
      <c r="AA123" t="s">
        <v>371</v>
      </c>
    </row>
    <row r="124" spans="25:27" x14ac:dyDescent="0.25">
      <c r="Y124">
        <v>32193</v>
      </c>
      <c r="Z124" t="s">
        <v>406</v>
      </c>
      <c r="AA124" t="s">
        <v>316</v>
      </c>
    </row>
    <row r="125" spans="25:27" x14ac:dyDescent="0.25">
      <c r="Y125">
        <v>32195</v>
      </c>
      <c r="Z125" t="s">
        <v>407</v>
      </c>
      <c r="AA125" t="s">
        <v>371</v>
      </c>
    </row>
    <row r="126" spans="25:27" x14ac:dyDescent="0.25">
      <c r="Y126">
        <v>32198</v>
      </c>
      <c r="Z126" t="s">
        <v>374</v>
      </c>
      <c r="AA126" t="s">
        <v>367</v>
      </c>
    </row>
    <row r="127" spans="25:27" x14ac:dyDescent="0.25">
      <c r="Y127">
        <v>32201</v>
      </c>
      <c r="Z127" t="s">
        <v>362</v>
      </c>
      <c r="AA127" t="s">
        <v>363</v>
      </c>
    </row>
    <row r="128" spans="25:27" x14ac:dyDescent="0.25">
      <c r="Y128">
        <v>32202</v>
      </c>
      <c r="Z128" t="s">
        <v>362</v>
      </c>
      <c r="AA128" t="s">
        <v>363</v>
      </c>
    </row>
    <row r="129" spans="25:27" x14ac:dyDescent="0.25">
      <c r="Y129">
        <v>32203</v>
      </c>
      <c r="Z129" t="s">
        <v>362</v>
      </c>
      <c r="AA129" t="s">
        <v>363</v>
      </c>
    </row>
    <row r="130" spans="25:27" x14ac:dyDescent="0.25">
      <c r="Y130">
        <v>32204</v>
      </c>
      <c r="Z130" t="s">
        <v>362</v>
      </c>
      <c r="AA130" t="s">
        <v>363</v>
      </c>
    </row>
    <row r="131" spans="25:27" x14ac:dyDescent="0.25">
      <c r="Y131">
        <v>32205</v>
      </c>
      <c r="Z131" t="s">
        <v>362</v>
      </c>
      <c r="AA131" t="s">
        <v>363</v>
      </c>
    </row>
    <row r="132" spans="25:27" x14ac:dyDescent="0.25">
      <c r="Y132">
        <v>32206</v>
      </c>
      <c r="Z132" t="s">
        <v>362</v>
      </c>
      <c r="AA132" t="s">
        <v>363</v>
      </c>
    </row>
    <row r="133" spans="25:27" x14ac:dyDescent="0.25">
      <c r="Y133">
        <v>32207</v>
      </c>
      <c r="Z133" t="s">
        <v>362</v>
      </c>
      <c r="AA133" t="s">
        <v>363</v>
      </c>
    </row>
    <row r="134" spans="25:27" x14ac:dyDescent="0.25">
      <c r="Y134">
        <v>32208</v>
      </c>
      <c r="Z134" t="s">
        <v>362</v>
      </c>
      <c r="AA134" t="s">
        <v>363</v>
      </c>
    </row>
    <row r="135" spans="25:27" x14ac:dyDescent="0.25">
      <c r="Y135">
        <v>32209</v>
      </c>
      <c r="Z135" t="s">
        <v>362</v>
      </c>
      <c r="AA135" t="s">
        <v>363</v>
      </c>
    </row>
    <row r="136" spans="25:27" x14ac:dyDescent="0.25">
      <c r="Y136">
        <v>32210</v>
      </c>
      <c r="Z136" t="s">
        <v>362</v>
      </c>
      <c r="AA136" t="s">
        <v>363</v>
      </c>
    </row>
    <row r="137" spans="25:27" x14ac:dyDescent="0.25">
      <c r="Y137">
        <v>32211</v>
      </c>
      <c r="Z137" t="s">
        <v>362</v>
      </c>
      <c r="AA137" t="s">
        <v>363</v>
      </c>
    </row>
    <row r="138" spans="25:27" x14ac:dyDescent="0.25">
      <c r="Y138">
        <v>32212</v>
      </c>
      <c r="Z138" t="s">
        <v>362</v>
      </c>
      <c r="AA138" t="s">
        <v>363</v>
      </c>
    </row>
    <row r="139" spans="25:27" x14ac:dyDescent="0.25">
      <c r="Y139">
        <v>32214</v>
      </c>
      <c r="Z139" t="s">
        <v>362</v>
      </c>
      <c r="AA139" t="s">
        <v>363</v>
      </c>
    </row>
    <row r="140" spans="25:27" x14ac:dyDescent="0.25">
      <c r="Y140">
        <v>32215</v>
      </c>
      <c r="Z140" t="s">
        <v>362</v>
      </c>
      <c r="AA140" t="s">
        <v>363</v>
      </c>
    </row>
    <row r="141" spans="25:27" x14ac:dyDescent="0.25">
      <c r="Y141">
        <v>32216</v>
      </c>
      <c r="Z141" t="s">
        <v>362</v>
      </c>
      <c r="AA141" t="s">
        <v>363</v>
      </c>
    </row>
    <row r="142" spans="25:27" x14ac:dyDescent="0.25">
      <c r="Y142">
        <v>32217</v>
      </c>
      <c r="Z142" t="s">
        <v>362</v>
      </c>
      <c r="AA142" t="s">
        <v>363</v>
      </c>
    </row>
    <row r="143" spans="25:27" x14ac:dyDescent="0.25">
      <c r="Y143">
        <v>32218</v>
      </c>
      <c r="Z143" t="s">
        <v>362</v>
      </c>
      <c r="AA143" t="s">
        <v>363</v>
      </c>
    </row>
    <row r="144" spans="25:27" x14ac:dyDescent="0.25">
      <c r="Y144">
        <v>32219</v>
      </c>
      <c r="Z144" t="s">
        <v>362</v>
      </c>
      <c r="AA144" t="s">
        <v>363</v>
      </c>
    </row>
    <row r="145" spans="25:27" x14ac:dyDescent="0.25">
      <c r="Y145">
        <v>32220</v>
      </c>
      <c r="Z145" t="s">
        <v>362</v>
      </c>
      <c r="AA145" t="s">
        <v>363</v>
      </c>
    </row>
    <row r="146" spans="25:27" x14ac:dyDescent="0.25">
      <c r="Y146">
        <v>32221</v>
      </c>
      <c r="Z146" t="s">
        <v>362</v>
      </c>
      <c r="AA146" t="s">
        <v>363</v>
      </c>
    </row>
    <row r="147" spans="25:27" x14ac:dyDescent="0.25">
      <c r="Y147">
        <v>32222</v>
      </c>
      <c r="Z147" t="s">
        <v>362</v>
      </c>
      <c r="AA147" t="s">
        <v>363</v>
      </c>
    </row>
    <row r="148" spans="25:27" x14ac:dyDescent="0.25">
      <c r="Y148">
        <v>32223</v>
      </c>
      <c r="Z148" t="s">
        <v>362</v>
      </c>
      <c r="AA148" t="s">
        <v>363</v>
      </c>
    </row>
    <row r="149" spans="25:27" x14ac:dyDescent="0.25">
      <c r="Y149">
        <v>32224</v>
      </c>
      <c r="Z149" t="s">
        <v>362</v>
      </c>
      <c r="AA149" t="s">
        <v>363</v>
      </c>
    </row>
    <row r="150" spans="25:27" x14ac:dyDescent="0.25">
      <c r="Y150">
        <v>32225</v>
      </c>
      <c r="Z150" t="s">
        <v>362</v>
      </c>
      <c r="AA150" t="s">
        <v>363</v>
      </c>
    </row>
    <row r="151" spans="25:27" x14ac:dyDescent="0.25">
      <c r="Y151">
        <v>32226</v>
      </c>
      <c r="Z151" t="s">
        <v>362</v>
      </c>
      <c r="AA151" t="s">
        <v>363</v>
      </c>
    </row>
    <row r="152" spans="25:27" x14ac:dyDescent="0.25">
      <c r="Y152">
        <v>32227</v>
      </c>
      <c r="Z152" t="s">
        <v>362</v>
      </c>
      <c r="AA152" t="s">
        <v>363</v>
      </c>
    </row>
    <row r="153" spans="25:27" x14ac:dyDescent="0.25">
      <c r="Y153">
        <v>32228</v>
      </c>
      <c r="Z153" t="s">
        <v>362</v>
      </c>
      <c r="AA153" t="s">
        <v>363</v>
      </c>
    </row>
    <row r="154" spans="25:27" x14ac:dyDescent="0.25">
      <c r="Y154">
        <v>32229</v>
      </c>
      <c r="Z154" t="s">
        <v>362</v>
      </c>
      <c r="AA154" t="s">
        <v>363</v>
      </c>
    </row>
    <row r="155" spans="25:27" x14ac:dyDescent="0.25">
      <c r="Y155">
        <v>32230</v>
      </c>
      <c r="Z155" t="s">
        <v>362</v>
      </c>
      <c r="AA155" t="s">
        <v>363</v>
      </c>
    </row>
    <row r="156" spans="25:27" x14ac:dyDescent="0.25">
      <c r="Y156">
        <v>32231</v>
      </c>
      <c r="Z156" t="s">
        <v>362</v>
      </c>
      <c r="AA156" t="s">
        <v>363</v>
      </c>
    </row>
    <row r="157" spans="25:27" x14ac:dyDescent="0.25">
      <c r="Y157">
        <v>32232</v>
      </c>
      <c r="Z157" t="s">
        <v>362</v>
      </c>
      <c r="AA157" t="s">
        <v>363</v>
      </c>
    </row>
    <row r="158" spans="25:27" x14ac:dyDescent="0.25">
      <c r="Y158">
        <v>32233</v>
      </c>
      <c r="Z158" t="s">
        <v>408</v>
      </c>
      <c r="AA158" t="s">
        <v>363</v>
      </c>
    </row>
    <row r="159" spans="25:27" x14ac:dyDescent="0.25">
      <c r="Y159">
        <v>32234</v>
      </c>
      <c r="Z159" t="s">
        <v>362</v>
      </c>
      <c r="AA159" t="s">
        <v>363</v>
      </c>
    </row>
    <row r="160" spans="25:27" x14ac:dyDescent="0.25">
      <c r="Y160">
        <v>32235</v>
      </c>
      <c r="Z160" t="s">
        <v>362</v>
      </c>
      <c r="AA160" t="s">
        <v>363</v>
      </c>
    </row>
    <row r="161" spans="25:27" x14ac:dyDescent="0.25">
      <c r="Y161">
        <v>32236</v>
      </c>
      <c r="Z161" t="s">
        <v>362</v>
      </c>
      <c r="AA161" t="s">
        <v>363</v>
      </c>
    </row>
    <row r="162" spans="25:27" x14ac:dyDescent="0.25">
      <c r="Y162">
        <v>32237</v>
      </c>
      <c r="Z162" t="s">
        <v>362</v>
      </c>
      <c r="AA162" t="s">
        <v>363</v>
      </c>
    </row>
    <row r="163" spans="25:27" x14ac:dyDescent="0.25">
      <c r="Y163">
        <v>32238</v>
      </c>
      <c r="Z163" t="s">
        <v>362</v>
      </c>
      <c r="AA163" t="s">
        <v>363</v>
      </c>
    </row>
    <row r="164" spans="25:27" x14ac:dyDescent="0.25">
      <c r="Y164">
        <v>32239</v>
      </c>
      <c r="Z164" t="s">
        <v>362</v>
      </c>
      <c r="AA164" t="s">
        <v>363</v>
      </c>
    </row>
    <row r="165" spans="25:27" x14ac:dyDescent="0.25">
      <c r="Y165">
        <v>32240</v>
      </c>
      <c r="Z165" t="s">
        <v>409</v>
      </c>
      <c r="AA165" t="s">
        <v>363</v>
      </c>
    </row>
    <row r="166" spans="25:27" x14ac:dyDescent="0.25">
      <c r="Y166">
        <v>32241</v>
      </c>
      <c r="Z166" t="s">
        <v>362</v>
      </c>
      <c r="AA166" t="s">
        <v>363</v>
      </c>
    </row>
    <row r="167" spans="25:27" x14ac:dyDescent="0.25">
      <c r="Y167">
        <v>32244</v>
      </c>
      <c r="Z167" t="s">
        <v>362</v>
      </c>
      <c r="AA167" t="s">
        <v>363</v>
      </c>
    </row>
    <row r="168" spans="25:27" x14ac:dyDescent="0.25">
      <c r="Y168">
        <v>32245</v>
      </c>
      <c r="Z168" t="s">
        <v>362</v>
      </c>
      <c r="AA168" t="s">
        <v>363</v>
      </c>
    </row>
    <row r="169" spans="25:27" x14ac:dyDescent="0.25">
      <c r="Y169">
        <v>32246</v>
      </c>
      <c r="Z169" t="s">
        <v>362</v>
      </c>
      <c r="AA169" t="s">
        <v>363</v>
      </c>
    </row>
    <row r="170" spans="25:27" x14ac:dyDescent="0.25">
      <c r="Y170">
        <v>32247</v>
      </c>
      <c r="Z170" t="s">
        <v>362</v>
      </c>
      <c r="AA170" t="s">
        <v>363</v>
      </c>
    </row>
    <row r="171" spans="25:27" x14ac:dyDescent="0.25">
      <c r="Y171">
        <v>32250</v>
      </c>
      <c r="Z171" t="s">
        <v>409</v>
      </c>
      <c r="AA171" t="s">
        <v>363</v>
      </c>
    </row>
    <row r="172" spans="25:27" x14ac:dyDescent="0.25">
      <c r="Y172">
        <v>32254</v>
      </c>
      <c r="Z172" t="s">
        <v>362</v>
      </c>
      <c r="AA172" t="s">
        <v>363</v>
      </c>
    </row>
    <row r="173" spans="25:27" x14ac:dyDescent="0.25">
      <c r="Y173">
        <v>32255</v>
      </c>
      <c r="Z173" t="s">
        <v>362</v>
      </c>
      <c r="AA173" t="s">
        <v>363</v>
      </c>
    </row>
    <row r="174" spans="25:27" x14ac:dyDescent="0.25">
      <c r="Y174">
        <v>32256</v>
      </c>
      <c r="Z174" t="s">
        <v>362</v>
      </c>
      <c r="AA174" t="s">
        <v>363</v>
      </c>
    </row>
    <row r="175" spans="25:27" x14ac:dyDescent="0.25">
      <c r="Y175">
        <v>32257</v>
      </c>
      <c r="Z175" t="s">
        <v>362</v>
      </c>
      <c r="AA175" t="s">
        <v>363</v>
      </c>
    </row>
    <row r="176" spans="25:27" x14ac:dyDescent="0.25">
      <c r="Y176">
        <v>32258</v>
      </c>
      <c r="Z176" t="s">
        <v>362</v>
      </c>
      <c r="AA176" t="s">
        <v>363</v>
      </c>
    </row>
    <row r="177" spans="25:27" x14ac:dyDescent="0.25">
      <c r="Y177">
        <v>32259</v>
      </c>
      <c r="Z177" t="s">
        <v>935</v>
      </c>
      <c r="AA177" t="s">
        <v>935</v>
      </c>
    </row>
    <row r="178" spans="25:27" x14ac:dyDescent="0.25">
      <c r="Y178">
        <v>32260</v>
      </c>
      <c r="Z178" t="s">
        <v>362</v>
      </c>
      <c r="AA178" t="s">
        <v>935</v>
      </c>
    </row>
    <row r="179" spans="25:27" x14ac:dyDescent="0.25">
      <c r="Y179">
        <v>32266</v>
      </c>
      <c r="Z179" t="s">
        <v>410</v>
      </c>
      <c r="AA179" t="s">
        <v>363</v>
      </c>
    </row>
    <row r="180" spans="25:27" x14ac:dyDescent="0.25">
      <c r="Y180">
        <v>32267</v>
      </c>
      <c r="Z180" t="s">
        <v>362</v>
      </c>
      <c r="AA180" t="s">
        <v>363</v>
      </c>
    </row>
    <row r="181" spans="25:27" x14ac:dyDescent="0.25">
      <c r="Y181">
        <v>32277</v>
      </c>
      <c r="Z181" t="s">
        <v>362</v>
      </c>
      <c r="AA181" t="s">
        <v>363</v>
      </c>
    </row>
    <row r="182" spans="25:27" x14ac:dyDescent="0.25">
      <c r="Y182">
        <v>32290</v>
      </c>
      <c r="Z182" t="s">
        <v>362</v>
      </c>
      <c r="AA182" t="s">
        <v>363</v>
      </c>
    </row>
    <row r="183" spans="25:27" x14ac:dyDescent="0.25">
      <c r="Y183">
        <v>32301</v>
      </c>
      <c r="Z183" t="s">
        <v>411</v>
      </c>
      <c r="AA183" t="s">
        <v>412</v>
      </c>
    </row>
    <row r="184" spans="25:27" x14ac:dyDescent="0.25">
      <c r="Y184">
        <v>32302</v>
      </c>
      <c r="Z184" t="s">
        <v>411</v>
      </c>
      <c r="AA184" t="s">
        <v>412</v>
      </c>
    </row>
    <row r="185" spans="25:27" x14ac:dyDescent="0.25">
      <c r="Y185">
        <v>32303</v>
      </c>
      <c r="Z185" t="s">
        <v>411</v>
      </c>
      <c r="AA185" t="s">
        <v>412</v>
      </c>
    </row>
    <row r="186" spans="25:27" x14ac:dyDescent="0.25">
      <c r="Y186">
        <v>32304</v>
      </c>
      <c r="Z186" t="s">
        <v>411</v>
      </c>
      <c r="AA186" t="s">
        <v>412</v>
      </c>
    </row>
    <row r="187" spans="25:27" x14ac:dyDescent="0.25">
      <c r="Y187">
        <v>32305</v>
      </c>
      <c r="Z187" t="s">
        <v>411</v>
      </c>
      <c r="AA187" t="s">
        <v>412</v>
      </c>
    </row>
    <row r="188" spans="25:27" x14ac:dyDescent="0.25">
      <c r="Y188">
        <v>32306</v>
      </c>
      <c r="Z188" t="s">
        <v>411</v>
      </c>
      <c r="AA188" t="s">
        <v>412</v>
      </c>
    </row>
    <row r="189" spans="25:27" x14ac:dyDescent="0.25">
      <c r="Y189">
        <v>32307</v>
      </c>
      <c r="Z189" t="s">
        <v>411</v>
      </c>
      <c r="AA189" t="s">
        <v>412</v>
      </c>
    </row>
    <row r="190" spans="25:27" x14ac:dyDescent="0.25">
      <c r="Y190">
        <v>32308</v>
      </c>
      <c r="Z190" t="s">
        <v>411</v>
      </c>
      <c r="AA190" t="s">
        <v>412</v>
      </c>
    </row>
    <row r="191" spans="25:27" x14ac:dyDescent="0.25">
      <c r="Y191">
        <v>32309</v>
      </c>
      <c r="Z191" t="s">
        <v>411</v>
      </c>
      <c r="AA191" t="s">
        <v>412</v>
      </c>
    </row>
    <row r="192" spans="25:27" x14ac:dyDescent="0.25">
      <c r="Y192">
        <v>32310</v>
      </c>
      <c r="Z192" t="s">
        <v>411</v>
      </c>
      <c r="AA192" t="s">
        <v>412</v>
      </c>
    </row>
    <row r="193" spans="25:27" x14ac:dyDescent="0.25">
      <c r="Y193">
        <v>32311</v>
      </c>
      <c r="Z193" t="s">
        <v>411</v>
      </c>
      <c r="AA193" t="s">
        <v>412</v>
      </c>
    </row>
    <row r="194" spans="25:27" x14ac:dyDescent="0.25">
      <c r="Y194">
        <v>32312</v>
      </c>
      <c r="Z194" t="s">
        <v>411</v>
      </c>
      <c r="AA194" t="s">
        <v>412</v>
      </c>
    </row>
    <row r="195" spans="25:27" x14ac:dyDescent="0.25">
      <c r="Y195">
        <v>32313</v>
      </c>
      <c r="Z195" t="s">
        <v>411</v>
      </c>
      <c r="AA195" t="s">
        <v>412</v>
      </c>
    </row>
    <row r="196" spans="25:27" x14ac:dyDescent="0.25">
      <c r="Y196">
        <v>32314</v>
      </c>
      <c r="Z196" t="s">
        <v>411</v>
      </c>
      <c r="AA196" t="s">
        <v>412</v>
      </c>
    </row>
    <row r="197" spans="25:27" x14ac:dyDescent="0.25">
      <c r="Y197">
        <v>32315</v>
      </c>
      <c r="Z197" t="s">
        <v>411</v>
      </c>
      <c r="AA197" t="s">
        <v>412</v>
      </c>
    </row>
    <row r="198" spans="25:27" x14ac:dyDescent="0.25">
      <c r="Y198">
        <v>32316</v>
      </c>
      <c r="Z198" t="s">
        <v>411</v>
      </c>
      <c r="AA198" t="s">
        <v>412</v>
      </c>
    </row>
    <row r="199" spans="25:27" x14ac:dyDescent="0.25">
      <c r="Y199">
        <v>32317</v>
      </c>
      <c r="Z199" t="s">
        <v>411</v>
      </c>
      <c r="AA199" t="s">
        <v>412</v>
      </c>
    </row>
    <row r="200" spans="25:27" x14ac:dyDescent="0.25">
      <c r="Y200">
        <v>32318</v>
      </c>
      <c r="Z200" t="s">
        <v>411</v>
      </c>
      <c r="AA200" t="s">
        <v>412</v>
      </c>
    </row>
    <row r="201" spans="25:27" x14ac:dyDescent="0.25">
      <c r="Y201">
        <v>32320</v>
      </c>
      <c r="Z201" t="s">
        <v>413</v>
      </c>
      <c r="AA201" t="s">
        <v>414</v>
      </c>
    </row>
    <row r="202" spans="25:27" x14ac:dyDescent="0.25">
      <c r="Y202">
        <v>32321</v>
      </c>
      <c r="Z202" t="s">
        <v>415</v>
      </c>
      <c r="AA202" t="s">
        <v>416</v>
      </c>
    </row>
    <row r="203" spans="25:27" x14ac:dyDescent="0.25">
      <c r="Y203">
        <v>32322</v>
      </c>
      <c r="Z203" t="s">
        <v>417</v>
      </c>
      <c r="AA203" t="s">
        <v>414</v>
      </c>
    </row>
    <row r="204" spans="25:27" x14ac:dyDescent="0.25">
      <c r="Y204">
        <v>32323</v>
      </c>
      <c r="Z204" t="s">
        <v>418</v>
      </c>
      <c r="AA204" t="s">
        <v>414</v>
      </c>
    </row>
    <row r="205" spans="25:27" x14ac:dyDescent="0.25">
      <c r="Y205">
        <v>32324</v>
      </c>
      <c r="Z205" t="s">
        <v>419</v>
      </c>
      <c r="AA205" t="s">
        <v>420</v>
      </c>
    </row>
    <row r="206" spans="25:27" x14ac:dyDescent="0.25">
      <c r="Y206">
        <v>32326</v>
      </c>
      <c r="Z206" t="s">
        <v>421</v>
      </c>
      <c r="AA206" t="s">
        <v>422</v>
      </c>
    </row>
    <row r="207" spans="25:27" x14ac:dyDescent="0.25">
      <c r="Y207">
        <v>32327</v>
      </c>
      <c r="Z207" t="s">
        <v>421</v>
      </c>
      <c r="AA207" t="s">
        <v>422</v>
      </c>
    </row>
    <row r="208" spans="25:27" x14ac:dyDescent="0.25">
      <c r="Y208">
        <v>32328</v>
      </c>
      <c r="Z208" t="s">
        <v>423</v>
      </c>
      <c r="AA208" t="s">
        <v>414</v>
      </c>
    </row>
    <row r="209" spans="25:27" x14ac:dyDescent="0.25">
      <c r="Y209">
        <v>32329</v>
      </c>
      <c r="Z209" t="s">
        <v>413</v>
      </c>
      <c r="AA209" t="s">
        <v>414</v>
      </c>
    </row>
    <row r="210" spans="25:27" x14ac:dyDescent="0.25">
      <c r="Y210">
        <v>32330</v>
      </c>
      <c r="Z210" t="s">
        <v>424</v>
      </c>
      <c r="AA210" t="s">
        <v>420</v>
      </c>
    </row>
    <row r="211" spans="25:27" x14ac:dyDescent="0.25">
      <c r="Y211">
        <v>32331</v>
      </c>
      <c r="Z211" t="s">
        <v>425</v>
      </c>
      <c r="AA211" t="s">
        <v>347</v>
      </c>
    </row>
    <row r="212" spans="25:27" x14ac:dyDescent="0.25">
      <c r="Y212">
        <v>32332</v>
      </c>
      <c r="Z212" t="s">
        <v>426</v>
      </c>
      <c r="AA212" t="s">
        <v>420</v>
      </c>
    </row>
    <row r="213" spans="25:27" x14ac:dyDescent="0.25">
      <c r="Y213">
        <v>32333</v>
      </c>
      <c r="Z213" t="s">
        <v>427</v>
      </c>
      <c r="AA213" t="s">
        <v>420</v>
      </c>
    </row>
    <row r="214" spans="25:27" x14ac:dyDescent="0.25">
      <c r="Y214">
        <v>32334</v>
      </c>
      <c r="Z214" t="s">
        <v>428</v>
      </c>
      <c r="AA214" t="s">
        <v>416</v>
      </c>
    </row>
    <row r="215" spans="25:27" x14ac:dyDescent="0.25">
      <c r="Y215">
        <v>32335</v>
      </c>
      <c r="Z215" t="s">
        <v>429</v>
      </c>
      <c r="AA215" t="s">
        <v>416</v>
      </c>
    </row>
    <row r="216" spans="25:27" x14ac:dyDescent="0.25">
      <c r="Y216">
        <v>32336</v>
      </c>
      <c r="Z216" t="s">
        <v>430</v>
      </c>
      <c r="AA216" t="s">
        <v>431</v>
      </c>
    </row>
    <row r="217" spans="25:27" x14ac:dyDescent="0.25">
      <c r="Y217">
        <v>32337</v>
      </c>
      <c r="Z217" t="s">
        <v>432</v>
      </c>
      <c r="AA217" t="s">
        <v>431</v>
      </c>
    </row>
    <row r="218" spans="25:27" x14ac:dyDescent="0.25">
      <c r="Y218">
        <v>32340</v>
      </c>
      <c r="Z218" t="s">
        <v>347</v>
      </c>
      <c r="AA218" t="s">
        <v>347</v>
      </c>
    </row>
    <row r="219" spans="25:27" x14ac:dyDescent="0.25">
      <c r="Y219">
        <v>32341</v>
      </c>
      <c r="Z219" t="s">
        <v>347</v>
      </c>
      <c r="AA219" t="s">
        <v>347</v>
      </c>
    </row>
    <row r="220" spans="25:27" x14ac:dyDescent="0.25">
      <c r="Y220">
        <v>32343</v>
      </c>
      <c r="Z220" t="s">
        <v>433</v>
      </c>
      <c r="AA220" t="s">
        <v>420</v>
      </c>
    </row>
    <row r="221" spans="25:27" x14ac:dyDescent="0.25">
      <c r="Y221">
        <v>32344</v>
      </c>
      <c r="Z221" t="s">
        <v>434</v>
      </c>
      <c r="AA221" t="s">
        <v>431</v>
      </c>
    </row>
    <row r="222" spans="25:27" x14ac:dyDescent="0.25">
      <c r="Y222">
        <v>32345</v>
      </c>
      <c r="Z222" t="s">
        <v>434</v>
      </c>
      <c r="AA222" t="s">
        <v>431</v>
      </c>
    </row>
    <row r="223" spans="25:27" x14ac:dyDescent="0.25">
      <c r="Y223">
        <v>32346</v>
      </c>
      <c r="Z223" t="s">
        <v>435</v>
      </c>
      <c r="AA223" t="s">
        <v>422</v>
      </c>
    </row>
    <row r="224" spans="25:27" x14ac:dyDescent="0.25">
      <c r="Y224">
        <v>32347</v>
      </c>
      <c r="Z224" t="s">
        <v>436</v>
      </c>
      <c r="AA224" t="s">
        <v>437</v>
      </c>
    </row>
    <row r="225" spans="25:27" x14ac:dyDescent="0.25">
      <c r="Y225">
        <v>32348</v>
      </c>
      <c r="Z225" t="s">
        <v>436</v>
      </c>
      <c r="AA225" t="s">
        <v>437</v>
      </c>
    </row>
    <row r="226" spans="25:27" x14ac:dyDescent="0.25">
      <c r="Y226">
        <v>32350</v>
      </c>
      <c r="Z226" t="s">
        <v>438</v>
      </c>
      <c r="AA226" t="s">
        <v>347</v>
      </c>
    </row>
    <row r="227" spans="25:27" x14ac:dyDescent="0.25">
      <c r="Y227">
        <v>32351</v>
      </c>
      <c r="Z227" t="s">
        <v>439</v>
      </c>
      <c r="AA227" t="s">
        <v>420</v>
      </c>
    </row>
    <row r="228" spans="25:27" x14ac:dyDescent="0.25">
      <c r="Y228">
        <v>32352</v>
      </c>
      <c r="Z228" t="s">
        <v>439</v>
      </c>
      <c r="AA228" t="s">
        <v>420</v>
      </c>
    </row>
    <row r="229" spans="25:27" x14ac:dyDescent="0.25">
      <c r="Y229">
        <v>32353</v>
      </c>
      <c r="Z229" t="s">
        <v>439</v>
      </c>
      <c r="AA229" t="s">
        <v>420</v>
      </c>
    </row>
    <row r="230" spans="25:27" x14ac:dyDescent="0.25">
      <c r="Y230">
        <v>32355</v>
      </c>
      <c r="Z230" t="s">
        <v>440</v>
      </c>
      <c r="AA230" t="s">
        <v>422</v>
      </c>
    </row>
    <row r="231" spans="25:27" x14ac:dyDescent="0.25">
      <c r="Y231">
        <v>32356</v>
      </c>
      <c r="Z231" t="s">
        <v>441</v>
      </c>
      <c r="AA231" t="s">
        <v>437</v>
      </c>
    </row>
    <row r="232" spans="25:27" x14ac:dyDescent="0.25">
      <c r="Y232">
        <v>32357</v>
      </c>
      <c r="Z232" t="s">
        <v>442</v>
      </c>
      <c r="AA232" t="s">
        <v>437</v>
      </c>
    </row>
    <row r="233" spans="25:27" x14ac:dyDescent="0.25">
      <c r="Y233">
        <v>32358</v>
      </c>
      <c r="Z233" t="s">
        <v>443</v>
      </c>
      <c r="AA233" t="s">
        <v>422</v>
      </c>
    </row>
    <row r="234" spans="25:27" x14ac:dyDescent="0.25">
      <c r="Y234">
        <v>32359</v>
      </c>
      <c r="Z234" t="s">
        <v>444</v>
      </c>
      <c r="AA234" t="s">
        <v>437</v>
      </c>
    </row>
    <row r="235" spans="25:27" x14ac:dyDescent="0.25">
      <c r="Y235">
        <v>32360</v>
      </c>
      <c r="Z235" t="s">
        <v>445</v>
      </c>
      <c r="AA235" t="s">
        <v>416</v>
      </c>
    </row>
    <row r="236" spans="25:27" x14ac:dyDescent="0.25">
      <c r="Y236">
        <v>32361</v>
      </c>
      <c r="Z236" t="s">
        <v>446</v>
      </c>
      <c r="AA236" t="s">
        <v>431</v>
      </c>
    </row>
    <row r="237" spans="25:27" x14ac:dyDescent="0.25">
      <c r="Y237">
        <v>32362</v>
      </c>
      <c r="Z237" t="s">
        <v>447</v>
      </c>
      <c r="AA237" t="s">
        <v>412</v>
      </c>
    </row>
    <row r="238" spans="25:27" x14ac:dyDescent="0.25">
      <c r="Y238">
        <v>32395</v>
      </c>
      <c r="Z238" t="s">
        <v>411</v>
      </c>
      <c r="AA238" t="s">
        <v>412</v>
      </c>
    </row>
    <row r="239" spans="25:27" x14ac:dyDescent="0.25">
      <c r="Y239">
        <v>32399</v>
      </c>
      <c r="Z239" t="s">
        <v>411</v>
      </c>
      <c r="AA239" t="s">
        <v>412</v>
      </c>
    </row>
    <row r="240" spans="25:27" x14ac:dyDescent="0.25">
      <c r="Y240">
        <v>32401</v>
      </c>
      <c r="Z240" t="s">
        <v>448</v>
      </c>
      <c r="AA240" t="s">
        <v>449</v>
      </c>
    </row>
    <row r="241" spans="25:27" x14ac:dyDescent="0.25">
      <c r="Y241">
        <v>32402</v>
      </c>
      <c r="Z241" t="s">
        <v>448</v>
      </c>
      <c r="AA241" t="s">
        <v>449</v>
      </c>
    </row>
    <row r="242" spans="25:27" x14ac:dyDescent="0.25">
      <c r="Y242">
        <v>32403</v>
      </c>
      <c r="Z242" t="s">
        <v>448</v>
      </c>
      <c r="AA242" t="s">
        <v>449</v>
      </c>
    </row>
    <row r="243" spans="25:27" x14ac:dyDescent="0.25">
      <c r="Y243">
        <v>32404</v>
      </c>
      <c r="Z243" t="s">
        <v>448</v>
      </c>
      <c r="AA243" t="s">
        <v>449</v>
      </c>
    </row>
    <row r="244" spans="25:27" x14ac:dyDescent="0.25">
      <c r="Y244">
        <v>32405</v>
      </c>
      <c r="Z244" t="s">
        <v>448</v>
      </c>
      <c r="AA244" t="s">
        <v>449</v>
      </c>
    </row>
    <row r="245" spans="25:27" x14ac:dyDescent="0.25">
      <c r="Y245">
        <v>32406</v>
      </c>
      <c r="Z245" t="s">
        <v>448</v>
      </c>
      <c r="AA245" t="s">
        <v>449</v>
      </c>
    </row>
    <row r="246" spans="25:27" x14ac:dyDescent="0.25">
      <c r="Y246">
        <v>32407</v>
      </c>
      <c r="Z246" t="s">
        <v>450</v>
      </c>
      <c r="AA246" t="s">
        <v>449</v>
      </c>
    </row>
    <row r="247" spans="25:27" x14ac:dyDescent="0.25">
      <c r="Y247">
        <v>32408</v>
      </c>
      <c r="Z247" t="s">
        <v>448</v>
      </c>
      <c r="AA247" t="s">
        <v>449</v>
      </c>
    </row>
    <row r="248" spans="25:27" x14ac:dyDescent="0.25">
      <c r="Y248">
        <v>32409</v>
      </c>
      <c r="Z248" t="s">
        <v>448</v>
      </c>
      <c r="AA248" t="s">
        <v>449</v>
      </c>
    </row>
    <row r="249" spans="25:27" x14ac:dyDescent="0.25">
      <c r="Y249">
        <v>32410</v>
      </c>
      <c r="Z249" t="s">
        <v>451</v>
      </c>
      <c r="AA249" t="s">
        <v>449</v>
      </c>
    </row>
    <row r="250" spans="25:27" x14ac:dyDescent="0.25">
      <c r="Y250">
        <v>32411</v>
      </c>
      <c r="Z250" t="s">
        <v>448</v>
      </c>
      <c r="AA250" t="s">
        <v>449</v>
      </c>
    </row>
    <row r="251" spans="25:27" x14ac:dyDescent="0.25">
      <c r="Y251">
        <v>32412</v>
      </c>
      <c r="Z251" t="s">
        <v>448</v>
      </c>
      <c r="AA251" t="s">
        <v>449</v>
      </c>
    </row>
    <row r="252" spans="25:27" x14ac:dyDescent="0.25">
      <c r="Y252">
        <v>32413</v>
      </c>
      <c r="Z252" t="s">
        <v>450</v>
      </c>
      <c r="AA252" t="s">
        <v>449</v>
      </c>
    </row>
    <row r="253" spans="25:27" x14ac:dyDescent="0.25">
      <c r="Y253">
        <v>32417</v>
      </c>
      <c r="Z253" t="s">
        <v>448</v>
      </c>
      <c r="AA253" t="s">
        <v>449</v>
      </c>
    </row>
    <row r="254" spans="25:27" x14ac:dyDescent="0.25">
      <c r="Y254">
        <v>32420</v>
      </c>
      <c r="Z254" t="s">
        <v>452</v>
      </c>
      <c r="AA254" t="s">
        <v>453</v>
      </c>
    </row>
    <row r="255" spans="25:27" x14ac:dyDescent="0.25">
      <c r="Y255">
        <v>32421</v>
      </c>
      <c r="Z255" t="s">
        <v>454</v>
      </c>
      <c r="AA255" t="s">
        <v>455</v>
      </c>
    </row>
    <row r="256" spans="25:27" x14ac:dyDescent="0.25">
      <c r="Y256">
        <v>32422</v>
      </c>
      <c r="Z256" t="s">
        <v>456</v>
      </c>
      <c r="AA256" t="s">
        <v>457</v>
      </c>
    </row>
    <row r="257" spans="25:27" x14ac:dyDescent="0.25">
      <c r="Y257">
        <v>32423</v>
      </c>
      <c r="Z257" t="s">
        <v>458</v>
      </c>
      <c r="AA257" t="s">
        <v>453</v>
      </c>
    </row>
    <row r="258" spans="25:27" x14ac:dyDescent="0.25">
      <c r="Y258">
        <v>32424</v>
      </c>
      <c r="Z258" t="s">
        <v>459</v>
      </c>
      <c r="AA258" t="s">
        <v>455</v>
      </c>
    </row>
    <row r="259" spans="25:27" x14ac:dyDescent="0.25">
      <c r="Y259">
        <v>32425</v>
      </c>
      <c r="Z259" t="s">
        <v>460</v>
      </c>
      <c r="AA259" t="s">
        <v>461</v>
      </c>
    </row>
    <row r="260" spans="25:27" x14ac:dyDescent="0.25">
      <c r="Y260">
        <v>32426</v>
      </c>
      <c r="Z260" t="s">
        <v>462</v>
      </c>
      <c r="AA260" t="s">
        <v>453</v>
      </c>
    </row>
    <row r="261" spans="25:27" x14ac:dyDescent="0.25">
      <c r="Y261">
        <v>32427</v>
      </c>
      <c r="Z261" t="s">
        <v>463</v>
      </c>
      <c r="AA261" t="s">
        <v>464</v>
      </c>
    </row>
    <row r="262" spans="25:27" x14ac:dyDescent="0.25">
      <c r="Y262">
        <v>32428</v>
      </c>
      <c r="Z262" t="s">
        <v>465</v>
      </c>
      <c r="AA262" t="s">
        <v>464</v>
      </c>
    </row>
    <row r="263" spans="25:27" x14ac:dyDescent="0.25">
      <c r="Y263">
        <v>32430</v>
      </c>
      <c r="Z263" t="s">
        <v>466</v>
      </c>
      <c r="AA263" t="s">
        <v>455</v>
      </c>
    </row>
    <row r="264" spans="25:27" x14ac:dyDescent="0.25">
      <c r="Y264">
        <v>32431</v>
      </c>
      <c r="Z264" t="s">
        <v>467</v>
      </c>
      <c r="AA264" t="s">
        <v>453</v>
      </c>
    </row>
    <row r="265" spans="25:27" x14ac:dyDescent="0.25">
      <c r="Y265">
        <v>32432</v>
      </c>
      <c r="Z265" t="s">
        <v>468</v>
      </c>
      <c r="AA265" t="s">
        <v>453</v>
      </c>
    </row>
    <row r="266" spans="25:27" x14ac:dyDescent="0.25">
      <c r="Y266">
        <v>32433</v>
      </c>
      <c r="Z266" t="s">
        <v>469</v>
      </c>
      <c r="AA266" t="s">
        <v>457</v>
      </c>
    </row>
    <row r="267" spans="25:27" x14ac:dyDescent="0.25">
      <c r="Y267">
        <v>32434</v>
      </c>
      <c r="Z267" t="s">
        <v>470</v>
      </c>
      <c r="AA267" t="s">
        <v>457</v>
      </c>
    </row>
    <row r="268" spans="25:27" x14ac:dyDescent="0.25">
      <c r="Y268">
        <v>32435</v>
      </c>
      <c r="Z268" t="s">
        <v>469</v>
      </c>
      <c r="AA268" t="s">
        <v>457</v>
      </c>
    </row>
    <row r="269" spans="25:27" x14ac:dyDescent="0.25">
      <c r="Y269">
        <v>32437</v>
      </c>
      <c r="Z269" t="s">
        <v>471</v>
      </c>
      <c r="AA269" t="s">
        <v>464</v>
      </c>
    </row>
    <row r="270" spans="25:27" x14ac:dyDescent="0.25">
      <c r="Y270">
        <v>32438</v>
      </c>
      <c r="Z270" t="s">
        <v>472</v>
      </c>
      <c r="AA270" t="s">
        <v>449</v>
      </c>
    </row>
    <row r="271" spans="25:27" x14ac:dyDescent="0.25">
      <c r="Y271">
        <v>32439</v>
      </c>
      <c r="Z271" t="s">
        <v>473</v>
      </c>
      <c r="AA271" t="s">
        <v>457</v>
      </c>
    </row>
    <row r="272" spans="25:27" x14ac:dyDescent="0.25">
      <c r="Y272">
        <v>32440</v>
      </c>
      <c r="Z272" t="s">
        <v>474</v>
      </c>
      <c r="AA272" t="s">
        <v>453</v>
      </c>
    </row>
    <row r="273" spans="25:27" x14ac:dyDescent="0.25">
      <c r="Y273">
        <v>32442</v>
      </c>
      <c r="Z273" t="s">
        <v>475</v>
      </c>
      <c r="AA273" t="s">
        <v>453</v>
      </c>
    </row>
    <row r="274" spans="25:27" x14ac:dyDescent="0.25">
      <c r="Y274">
        <v>32443</v>
      </c>
      <c r="Z274" t="s">
        <v>476</v>
      </c>
      <c r="AA274" t="s">
        <v>453</v>
      </c>
    </row>
    <row r="275" spans="25:27" x14ac:dyDescent="0.25">
      <c r="Y275">
        <v>32444</v>
      </c>
      <c r="Z275" t="s">
        <v>477</v>
      </c>
      <c r="AA275" t="s">
        <v>449</v>
      </c>
    </row>
    <row r="276" spans="25:27" x14ac:dyDescent="0.25">
      <c r="Y276">
        <v>32445</v>
      </c>
      <c r="Z276" t="s">
        <v>478</v>
      </c>
      <c r="AA276" t="s">
        <v>453</v>
      </c>
    </row>
    <row r="277" spans="25:27" x14ac:dyDescent="0.25">
      <c r="Y277">
        <v>32446</v>
      </c>
      <c r="Z277" t="s">
        <v>479</v>
      </c>
      <c r="AA277" t="s">
        <v>453</v>
      </c>
    </row>
    <row r="278" spans="25:27" x14ac:dyDescent="0.25">
      <c r="Y278">
        <v>32447</v>
      </c>
      <c r="Z278" t="s">
        <v>479</v>
      </c>
      <c r="AA278" t="s">
        <v>453</v>
      </c>
    </row>
    <row r="279" spans="25:27" x14ac:dyDescent="0.25">
      <c r="Y279">
        <v>32448</v>
      </c>
      <c r="Z279" t="s">
        <v>479</v>
      </c>
      <c r="AA279" t="s">
        <v>453</v>
      </c>
    </row>
    <row r="280" spans="25:27" x14ac:dyDescent="0.25">
      <c r="Y280">
        <v>32449</v>
      </c>
      <c r="Z280" t="s">
        <v>480</v>
      </c>
      <c r="AA280" t="s">
        <v>455</v>
      </c>
    </row>
    <row r="281" spans="25:27" x14ac:dyDescent="0.25">
      <c r="Y281">
        <v>32452</v>
      </c>
      <c r="Z281" t="s">
        <v>481</v>
      </c>
      <c r="AA281" t="s">
        <v>461</v>
      </c>
    </row>
    <row r="282" spans="25:27" x14ac:dyDescent="0.25">
      <c r="Y282">
        <v>32454</v>
      </c>
      <c r="Z282" t="s">
        <v>482</v>
      </c>
      <c r="AA282" t="s">
        <v>457</v>
      </c>
    </row>
    <row r="283" spans="25:27" x14ac:dyDescent="0.25">
      <c r="Y283">
        <v>32455</v>
      </c>
      <c r="Z283" t="s">
        <v>483</v>
      </c>
      <c r="AA283" t="s">
        <v>457</v>
      </c>
    </row>
    <row r="284" spans="25:27" x14ac:dyDescent="0.25">
      <c r="Y284">
        <v>32456</v>
      </c>
      <c r="Z284" t="s">
        <v>484</v>
      </c>
      <c r="AA284" t="s">
        <v>485</v>
      </c>
    </row>
    <row r="285" spans="25:27" x14ac:dyDescent="0.25">
      <c r="Y285">
        <v>32457</v>
      </c>
      <c r="Z285" t="s">
        <v>484</v>
      </c>
      <c r="AA285" t="s">
        <v>485</v>
      </c>
    </row>
    <row r="286" spans="25:27" x14ac:dyDescent="0.25">
      <c r="Y286">
        <v>32459</v>
      </c>
      <c r="Z286" t="s">
        <v>486</v>
      </c>
      <c r="AA286" t="s">
        <v>457</v>
      </c>
    </row>
    <row r="287" spans="25:27" x14ac:dyDescent="0.25">
      <c r="Y287">
        <v>32460</v>
      </c>
      <c r="Z287" t="s">
        <v>487</v>
      </c>
      <c r="AA287" t="s">
        <v>453</v>
      </c>
    </row>
    <row r="288" spans="25:27" x14ac:dyDescent="0.25">
      <c r="Y288">
        <v>32461</v>
      </c>
      <c r="Z288" t="s">
        <v>488</v>
      </c>
      <c r="AA288" t="s">
        <v>457</v>
      </c>
    </row>
    <row r="289" spans="25:27" x14ac:dyDescent="0.25">
      <c r="Y289">
        <v>32462</v>
      </c>
      <c r="Z289" t="s">
        <v>489</v>
      </c>
      <c r="AA289" t="s">
        <v>464</v>
      </c>
    </row>
    <row r="290" spans="25:27" x14ac:dyDescent="0.25">
      <c r="Y290">
        <v>32463</v>
      </c>
      <c r="Z290" t="s">
        <v>490</v>
      </c>
      <c r="AA290" t="s">
        <v>464</v>
      </c>
    </row>
    <row r="291" spans="25:27" x14ac:dyDescent="0.25">
      <c r="Y291">
        <v>32464</v>
      </c>
      <c r="Z291" t="s">
        <v>491</v>
      </c>
      <c r="AA291" t="s">
        <v>461</v>
      </c>
    </row>
    <row r="292" spans="25:27" x14ac:dyDescent="0.25">
      <c r="Y292">
        <v>32465</v>
      </c>
      <c r="Z292" t="s">
        <v>480</v>
      </c>
      <c r="AA292" t="s">
        <v>485</v>
      </c>
    </row>
    <row r="293" spans="25:27" x14ac:dyDescent="0.25">
      <c r="Y293">
        <v>32466</v>
      </c>
      <c r="Z293" t="s">
        <v>492</v>
      </c>
      <c r="AA293" t="s">
        <v>449</v>
      </c>
    </row>
    <row r="294" spans="25:27" x14ac:dyDescent="0.25">
      <c r="Y294">
        <v>32501</v>
      </c>
      <c r="Z294" t="s">
        <v>493</v>
      </c>
      <c r="AA294" t="s">
        <v>494</v>
      </c>
    </row>
    <row r="295" spans="25:27" x14ac:dyDescent="0.25">
      <c r="Y295">
        <v>32502</v>
      </c>
      <c r="Z295" t="s">
        <v>493</v>
      </c>
      <c r="AA295" t="s">
        <v>494</v>
      </c>
    </row>
    <row r="296" spans="25:27" x14ac:dyDescent="0.25">
      <c r="Y296">
        <v>32503</v>
      </c>
      <c r="Z296" t="s">
        <v>493</v>
      </c>
      <c r="AA296" t="s">
        <v>494</v>
      </c>
    </row>
    <row r="297" spans="25:27" x14ac:dyDescent="0.25">
      <c r="Y297">
        <v>32504</v>
      </c>
      <c r="Z297" t="s">
        <v>493</v>
      </c>
      <c r="AA297" t="s">
        <v>494</v>
      </c>
    </row>
    <row r="298" spans="25:27" x14ac:dyDescent="0.25">
      <c r="Y298">
        <v>32505</v>
      </c>
      <c r="Z298" t="s">
        <v>493</v>
      </c>
      <c r="AA298" t="s">
        <v>494</v>
      </c>
    </row>
    <row r="299" spans="25:27" x14ac:dyDescent="0.25">
      <c r="Y299">
        <v>32506</v>
      </c>
      <c r="Z299" t="s">
        <v>493</v>
      </c>
      <c r="AA299" t="s">
        <v>494</v>
      </c>
    </row>
    <row r="300" spans="25:27" x14ac:dyDescent="0.25">
      <c r="Y300">
        <v>32507</v>
      </c>
      <c r="Z300" t="s">
        <v>493</v>
      </c>
      <c r="AA300" t="s">
        <v>494</v>
      </c>
    </row>
    <row r="301" spans="25:27" x14ac:dyDescent="0.25">
      <c r="Y301">
        <v>32508</v>
      </c>
      <c r="Z301" t="s">
        <v>493</v>
      </c>
      <c r="AA301" t="s">
        <v>494</v>
      </c>
    </row>
    <row r="302" spans="25:27" x14ac:dyDescent="0.25">
      <c r="Y302">
        <v>32509</v>
      </c>
      <c r="Z302" t="s">
        <v>493</v>
      </c>
      <c r="AA302" t="s">
        <v>494</v>
      </c>
    </row>
    <row r="303" spans="25:27" x14ac:dyDescent="0.25">
      <c r="Y303">
        <v>32511</v>
      </c>
      <c r="Z303" t="s">
        <v>493</v>
      </c>
      <c r="AA303" t="s">
        <v>494</v>
      </c>
    </row>
    <row r="304" spans="25:27" x14ac:dyDescent="0.25">
      <c r="Y304">
        <v>32512</v>
      </c>
      <c r="Z304" t="s">
        <v>493</v>
      </c>
      <c r="AA304" t="s">
        <v>494</v>
      </c>
    </row>
    <row r="305" spans="25:27" x14ac:dyDescent="0.25">
      <c r="Y305">
        <v>32513</v>
      </c>
      <c r="Z305" t="s">
        <v>493</v>
      </c>
      <c r="AA305" t="s">
        <v>494</v>
      </c>
    </row>
    <row r="306" spans="25:27" x14ac:dyDescent="0.25">
      <c r="Y306">
        <v>32514</v>
      </c>
      <c r="Z306" t="s">
        <v>493</v>
      </c>
      <c r="AA306" t="s">
        <v>494</v>
      </c>
    </row>
    <row r="307" spans="25:27" x14ac:dyDescent="0.25">
      <c r="Y307">
        <v>32516</v>
      </c>
      <c r="Z307" t="s">
        <v>493</v>
      </c>
      <c r="AA307" t="s">
        <v>494</v>
      </c>
    </row>
    <row r="308" spans="25:27" x14ac:dyDescent="0.25">
      <c r="Y308">
        <v>32520</v>
      </c>
      <c r="Z308" t="s">
        <v>493</v>
      </c>
      <c r="AA308" t="s">
        <v>494</v>
      </c>
    </row>
    <row r="309" spans="25:27" x14ac:dyDescent="0.25">
      <c r="Y309">
        <v>32521</v>
      </c>
      <c r="Z309" t="s">
        <v>493</v>
      </c>
      <c r="AA309" t="s">
        <v>494</v>
      </c>
    </row>
    <row r="310" spans="25:27" x14ac:dyDescent="0.25">
      <c r="Y310">
        <v>32522</v>
      </c>
      <c r="Z310" t="s">
        <v>493</v>
      </c>
      <c r="AA310" t="s">
        <v>494</v>
      </c>
    </row>
    <row r="311" spans="25:27" x14ac:dyDescent="0.25">
      <c r="Y311">
        <v>32523</v>
      </c>
      <c r="Z311" t="s">
        <v>493</v>
      </c>
      <c r="AA311" t="s">
        <v>494</v>
      </c>
    </row>
    <row r="312" spans="25:27" x14ac:dyDescent="0.25">
      <c r="Y312">
        <v>32524</v>
      </c>
      <c r="Z312" t="s">
        <v>493</v>
      </c>
      <c r="AA312" t="s">
        <v>494</v>
      </c>
    </row>
    <row r="313" spans="25:27" x14ac:dyDescent="0.25">
      <c r="Y313">
        <v>32526</v>
      </c>
      <c r="Z313" t="s">
        <v>493</v>
      </c>
      <c r="AA313" t="s">
        <v>494</v>
      </c>
    </row>
    <row r="314" spans="25:27" x14ac:dyDescent="0.25">
      <c r="Y314">
        <v>32530</v>
      </c>
      <c r="Z314" t="s">
        <v>495</v>
      </c>
      <c r="AA314" t="s">
        <v>496</v>
      </c>
    </row>
    <row r="315" spans="25:27" x14ac:dyDescent="0.25">
      <c r="Y315">
        <v>32531</v>
      </c>
      <c r="Z315" t="s">
        <v>333</v>
      </c>
      <c r="AA315" t="s">
        <v>497</v>
      </c>
    </row>
    <row r="316" spans="25:27" x14ac:dyDescent="0.25">
      <c r="Y316">
        <v>32533</v>
      </c>
      <c r="Z316" t="s">
        <v>498</v>
      </c>
      <c r="AA316" t="s">
        <v>494</v>
      </c>
    </row>
    <row r="317" spans="25:27" x14ac:dyDescent="0.25">
      <c r="Y317">
        <v>32534</v>
      </c>
      <c r="Z317" t="s">
        <v>493</v>
      </c>
      <c r="AA317" t="s">
        <v>494</v>
      </c>
    </row>
    <row r="318" spans="25:27" x14ac:dyDescent="0.25">
      <c r="Y318">
        <v>32535</v>
      </c>
      <c r="Z318" t="s">
        <v>499</v>
      </c>
      <c r="AA318" t="s">
        <v>494</v>
      </c>
    </row>
    <row r="319" spans="25:27" x14ac:dyDescent="0.25">
      <c r="Y319">
        <v>32536</v>
      </c>
      <c r="Z319" t="s">
        <v>500</v>
      </c>
      <c r="AA319" t="s">
        <v>497</v>
      </c>
    </row>
    <row r="320" spans="25:27" x14ac:dyDescent="0.25">
      <c r="Y320">
        <v>32537</v>
      </c>
      <c r="Z320" t="s">
        <v>501</v>
      </c>
      <c r="AA320" t="s">
        <v>497</v>
      </c>
    </row>
    <row r="321" spans="25:27" x14ac:dyDescent="0.25">
      <c r="Y321">
        <v>32538</v>
      </c>
      <c r="Z321" t="s">
        <v>502</v>
      </c>
      <c r="AA321" t="s">
        <v>457</v>
      </c>
    </row>
    <row r="322" spans="25:27" x14ac:dyDescent="0.25">
      <c r="Y322">
        <v>32539</v>
      </c>
      <c r="Z322" t="s">
        <v>500</v>
      </c>
      <c r="AA322" t="s">
        <v>497</v>
      </c>
    </row>
    <row r="323" spans="25:27" x14ac:dyDescent="0.25">
      <c r="Y323">
        <v>32540</v>
      </c>
      <c r="Z323" t="s">
        <v>503</v>
      </c>
      <c r="AA323" t="s">
        <v>497</v>
      </c>
    </row>
    <row r="324" spans="25:27" x14ac:dyDescent="0.25">
      <c r="Y324">
        <v>32541</v>
      </c>
      <c r="Z324" t="s">
        <v>503</v>
      </c>
      <c r="AA324" t="s">
        <v>497</v>
      </c>
    </row>
    <row r="325" spans="25:27" x14ac:dyDescent="0.25">
      <c r="Y325">
        <v>32542</v>
      </c>
      <c r="Z325" t="s">
        <v>504</v>
      </c>
      <c r="AA325" t="s">
        <v>497</v>
      </c>
    </row>
    <row r="326" spans="25:27" x14ac:dyDescent="0.25">
      <c r="Y326">
        <v>32544</v>
      </c>
      <c r="Z326" t="s">
        <v>505</v>
      </c>
      <c r="AA326" t="s">
        <v>497</v>
      </c>
    </row>
    <row r="327" spans="25:27" x14ac:dyDescent="0.25">
      <c r="Y327">
        <v>32547</v>
      </c>
      <c r="Z327" t="s">
        <v>506</v>
      </c>
      <c r="AA327" t="s">
        <v>497</v>
      </c>
    </row>
    <row r="328" spans="25:27" x14ac:dyDescent="0.25">
      <c r="Y328">
        <v>32548</v>
      </c>
      <c r="Z328" t="s">
        <v>506</v>
      </c>
      <c r="AA328" t="s">
        <v>497</v>
      </c>
    </row>
    <row r="329" spans="25:27" x14ac:dyDescent="0.25">
      <c r="Y329">
        <v>32549</v>
      </c>
      <c r="Z329" t="s">
        <v>506</v>
      </c>
      <c r="AA329" t="s">
        <v>497</v>
      </c>
    </row>
    <row r="330" spans="25:27" x14ac:dyDescent="0.25">
      <c r="Y330">
        <v>32550</v>
      </c>
      <c r="Z330" t="s">
        <v>507</v>
      </c>
      <c r="AA330" t="s">
        <v>457</v>
      </c>
    </row>
    <row r="331" spans="25:27" x14ac:dyDescent="0.25">
      <c r="Y331">
        <v>32559</v>
      </c>
      <c r="Z331" t="s">
        <v>493</v>
      </c>
      <c r="AA331" t="s">
        <v>494</v>
      </c>
    </row>
    <row r="332" spans="25:27" x14ac:dyDescent="0.25">
      <c r="Y332">
        <v>32560</v>
      </c>
      <c r="Z332" t="s">
        <v>508</v>
      </c>
      <c r="AA332" t="s">
        <v>494</v>
      </c>
    </row>
    <row r="333" spans="25:27" x14ac:dyDescent="0.25">
      <c r="Y333">
        <v>32561</v>
      </c>
      <c r="Z333" t="s">
        <v>509</v>
      </c>
      <c r="AA333" t="s">
        <v>496</v>
      </c>
    </row>
    <row r="334" spans="25:27" x14ac:dyDescent="0.25">
      <c r="Y334">
        <v>32562</v>
      </c>
      <c r="Z334" t="s">
        <v>509</v>
      </c>
      <c r="AA334" t="s">
        <v>496</v>
      </c>
    </row>
    <row r="335" spans="25:27" x14ac:dyDescent="0.25">
      <c r="Y335">
        <v>32563</v>
      </c>
      <c r="Z335" t="s">
        <v>509</v>
      </c>
      <c r="AA335" t="s">
        <v>496</v>
      </c>
    </row>
    <row r="336" spans="25:27" x14ac:dyDescent="0.25">
      <c r="Y336">
        <v>32564</v>
      </c>
      <c r="Z336" t="s">
        <v>510</v>
      </c>
      <c r="AA336" t="s">
        <v>497</v>
      </c>
    </row>
    <row r="337" spans="25:27" x14ac:dyDescent="0.25">
      <c r="Y337">
        <v>32565</v>
      </c>
      <c r="Z337" t="s">
        <v>511</v>
      </c>
      <c r="AA337" t="s">
        <v>496</v>
      </c>
    </row>
    <row r="338" spans="25:27" x14ac:dyDescent="0.25">
      <c r="Y338">
        <v>32566</v>
      </c>
      <c r="Z338" t="s">
        <v>512</v>
      </c>
      <c r="AA338" t="s">
        <v>496</v>
      </c>
    </row>
    <row r="339" spans="25:27" x14ac:dyDescent="0.25">
      <c r="Y339">
        <v>32567</v>
      </c>
      <c r="Z339" t="s">
        <v>513</v>
      </c>
      <c r="AA339" t="s">
        <v>497</v>
      </c>
    </row>
    <row r="340" spans="25:27" x14ac:dyDescent="0.25">
      <c r="Y340">
        <v>32568</v>
      </c>
      <c r="Z340" t="s">
        <v>514</v>
      </c>
      <c r="AA340" t="s">
        <v>494</v>
      </c>
    </row>
    <row r="341" spans="25:27" x14ac:dyDescent="0.25">
      <c r="Y341">
        <v>32569</v>
      </c>
      <c r="Z341" t="s">
        <v>515</v>
      </c>
      <c r="AA341" t="s">
        <v>497</v>
      </c>
    </row>
    <row r="342" spans="25:27" x14ac:dyDescent="0.25">
      <c r="Y342">
        <v>32570</v>
      </c>
      <c r="Z342" t="s">
        <v>516</v>
      </c>
      <c r="AA342" t="s">
        <v>496</v>
      </c>
    </row>
    <row r="343" spans="25:27" x14ac:dyDescent="0.25">
      <c r="Y343">
        <v>32571</v>
      </c>
      <c r="Z343" t="s">
        <v>516</v>
      </c>
      <c r="AA343" t="s">
        <v>496</v>
      </c>
    </row>
    <row r="344" spans="25:27" x14ac:dyDescent="0.25">
      <c r="Y344">
        <v>32572</v>
      </c>
      <c r="Z344" t="s">
        <v>516</v>
      </c>
      <c r="AA344" t="s">
        <v>496</v>
      </c>
    </row>
    <row r="345" spans="25:27" x14ac:dyDescent="0.25">
      <c r="Y345">
        <v>32577</v>
      </c>
      <c r="Z345" t="s">
        <v>517</v>
      </c>
      <c r="AA345" t="s">
        <v>494</v>
      </c>
    </row>
    <row r="346" spans="25:27" x14ac:dyDescent="0.25">
      <c r="Y346">
        <v>32578</v>
      </c>
      <c r="Z346" t="s">
        <v>518</v>
      </c>
      <c r="AA346" t="s">
        <v>497</v>
      </c>
    </row>
    <row r="347" spans="25:27" x14ac:dyDescent="0.25">
      <c r="Y347">
        <v>32579</v>
      </c>
      <c r="Z347" t="s">
        <v>519</v>
      </c>
      <c r="AA347" t="s">
        <v>497</v>
      </c>
    </row>
    <row r="348" spans="25:27" x14ac:dyDescent="0.25">
      <c r="Y348">
        <v>32580</v>
      </c>
      <c r="Z348" t="s">
        <v>520</v>
      </c>
      <c r="AA348" t="s">
        <v>497</v>
      </c>
    </row>
    <row r="349" spans="25:27" x14ac:dyDescent="0.25">
      <c r="Y349">
        <v>32583</v>
      </c>
      <c r="Z349" t="s">
        <v>516</v>
      </c>
      <c r="AA349" t="s">
        <v>496</v>
      </c>
    </row>
    <row r="350" spans="25:27" x14ac:dyDescent="0.25">
      <c r="Y350">
        <v>32588</v>
      </c>
      <c r="Z350" t="s">
        <v>518</v>
      </c>
      <c r="AA350" t="s">
        <v>497</v>
      </c>
    </row>
    <row r="351" spans="25:27" x14ac:dyDescent="0.25">
      <c r="Y351">
        <v>32590</v>
      </c>
      <c r="Z351" t="s">
        <v>493</v>
      </c>
      <c r="AA351" t="s">
        <v>494</v>
      </c>
    </row>
    <row r="352" spans="25:27" x14ac:dyDescent="0.25">
      <c r="Y352">
        <v>32591</v>
      </c>
      <c r="Z352" t="s">
        <v>493</v>
      </c>
      <c r="AA352" t="s">
        <v>494</v>
      </c>
    </row>
    <row r="353" spans="25:27" x14ac:dyDescent="0.25">
      <c r="Y353">
        <v>32592</v>
      </c>
      <c r="Z353" t="s">
        <v>493</v>
      </c>
      <c r="AA353" t="s">
        <v>494</v>
      </c>
    </row>
    <row r="354" spans="25:27" x14ac:dyDescent="0.25">
      <c r="Y354">
        <v>32601</v>
      </c>
      <c r="Z354" t="s">
        <v>521</v>
      </c>
      <c r="AA354" t="s">
        <v>95</v>
      </c>
    </row>
    <row r="355" spans="25:27" x14ac:dyDescent="0.25">
      <c r="Y355">
        <v>32602</v>
      </c>
      <c r="Z355" t="s">
        <v>521</v>
      </c>
      <c r="AA355" t="s">
        <v>95</v>
      </c>
    </row>
    <row r="356" spans="25:27" x14ac:dyDescent="0.25">
      <c r="Y356">
        <v>32603</v>
      </c>
      <c r="Z356" t="s">
        <v>521</v>
      </c>
      <c r="AA356" t="s">
        <v>95</v>
      </c>
    </row>
    <row r="357" spans="25:27" x14ac:dyDescent="0.25">
      <c r="Y357">
        <v>32604</v>
      </c>
      <c r="Z357" t="s">
        <v>521</v>
      </c>
      <c r="AA357" t="s">
        <v>95</v>
      </c>
    </row>
    <row r="358" spans="25:27" x14ac:dyDescent="0.25">
      <c r="Y358">
        <v>32605</v>
      </c>
      <c r="Z358" t="s">
        <v>521</v>
      </c>
      <c r="AA358" t="s">
        <v>95</v>
      </c>
    </row>
    <row r="359" spans="25:27" x14ac:dyDescent="0.25">
      <c r="Y359">
        <v>32606</v>
      </c>
      <c r="Z359" t="s">
        <v>521</v>
      </c>
      <c r="AA359" t="s">
        <v>95</v>
      </c>
    </row>
    <row r="360" spans="25:27" x14ac:dyDescent="0.25">
      <c r="Y360">
        <v>32607</v>
      </c>
      <c r="Z360" t="s">
        <v>521</v>
      </c>
      <c r="AA360" t="s">
        <v>95</v>
      </c>
    </row>
    <row r="361" spans="25:27" x14ac:dyDescent="0.25">
      <c r="Y361">
        <v>32608</v>
      </c>
      <c r="Z361" t="s">
        <v>521</v>
      </c>
      <c r="AA361" t="s">
        <v>95</v>
      </c>
    </row>
    <row r="362" spans="25:27" x14ac:dyDescent="0.25">
      <c r="Y362">
        <v>32609</v>
      </c>
      <c r="Z362" t="s">
        <v>521</v>
      </c>
      <c r="AA362" t="s">
        <v>95</v>
      </c>
    </row>
    <row r="363" spans="25:27" x14ac:dyDescent="0.25">
      <c r="Y363">
        <v>32610</v>
      </c>
      <c r="Z363" t="s">
        <v>521</v>
      </c>
      <c r="AA363" t="s">
        <v>95</v>
      </c>
    </row>
    <row r="364" spans="25:27" x14ac:dyDescent="0.25">
      <c r="Y364">
        <v>32611</v>
      </c>
      <c r="Z364" t="s">
        <v>521</v>
      </c>
      <c r="AA364" t="s">
        <v>95</v>
      </c>
    </row>
    <row r="365" spans="25:27" x14ac:dyDescent="0.25">
      <c r="Y365">
        <v>32612</v>
      </c>
      <c r="Z365" t="s">
        <v>521</v>
      </c>
      <c r="AA365" t="s">
        <v>95</v>
      </c>
    </row>
    <row r="366" spans="25:27" x14ac:dyDescent="0.25">
      <c r="Y366">
        <v>32613</v>
      </c>
      <c r="Z366" t="s">
        <v>521</v>
      </c>
      <c r="AA366" t="s">
        <v>95</v>
      </c>
    </row>
    <row r="367" spans="25:27" x14ac:dyDescent="0.25">
      <c r="Y367">
        <v>32614</v>
      </c>
      <c r="Z367" t="s">
        <v>521</v>
      </c>
      <c r="AA367" t="s">
        <v>95</v>
      </c>
    </row>
    <row r="368" spans="25:27" x14ac:dyDescent="0.25">
      <c r="Y368">
        <v>32615</v>
      </c>
      <c r="Z368" t="s">
        <v>95</v>
      </c>
      <c r="AA368" t="s">
        <v>95</v>
      </c>
    </row>
    <row r="369" spans="25:27" x14ac:dyDescent="0.25">
      <c r="Y369">
        <v>32616</v>
      </c>
      <c r="Z369" t="s">
        <v>95</v>
      </c>
      <c r="AA369" t="s">
        <v>95</v>
      </c>
    </row>
    <row r="370" spans="25:27" x14ac:dyDescent="0.25">
      <c r="Y370">
        <v>32617</v>
      </c>
      <c r="Z370" t="s">
        <v>522</v>
      </c>
      <c r="AA370" t="s">
        <v>371</v>
      </c>
    </row>
    <row r="371" spans="25:27" x14ac:dyDescent="0.25">
      <c r="Y371">
        <v>32618</v>
      </c>
      <c r="Z371" t="s">
        <v>523</v>
      </c>
      <c r="AA371" t="s">
        <v>95</v>
      </c>
    </row>
    <row r="372" spans="25:27" x14ac:dyDescent="0.25">
      <c r="Y372">
        <v>32619</v>
      </c>
      <c r="Z372" t="s">
        <v>524</v>
      </c>
      <c r="AA372" t="s">
        <v>525</v>
      </c>
    </row>
    <row r="373" spans="25:27" x14ac:dyDescent="0.25">
      <c r="Y373">
        <v>32621</v>
      </c>
      <c r="Z373" t="s">
        <v>526</v>
      </c>
      <c r="AA373" t="s">
        <v>527</v>
      </c>
    </row>
    <row r="374" spans="25:27" x14ac:dyDescent="0.25">
      <c r="Y374">
        <v>32622</v>
      </c>
      <c r="Z374" t="s">
        <v>528</v>
      </c>
      <c r="AA374" t="s">
        <v>336</v>
      </c>
    </row>
    <row r="375" spans="25:27" x14ac:dyDescent="0.25">
      <c r="Y375">
        <v>32625</v>
      </c>
      <c r="Z375" t="s">
        <v>529</v>
      </c>
      <c r="AA375" t="s">
        <v>527</v>
      </c>
    </row>
    <row r="376" spans="25:27" x14ac:dyDescent="0.25">
      <c r="Y376">
        <v>32626</v>
      </c>
      <c r="Z376" t="s">
        <v>530</v>
      </c>
      <c r="AA376" t="s">
        <v>527</v>
      </c>
    </row>
    <row r="377" spans="25:27" x14ac:dyDescent="0.25">
      <c r="Y377">
        <v>32627</v>
      </c>
      <c r="Z377" t="s">
        <v>521</v>
      </c>
      <c r="AA377" t="s">
        <v>95</v>
      </c>
    </row>
    <row r="378" spans="25:27" x14ac:dyDescent="0.25">
      <c r="Y378">
        <v>32628</v>
      </c>
      <c r="Z378" t="s">
        <v>531</v>
      </c>
      <c r="AA378" t="s">
        <v>532</v>
      </c>
    </row>
    <row r="379" spans="25:27" x14ac:dyDescent="0.25">
      <c r="Y379">
        <v>32631</v>
      </c>
      <c r="Z379" t="s">
        <v>533</v>
      </c>
      <c r="AA379" t="s">
        <v>95</v>
      </c>
    </row>
    <row r="380" spans="25:27" x14ac:dyDescent="0.25">
      <c r="Y380">
        <v>32633</v>
      </c>
      <c r="Z380" t="s">
        <v>534</v>
      </c>
      <c r="AA380" t="s">
        <v>95</v>
      </c>
    </row>
    <row r="381" spans="25:27" x14ac:dyDescent="0.25">
      <c r="Y381">
        <v>32634</v>
      </c>
      <c r="Z381" t="s">
        <v>535</v>
      </c>
      <c r="AA381" t="s">
        <v>371</v>
      </c>
    </row>
    <row r="382" spans="25:27" x14ac:dyDescent="0.25">
      <c r="Y382">
        <v>32635</v>
      </c>
      <c r="Z382" t="s">
        <v>521</v>
      </c>
      <c r="AA382" t="s">
        <v>95</v>
      </c>
    </row>
    <row r="383" spans="25:27" x14ac:dyDescent="0.25">
      <c r="Y383">
        <v>32639</v>
      </c>
      <c r="Z383" t="s">
        <v>536</v>
      </c>
      <c r="AA383" t="s">
        <v>527</v>
      </c>
    </row>
    <row r="384" spans="25:27" x14ac:dyDescent="0.25">
      <c r="Y384">
        <v>32640</v>
      </c>
      <c r="Z384" t="s">
        <v>537</v>
      </c>
      <c r="AA384" t="s">
        <v>95</v>
      </c>
    </row>
    <row r="385" spans="25:27" x14ac:dyDescent="0.25">
      <c r="Y385">
        <v>32641</v>
      </c>
      <c r="Z385" t="s">
        <v>521</v>
      </c>
      <c r="AA385" t="s">
        <v>95</v>
      </c>
    </row>
    <row r="386" spans="25:27" x14ac:dyDescent="0.25">
      <c r="Y386">
        <v>32643</v>
      </c>
      <c r="Z386" t="s">
        <v>538</v>
      </c>
      <c r="AA386" t="s">
        <v>95</v>
      </c>
    </row>
    <row r="387" spans="25:27" x14ac:dyDescent="0.25">
      <c r="Y387">
        <v>32644</v>
      </c>
      <c r="Z387" t="s">
        <v>530</v>
      </c>
      <c r="AA387" t="s">
        <v>527</v>
      </c>
    </row>
    <row r="388" spans="25:27" x14ac:dyDescent="0.25">
      <c r="Y388">
        <v>32648</v>
      </c>
      <c r="Z388" t="s">
        <v>539</v>
      </c>
      <c r="AA388" t="s">
        <v>532</v>
      </c>
    </row>
    <row r="389" spans="25:27" x14ac:dyDescent="0.25">
      <c r="Y389">
        <v>32653</v>
      </c>
      <c r="Z389" t="s">
        <v>521</v>
      </c>
      <c r="AA389" t="s">
        <v>95</v>
      </c>
    </row>
    <row r="390" spans="25:27" x14ac:dyDescent="0.25">
      <c r="Y390">
        <v>32654</v>
      </c>
      <c r="Z390" t="s">
        <v>540</v>
      </c>
      <c r="AA390" t="s">
        <v>95</v>
      </c>
    </row>
    <row r="391" spans="25:27" x14ac:dyDescent="0.25">
      <c r="Y391">
        <v>32655</v>
      </c>
      <c r="Z391" t="s">
        <v>538</v>
      </c>
      <c r="AA391" t="s">
        <v>95</v>
      </c>
    </row>
    <row r="392" spans="25:27" x14ac:dyDescent="0.25">
      <c r="Y392">
        <v>32656</v>
      </c>
      <c r="Z392" t="s">
        <v>541</v>
      </c>
      <c r="AA392" t="s">
        <v>98</v>
      </c>
    </row>
    <row r="393" spans="25:27" x14ac:dyDescent="0.25">
      <c r="Y393">
        <v>32658</v>
      </c>
      <c r="Z393" t="s">
        <v>542</v>
      </c>
      <c r="AA393" t="s">
        <v>95</v>
      </c>
    </row>
    <row r="394" spans="25:27" x14ac:dyDescent="0.25">
      <c r="Y394">
        <v>32662</v>
      </c>
      <c r="Z394" t="s">
        <v>543</v>
      </c>
      <c r="AA394" t="s">
        <v>95</v>
      </c>
    </row>
    <row r="395" spans="25:27" x14ac:dyDescent="0.25">
      <c r="Y395">
        <v>32663</v>
      </c>
      <c r="Z395" t="s">
        <v>544</v>
      </c>
      <c r="AA395" t="s">
        <v>371</v>
      </c>
    </row>
    <row r="396" spans="25:27" x14ac:dyDescent="0.25">
      <c r="Y396">
        <v>32664</v>
      </c>
      <c r="Z396" t="s">
        <v>545</v>
      </c>
      <c r="AA396" t="s">
        <v>371</v>
      </c>
    </row>
    <row r="397" spans="25:27" x14ac:dyDescent="0.25">
      <c r="Y397">
        <v>32666</v>
      </c>
      <c r="Z397" t="s">
        <v>546</v>
      </c>
      <c r="AA397" t="s">
        <v>316</v>
      </c>
    </row>
    <row r="398" spans="25:27" x14ac:dyDescent="0.25">
      <c r="Y398">
        <v>32667</v>
      </c>
      <c r="Z398" t="s">
        <v>547</v>
      </c>
      <c r="AA398" t="s">
        <v>95</v>
      </c>
    </row>
    <row r="399" spans="25:27" x14ac:dyDescent="0.25">
      <c r="Y399">
        <v>32668</v>
      </c>
      <c r="Z399" t="s">
        <v>548</v>
      </c>
      <c r="AA399" t="s">
        <v>527</v>
      </c>
    </row>
    <row r="400" spans="25:27" x14ac:dyDescent="0.25">
      <c r="Y400">
        <v>32669</v>
      </c>
      <c r="Z400" t="s">
        <v>549</v>
      </c>
      <c r="AA400" t="s">
        <v>95</v>
      </c>
    </row>
    <row r="401" spans="25:27" x14ac:dyDescent="0.25">
      <c r="Y401">
        <v>32680</v>
      </c>
      <c r="Z401" t="s">
        <v>550</v>
      </c>
      <c r="AA401" t="s">
        <v>532</v>
      </c>
    </row>
    <row r="402" spans="25:27" x14ac:dyDescent="0.25">
      <c r="Y402">
        <v>32681</v>
      </c>
      <c r="Z402" t="s">
        <v>551</v>
      </c>
      <c r="AA402" t="s">
        <v>371</v>
      </c>
    </row>
    <row r="403" spans="25:27" x14ac:dyDescent="0.25">
      <c r="Y403">
        <v>32683</v>
      </c>
      <c r="Z403" t="s">
        <v>552</v>
      </c>
      <c r="AA403" t="s">
        <v>527</v>
      </c>
    </row>
    <row r="404" spans="25:27" x14ac:dyDescent="0.25">
      <c r="Y404">
        <v>32686</v>
      </c>
      <c r="Z404" t="s">
        <v>553</v>
      </c>
      <c r="AA404" t="s">
        <v>371</v>
      </c>
    </row>
    <row r="405" spans="25:27" x14ac:dyDescent="0.25">
      <c r="Y405">
        <v>32692</v>
      </c>
      <c r="Z405" t="s">
        <v>318</v>
      </c>
      <c r="AA405" t="s">
        <v>532</v>
      </c>
    </row>
    <row r="406" spans="25:27" x14ac:dyDescent="0.25">
      <c r="Y406">
        <v>32693</v>
      </c>
      <c r="Z406" t="s">
        <v>554</v>
      </c>
      <c r="AA406" t="s">
        <v>525</v>
      </c>
    </row>
    <row r="407" spans="25:27" x14ac:dyDescent="0.25">
      <c r="Y407">
        <v>32694</v>
      </c>
      <c r="Z407" t="s">
        <v>555</v>
      </c>
      <c r="AA407" t="s">
        <v>95</v>
      </c>
    </row>
    <row r="408" spans="25:27" x14ac:dyDescent="0.25">
      <c r="Y408">
        <v>32696</v>
      </c>
      <c r="Z408" t="s">
        <v>556</v>
      </c>
      <c r="AA408" t="s">
        <v>527</v>
      </c>
    </row>
    <row r="409" spans="25:27" x14ac:dyDescent="0.25">
      <c r="Y409">
        <v>32697</v>
      </c>
      <c r="Z409" t="s">
        <v>557</v>
      </c>
      <c r="AA409" t="s">
        <v>327</v>
      </c>
    </row>
    <row r="410" spans="25:27" x14ac:dyDescent="0.25">
      <c r="Y410">
        <v>32701</v>
      </c>
      <c r="Z410" t="s">
        <v>558</v>
      </c>
      <c r="AA410" t="s">
        <v>559</v>
      </c>
    </row>
    <row r="411" spans="25:27" x14ac:dyDescent="0.25">
      <c r="Y411">
        <v>32702</v>
      </c>
      <c r="Z411" t="s">
        <v>560</v>
      </c>
      <c r="AA411" t="s">
        <v>365</v>
      </c>
    </row>
    <row r="412" spans="25:27" x14ac:dyDescent="0.25">
      <c r="Y412">
        <v>32703</v>
      </c>
      <c r="Z412" t="s">
        <v>561</v>
      </c>
      <c r="AA412" t="s">
        <v>562</v>
      </c>
    </row>
    <row r="413" spans="25:27" x14ac:dyDescent="0.25">
      <c r="Y413">
        <v>32704</v>
      </c>
      <c r="Z413" t="s">
        <v>561</v>
      </c>
      <c r="AA413" t="s">
        <v>562</v>
      </c>
    </row>
    <row r="414" spans="25:27" x14ac:dyDescent="0.25">
      <c r="Y414">
        <v>32706</v>
      </c>
      <c r="Z414" t="s">
        <v>563</v>
      </c>
      <c r="AA414" t="s">
        <v>367</v>
      </c>
    </row>
    <row r="415" spans="25:27" x14ac:dyDescent="0.25">
      <c r="Y415">
        <v>32707</v>
      </c>
      <c r="Z415" t="s">
        <v>564</v>
      </c>
      <c r="AA415" t="s">
        <v>559</v>
      </c>
    </row>
    <row r="416" spans="25:27" x14ac:dyDescent="0.25">
      <c r="Y416">
        <v>32708</v>
      </c>
      <c r="Z416" t="s">
        <v>565</v>
      </c>
      <c r="AA416" t="s">
        <v>559</v>
      </c>
    </row>
    <row r="417" spans="25:27" x14ac:dyDescent="0.25">
      <c r="Y417">
        <v>32709</v>
      </c>
      <c r="Z417" t="s">
        <v>566</v>
      </c>
      <c r="AA417" t="s">
        <v>562</v>
      </c>
    </row>
    <row r="418" spans="25:27" x14ac:dyDescent="0.25">
      <c r="Y418">
        <v>32710</v>
      </c>
      <c r="Z418" t="s">
        <v>567</v>
      </c>
      <c r="AA418" t="s">
        <v>562</v>
      </c>
    </row>
    <row r="419" spans="25:27" x14ac:dyDescent="0.25">
      <c r="Y419">
        <v>32712</v>
      </c>
      <c r="Z419" t="s">
        <v>561</v>
      </c>
      <c r="AA419" t="s">
        <v>562</v>
      </c>
    </row>
    <row r="420" spans="25:27" x14ac:dyDescent="0.25">
      <c r="Y420">
        <v>32713</v>
      </c>
      <c r="Z420" t="s">
        <v>568</v>
      </c>
      <c r="AA420" t="s">
        <v>367</v>
      </c>
    </row>
    <row r="421" spans="25:27" x14ac:dyDescent="0.25">
      <c r="Y421">
        <v>32714</v>
      </c>
      <c r="Z421" t="s">
        <v>558</v>
      </c>
      <c r="AA421" t="s">
        <v>559</v>
      </c>
    </row>
    <row r="422" spans="25:27" x14ac:dyDescent="0.25">
      <c r="Y422">
        <v>32715</v>
      </c>
      <c r="Z422" t="s">
        <v>558</v>
      </c>
      <c r="AA422" t="s">
        <v>559</v>
      </c>
    </row>
    <row r="423" spans="25:27" x14ac:dyDescent="0.25">
      <c r="Y423">
        <v>32716</v>
      </c>
      <c r="Z423" t="s">
        <v>558</v>
      </c>
      <c r="AA423" t="s">
        <v>559</v>
      </c>
    </row>
    <row r="424" spans="25:27" x14ac:dyDescent="0.25">
      <c r="Y424">
        <v>32718</v>
      </c>
      <c r="Z424" t="s">
        <v>564</v>
      </c>
      <c r="AA424" t="s">
        <v>559</v>
      </c>
    </row>
    <row r="425" spans="25:27" x14ac:dyDescent="0.25">
      <c r="Y425">
        <v>32719</v>
      </c>
      <c r="Z425" t="s">
        <v>565</v>
      </c>
      <c r="AA425" t="s">
        <v>559</v>
      </c>
    </row>
    <row r="426" spans="25:27" x14ac:dyDescent="0.25">
      <c r="Y426">
        <v>32720</v>
      </c>
      <c r="Z426" t="s">
        <v>569</v>
      </c>
      <c r="AA426" t="s">
        <v>367</v>
      </c>
    </row>
    <row r="427" spans="25:27" x14ac:dyDescent="0.25">
      <c r="Y427">
        <v>32721</v>
      </c>
      <c r="Z427" t="s">
        <v>569</v>
      </c>
      <c r="AA427" t="s">
        <v>367</v>
      </c>
    </row>
    <row r="428" spans="25:27" x14ac:dyDescent="0.25">
      <c r="Y428">
        <v>32722</v>
      </c>
      <c r="Z428" t="s">
        <v>570</v>
      </c>
      <c r="AA428" t="s">
        <v>367</v>
      </c>
    </row>
    <row r="429" spans="25:27" x14ac:dyDescent="0.25">
      <c r="Y429">
        <v>32723</v>
      </c>
      <c r="Z429" t="s">
        <v>569</v>
      </c>
      <c r="AA429" t="s">
        <v>367</v>
      </c>
    </row>
    <row r="430" spans="25:27" x14ac:dyDescent="0.25">
      <c r="Y430">
        <v>32724</v>
      </c>
      <c r="Z430" t="s">
        <v>569</v>
      </c>
      <c r="AA430" t="s">
        <v>367</v>
      </c>
    </row>
    <row r="431" spans="25:27" x14ac:dyDescent="0.25">
      <c r="Y431">
        <v>32725</v>
      </c>
      <c r="Z431" t="s">
        <v>571</v>
      </c>
      <c r="AA431" t="s">
        <v>367</v>
      </c>
    </row>
    <row r="432" spans="25:27" x14ac:dyDescent="0.25">
      <c r="Y432">
        <v>32726</v>
      </c>
      <c r="Z432" t="s">
        <v>572</v>
      </c>
      <c r="AA432" t="s">
        <v>365</v>
      </c>
    </row>
    <row r="433" spans="25:27" x14ac:dyDescent="0.25">
      <c r="Y433">
        <v>32727</v>
      </c>
      <c r="Z433" t="s">
        <v>572</v>
      </c>
      <c r="AA433" t="s">
        <v>365</v>
      </c>
    </row>
    <row r="434" spans="25:27" x14ac:dyDescent="0.25">
      <c r="Y434">
        <v>32728</v>
      </c>
      <c r="Z434" t="s">
        <v>571</v>
      </c>
      <c r="AA434" t="s">
        <v>367</v>
      </c>
    </row>
    <row r="435" spans="25:27" x14ac:dyDescent="0.25">
      <c r="Y435">
        <v>32730</v>
      </c>
      <c r="Z435" t="s">
        <v>564</v>
      </c>
      <c r="AA435" t="s">
        <v>559</v>
      </c>
    </row>
    <row r="436" spans="25:27" x14ac:dyDescent="0.25">
      <c r="Y436">
        <v>32732</v>
      </c>
      <c r="Z436" t="s">
        <v>573</v>
      </c>
      <c r="AA436" t="s">
        <v>559</v>
      </c>
    </row>
    <row r="437" spans="25:27" x14ac:dyDescent="0.25">
      <c r="Y437">
        <v>32733</v>
      </c>
      <c r="Z437" t="s">
        <v>574</v>
      </c>
      <c r="AA437" t="s">
        <v>559</v>
      </c>
    </row>
    <row r="438" spans="25:27" x14ac:dyDescent="0.25">
      <c r="Y438">
        <v>32735</v>
      </c>
      <c r="Z438" t="s">
        <v>575</v>
      </c>
      <c r="AA438" t="s">
        <v>365</v>
      </c>
    </row>
    <row r="439" spans="25:27" x14ac:dyDescent="0.25">
      <c r="Y439">
        <v>32736</v>
      </c>
      <c r="Z439" t="s">
        <v>572</v>
      </c>
      <c r="AA439" t="s">
        <v>365</v>
      </c>
    </row>
    <row r="440" spans="25:27" x14ac:dyDescent="0.25">
      <c r="Y440">
        <v>32738</v>
      </c>
      <c r="Z440" t="s">
        <v>571</v>
      </c>
      <c r="AA440" t="s">
        <v>367</v>
      </c>
    </row>
    <row r="441" spans="25:27" x14ac:dyDescent="0.25">
      <c r="Y441">
        <v>32739</v>
      </c>
      <c r="Z441" t="s">
        <v>571</v>
      </c>
      <c r="AA441" t="s">
        <v>367</v>
      </c>
    </row>
    <row r="442" spans="25:27" x14ac:dyDescent="0.25">
      <c r="Y442">
        <v>32744</v>
      </c>
      <c r="Z442" t="s">
        <v>576</v>
      </c>
      <c r="AA442" t="s">
        <v>367</v>
      </c>
    </row>
    <row r="443" spans="25:27" x14ac:dyDescent="0.25">
      <c r="Y443">
        <v>32745</v>
      </c>
      <c r="Z443" t="s">
        <v>577</v>
      </c>
      <c r="AA443" t="s">
        <v>559</v>
      </c>
    </row>
    <row r="444" spans="25:27" x14ac:dyDescent="0.25">
      <c r="Y444">
        <v>32746</v>
      </c>
      <c r="Z444" t="s">
        <v>578</v>
      </c>
      <c r="AA444" t="s">
        <v>559</v>
      </c>
    </row>
    <row r="445" spans="25:27" x14ac:dyDescent="0.25">
      <c r="Y445">
        <v>32747</v>
      </c>
      <c r="Z445" t="s">
        <v>579</v>
      </c>
      <c r="AA445" t="s">
        <v>559</v>
      </c>
    </row>
    <row r="446" spans="25:27" x14ac:dyDescent="0.25">
      <c r="Y446">
        <v>32750</v>
      </c>
      <c r="Z446" t="s">
        <v>580</v>
      </c>
      <c r="AA446" t="s">
        <v>559</v>
      </c>
    </row>
    <row r="447" spans="25:27" x14ac:dyDescent="0.25">
      <c r="Y447">
        <v>32751</v>
      </c>
      <c r="Z447" t="s">
        <v>581</v>
      </c>
      <c r="AA447" t="s">
        <v>562</v>
      </c>
    </row>
    <row r="448" spans="25:27" x14ac:dyDescent="0.25">
      <c r="Y448">
        <v>32752</v>
      </c>
      <c r="Z448" t="s">
        <v>580</v>
      </c>
      <c r="AA448" t="s">
        <v>559</v>
      </c>
    </row>
    <row r="449" spans="25:27" x14ac:dyDescent="0.25">
      <c r="Y449">
        <v>32753</v>
      </c>
      <c r="Z449" t="s">
        <v>568</v>
      </c>
      <c r="AA449" t="s">
        <v>367</v>
      </c>
    </row>
    <row r="450" spans="25:27" x14ac:dyDescent="0.25">
      <c r="Y450">
        <v>32754</v>
      </c>
      <c r="Z450" t="s">
        <v>582</v>
      </c>
      <c r="AA450" t="s">
        <v>583</v>
      </c>
    </row>
    <row r="451" spans="25:27" x14ac:dyDescent="0.25">
      <c r="Y451">
        <v>32756</v>
      </c>
      <c r="Z451" t="s">
        <v>584</v>
      </c>
      <c r="AA451" t="s">
        <v>365</v>
      </c>
    </row>
    <row r="452" spans="25:27" x14ac:dyDescent="0.25">
      <c r="Y452">
        <v>32757</v>
      </c>
      <c r="Z452" t="s">
        <v>584</v>
      </c>
      <c r="AA452" t="s">
        <v>365</v>
      </c>
    </row>
    <row r="453" spans="25:27" x14ac:dyDescent="0.25">
      <c r="Y453">
        <v>32759</v>
      </c>
      <c r="Z453" t="s">
        <v>585</v>
      </c>
      <c r="AA453" t="s">
        <v>367</v>
      </c>
    </row>
    <row r="454" spans="25:27" x14ac:dyDescent="0.25">
      <c r="Y454">
        <v>32762</v>
      </c>
      <c r="Z454" t="s">
        <v>586</v>
      </c>
      <c r="AA454" t="s">
        <v>559</v>
      </c>
    </row>
    <row r="455" spans="25:27" x14ac:dyDescent="0.25">
      <c r="Y455">
        <v>32763</v>
      </c>
      <c r="Z455" t="s">
        <v>587</v>
      </c>
      <c r="AA455" t="s">
        <v>367</v>
      </c>
    </row>
    <row r="456" spans="25:27" x14ac:dyDescent="0.25">
      <c r="Y456">
        <v>32764</v>
      </c>
      <c r="Z456" t="s">
        <v>588</v>
      </c>
      <c r="AA456" t="s">
        <v>367</v>
      </c>
    </row>
    <row r="457" spans="25:27" x14ac:dyDescent="0.25">
      <c r="Y457">
        <v>32765</v>
      </c>
      <c r="Z457" t="s">
        <v>586</v>
      </c>
      <c r="AA457" t="s">
        <v>559</v>
      </c>
    </row>
    <row r="458" spans="25:27" x14ac:dyDescent="0.25">
      <c r="Y458">
        <v>32766</v>
      </c>
      <c r="Z458" t="s">
        <v>586</v>
      </c>
      <c r="AA458" t="s">
        <v>559</v>
      </c>
    </row>
    <row r="459" spans="25:27" x14ac:dyDescent="0.25">
      <c r="Y459">
        <v>32767</v>
      </c>
      <c r="Z459" t="s">
        <v>589</v>
      </c>
      <c r="AA459" t="s">
        <v>365</v>
      </c>
    </row>
    <row r="460" spans="25:27" x14ac:dyDescent="0.25">
      <c r="Y460">
        <v>32768</v>
      </c>
      <c r="Z460" t="s">
        <v>590</v>
      </c>
      <c r="AA460" t="s">
        <v>562</v>
      </c>
    </row>
    <row r="461" spans="25:27" x14ac:dyDescent="0.25">
      <c r="Y461">
        <v>32771</v>
      </c>
      <c r="Z461" t="s">
        <v>591</v>
      </c>
      <c r="AA461" t="s">
        <v>559</v>
      </c>
    </row>
    <row r="462" spans="25:27" x14ac:dyDescent="0.25">
      <c r="Y462">
        <v>32772</v>
      </c>
      <c r="Z462" t="s">
        <v>591</v>
      </c>
      <c r="AA462" t="s">
        <v>559</v>
      </c>
    </row>
    <row r="463" spans="25:27" x14ac:dyDescent="0.25">
      <c r="Y463">
        <v>32773</v>
      </c>
      <c r="Z463" t="s">
        <v>591</v>
      </c>
      <c r="AA463" t="s">
        <v>559</v>
      </c>
    </row>
    <row r="464" spans="25:27" x14ac:dyDescent="0.25">
      <c r="Y464">
        <v>32774</v>
      </c>
      <c r="Z464" t="s">
        <v>587</v>
      </c>
      <c r="AA464" t="s">
        <v>367</v>
      </c>
    </row>
    <row r="465" spans="25:27" x14ac:dyDescent="0.25">
      <c r="Y465">
        <v>32775</v>
      </c>
      <c r="Z465" t="s">
        <v>592</v>
      </c>
      <c r="AA465" t="s">
        <v>583</v>
      </c>
    </row>
    <row r="466" spans="25:27" x14ac:dyDescent="0.25">
      <c r="Y466">
        <v>32776</v>
      </c>
      <c r="Z466" t="s">
        <v>593</v>
      </c>
      <c r="AA466" t="s">
        <v>365</v>
      </c>
    </row>
    <row r="467" spans="25:27" x14ac:dyDescent="0.25">
      <c r="Y467">
        <v>32777</v>
      </c>
      <c r="Z467" t="s">
        <v>594</v>
      </c>
      <c r="AA467" t="s">
        <v>562</v>
      </c>
    </row>
    <row r="468" spans="25:27" x14ac:dyDescent="0.25">
      <c r="Y468">
        <v>32778</v>
      </c>
      <c r="Z468" t="s">
        <v>595</v>
      </c>
      <c r="AA468" t="s">
        <v>365</v>
      </c>
    </row>
    <row r="469" spans="25:27" x14ac:dyDescent="0.25">
      <c r="Y469">
        <v>32779</v>
      </c>
      <c r="Z469" t="s">
        <v>580</v>
      </c>
      <c r="AA469" t="s">
        <v>559</v>
      </c>
    </row>
    <row r="470" spans="25:27" x14ac:dyDescent="0.25">
      <c r="Y470">
        <v>32780</v>
      </c>
      <c r="Z470" t="s">
        <v>596</v>
      </c>
      <c r="AA470" t="s">
        <v>583</v>
      </c>
    </row>
    <row r="471" spans="25:27" x14ac:dyDescent="0.25">
      <c r="Y471">
        <v>32781</v>
      </c>
      <c r="Z471" t="s">
        <v>596</v>
      </c>
      <c r="AA471" t="s">
        <v>583</v>
      </c>
    </row>
    <row r="472" spans="25:27" x14ac:dyDescent="0.25">
      <c r="Y472">
        <v>32782</v>
      </c>
      <c r="Z472" t="s">
        <v>596</v>
      </c>
      <c r="AA472" t="s">
        <v>583</v>
      </c>
    </row>
    <row r="473" spans="25:27" x14ac:dyDescent="0.25">
      <c r="Y473">
        <v>32783</v>
      </c>
      <c r="Z473" t="s">
        <v>596</v>
      </c>
      <c r="AA473" t="s">
        <v>583</v>
      </c>
    </row>
    <row r="474" spans="25:27" x14ac:dyDescent="0.25">
      <c r="Y474">
        <v>32784</v>
      </c>
      <c r="Z474" t="s">
        <v>597</v>
      </c>
      <c r="AA474" t="s">
        <v>365</v>
      </c>
    </row>
    <row r="475" spans="25:27" x14ac:dyDescent="0.25">
      <c r="Y475">
        <v>32789</v>
      </c>
      <c r="Z475" t="s">
        <v>598</v>
      </c>
      <c r="AA475" t="s">
        <v>562</v>
      </c>
    </row>
    <row r="476" spans="25:27" x14ac:dyDescent="0.25">
      <c r="Y476">
        <v>32790</v>
      </c>
      <c r="Z476" t="s">
        <v>598</v>
      </c>
      <c r="AA476" t="s">
        <v>562</v>
      </c>
    </row>
    <row r="477" spans="25:27" x14ac:dyDescent="0.25">
      <c r="Y477">
        <v>32791</v>
      </c>
      <c r="Z477" t="s">
        <v>580</v>
      </c>
      <c r="AA477" t="s">
        <v>559</v>
      </c>
    </row>
    <row r="478" spans="25:27" x14ac:dyDescent="0.25">
      <c r="Y478">
        <v>32792</v>
      </c>
      <c r="Z478" t="s">
        <v>598</v>
      </c>
      <c r="AA478" t="s">
        <v>562</v>
      </c>
    </row>
    <row r="479" spans="25:27" x14ac:dyDescent="0.25">
      <c r="Y479">
        <v>32793</v>
      </c>
      <c r="Z479" t="s">
        <v>598</v>
      </c>
      <c r="AA479" t="s">
        <v>562</v>
      </c>
    </row>
    <row r="480" spans="25:27" x14ac:dyDescent="0.25">
      <c r="Y480">
        <v>32794</v>
      </c>
      <c r="Z480" t="s">
        <v>581</v>
      </c>
      <c r="AA480" t="s">
        <v>562</v>
      </c>
    </row>
    <row r="481" spans="25:27" x14ac:dyDescent="0.25">
      <c r="Y481">
        <v>32795</v>
      </c>
      <c r="Z481" t="s">
        <v>578</v>
      </c>
      <c r="AA481" t="s">
        <v>559</v>
      </c>
    </row>
    <row r="482" spans="25:27" x14ac:dyDescent="0.25">
      <c r="Y482">
        <v>32796</v>
      </c>
      <c r="Z482" t="s">
        <v>596</v>
      </c>
      <c r="AA482" t="s">
        <v>583</v>
      </c>
    </row>
    <row r="483" spans="25:27" x14ac:dyDescent="0.25">
      <c r="Y483">
        <v>32798</v>
      </c>
      <c r="Z483" t="s">
        <v>599</v>
      </c>
      <c r="AA483" t="s">
        <v>562</v>
      </c>
    </row>
    <row r="484" spans="25:27" x14ac:dyDescent="0.25">
      <c r="Y484">
        <v>32799</v>
      </c>
      <c r="Z484" t="s">
        <v>577</v>
      </c>
      <c r="AA484" t="s">
        <v>559</v>
      </c>
    </row>
    <row r="485" spans="25:27" x14ac:dyDescent="0.25">
      <c r="Y485">
        <v>32801</v>
      </c>
      <c r="Z485" t="s">
        <v>600</v>
      </c>
      <c r="AA485" t="s">
        <v>562</v>
      </c>
    </row>
    <row r="486" spans="25:27" x14ac:dyDescent="0.25">
      <c r="Y486">
        <v>32802</v>
      </c>
      <c r="Z486" t="s">
        <v>600</v>
      </c>
      <c r="AA486" t="s">
        <v>562</v>
      </c>
    </row>
    <row r="487" spans="25:27" x14ac:dyDescent="0.25">
      <c r="Y487">
        <v>32803</v>
      </c>
      <c r="Z487" t="s">
        <v>600</v>
      </c>
      <c r="AA487" t="s">
        <v>562</v>
      </c>
    </row>
    <row r="488" spans="25:27" x14ac:dyDescent="0.25">
      <c r="Y488">
        <v>32804</v>
      </c>
      <c r="Z488" t="s">
        <v>600</v>
      </c>
      <c r="AA488" t="s">
        <v>562</v>
      </c>
    </row>
    <row r="489" spans="25:27" x14ac:dyDescent="0.25">
      <c r="Y489">
        <v>32805</v>
      </c>
      <c r="Z489" t="s">
        <v>600</v>
      </c>
      <c r="AA489" t="s">
        <v>562</v>
      </c>
    </row>
    <row r="490" spans="25:27" x14ac:dyDescent="0.25">
      <c r="Y490">
        <v>32806</v>
      </c>
      <c r="Z490" t="s">
        <v>600</v>
      </c>
      <c r="AA490" t="s">
        <v>562</v>
      </c>
    </row>
    <row r="491" spans="25:27" x14ac:dyDescent="0.25">
      <c r="Y491">
        <v>32807</v>
      </c>
      <c r="Z491" t="s">
        <v>600</v>
      </c>
      <c r="AA491" t="s">
        <v>562</v>
      </c>
    </row>
    <row r="492" spans="25:27" x14ac:dyDescent="0.25">
      <c r="Y492">
        <v>32808</v>
      </c>
      <c r="Z492" t="s">
        <v>600</v>
      </c>
      <c r="AA492" t="s">
        <v>562</v>
      </c>
    </row>
    <row r="493" spans="25:27" x14ac:dyDescent="0.25">
      <c r="Y493">
        <v>32809</v>
      </c>
      <c r="Z493" t="s">
        <v>600</v>
      </c>
      <c r="AA493" t="s">
        <v>562</v>
      </c>
    </row>
    <row r="494" spans="25:27" x14ac:dyDescent="0.25">
      <c r="Y494">
        <v>32810</v>
      </c>
      <c r="Z494" t="s">
        <v>600</v>
      </c>
      <c r="AA494" t="s">
        <v>562</v>
      </c>
    </row>
    <row r="495" spans="25:27" x14ac:dyDescent="0.25">
      <c r="Y495">
        <v>32811</v>
      </c>
      <c r="Z495" t="s">
        <v>600</v>
      </c>
      <c r="AA495" t="s">
        <v>562</v>
      </c>
    </row>
    <row r="496" spans="25:27" x14ac:dyDescent="0.25">
      <c r="Y496">
        <v>32812</v>
      </c>
      <c r="Z496" t="s">
        <v>600</v>
      </c>
      <c r="AA496" t="s">
        <v>562</v>
      </c>
    </row>
    <row r="497" spans="25:27" x14ac:dyDescent="0.25">
      <c r="Y497">
        <v>32814</v>
      </c>
      <c r="Z497" t="s">
        <v>600</v>
      </c>
      <c r="AA497" t="s">
        <v>562</v>
      </c>
    </row>
    <row r="498" spans="25:27" x14ac:dyDescent="0.25">
      <c r="Y498">
        <v>32815</v>
      </c>
      <c r="Z498" t="s">
        <v>600</v>
      </c>
      <c r="AA498" t="s">
        <v>583</v>
      </c>
    </row>
    <row r="499" spans="25:27" x14ac:dyDescent="0.25">
      <c r="Y499">
        <v>32816</v>
      </c>
      <c r="Z499" t="s">
        <v>600</v>
      </c>
      <c r="AA499" t="s">
        <v>562</v>
      </c>
    </row>
    <row r="500" spans="25:27" x14ac:dyDescent="0.25">
      <c r="Y500">
        <v>32817</v>
      </c>
      <c r="Z500" t="s">
        <v>600</v>
      </c>
      <c r="AA500" t="s">
        <v>562</v>
      </c>
    </row>
    <row r="501" spans="25:27" x14ac:dyDescent="0.25">
      <c r="Y501">
        <v>32818</v>
      </c>
      <c r="Z501" t="s">
        <v>600</v>
      </c>
      <c r="AA501" t="s">
        <v>562</v>
      </c>
    </row>
    <row r="502" spans="25:27" x14ac:dyDescent="0.25">
      <c r="Y502">
        <v>32819</v>
      </c>
      <c r="Z502" t="s">
        <v>600</v>
      </c>
      <c r="AA502" t="s">
        <v>562</v>
      </c>
    </row>
    <row r="503" spans="25:27" x14ac:dyDescent="0.25">
      <c r="Y503">
        <v>32820</v>
      </c>
      <c r="Z503" t="s">
        <v>600</v>
      </c>
      <c r="AA503" t="s">
        <v>562</v>
      </c>
    </row>
    <row r="504" spans="25:27" x14ac:dyDescent="0.25">
      <c r="Y504">
        <v>32821</v>
      </c>
      <c r="Z504" t="s">
        <v>600</v>
      </c>
      <c r="AA504" t="s">
        <v>562</v>
      </c>
    </row>
    <row r="505" spans="25:27" x14ac:dyDescent="0.25">
      <c r="Y505">
        <v>32822</v>
      </c>
      <c r="Z505" t="s">
        <v>600</v>
      </c>
      <c r="AA505" t="s">
        <v>562</v>
      </c>
    </row>
    <row r="506" spans="25:27" x14ac:dyDescent="0.25">
      <c r="Y506">
        <v>32824</v>
      </c>
      <c r="Z506" t="s">
        <v>600</v>
      </c>
      <c r="AA506" t="s">
        <v>562</v>
      </c>
    </row>
    <row r="507" spans="25:27" x14ac:dyDescent="0.25">
      <c r="Y507">
        <v>32825</v>
      </c>
      <c r="Z507" t="s">
        <v>600</v>
      </c>
      <c r="AA507" t="s">
        <v>562</v>
      </c>
    </row>
    <row r="508" spans="25:27" x14ac:dyDescent="0.25">
      <c r="Y508">
        <v>32826</v>
      </c>
      <c r="Z508" t="s">
        <v>600</v>
      </c>
      <c r="AA508" t="s">
        <v>562</v>
      </c>
    </row>
    <row r="509" spans="25:27" x14ac:dyDescent="0.25">
      <c r="Y509">
        <v>32827</v>
      </c>
      <c r="Z509" t="s">
        <v>600</v>
      </c>
      <c r="AA509" t="s">
        <v>562</v>
      </c>
    </row>
    <row r="510" spans="25:27" x14ac:dyDescent="0.25">
      <c r="Y510">
        <v>32828</v>
      </c>
      <c r="Z510" t="s">
        <v>600</v>
      </c>
      <c r="AA510" t="s">
        <v>562</v>
      </c>
    </row>
    <row r="511" spans="25:27" x14ac:dyDescent="0.25">
      <c r="Y511">
        <v>32829</v>
      </c>
      <c r="Z511" t="s">
        <v>600</v>
      </c>
      <c r="AA511" t="s">
        <v>562</v>
      </c>
    </row>
    <row r="512" spans="25:27" x14ac:dyDescent="0.25">
      <c r="Y512">
        <v>32830</v>
      </c>
      <c r="Z512" t="s">
        <v>600</v>
      </c>
      <c r="AA512" t="s">
        <v>562</v>
      </c>
    </row>
    <row r="513" spans="25:27" x14ac:dyDescent="0.25">
      <c r="Y513">
        <v>32831</v>
      </c>
      <c r="Z513" t="s">
        <v>600</v>
      </c>
      <c r="AA513" t="s">
        <v>562</v>
      </c>
    </row>
    <row r="514" spans="25:27" x14ac:dyDescent="0.25">
      <c r="Y514">
        <v>32832</v>
      </c>
      <c r="Z514" t="s">
        <v>600</v>
      </c>
      <c r="AA514" t="s">
        <v>562</v>
      </c>
    </row>
    <row r="515" spans="25:27" x14ac:dyDescent="0.25">
      <c r="Y515">
        <v>32833</v>
      </c>
      <c r="Z515" t="s">
        <v>600</v>
      </c>
      <c r="AA515" t="s">
        <v>562</v>
      </c>
    </row>
    <row r="516" spans="25:27" x14ac:dyDescent="0.25">
      <c r="Y516">
        <v>32834</v>
      </c>
      <c r="Z516" t="s">
        <v>600</v>
      </c>
      <c r="AA516" t="s">
        <v>562</v>
      </c>
    </row>
    <row r="517" spans="25:27" x14ac:dyDescent="0.25">
      <c r="Y517">
        <v>32835</v>
      </c>
      <c r="Z517" t="s">
        <v>600</v>
      </c>
      <c r="AA517" t="s">
        <v>562</v>
      </c>
    </row>
    <row r="518" spans="25:27" x14ac:dyDescent="0.25">
      <c r="Y518">
        <v>32836</v>
      </c>
      <c r="Z518" t="s">
        <v>600</v>
      </c>
      <c r="AA518" t="s">
        <v>562</v>
      </c>
    </row>
    <row r="519" spans="25:27" x14ac:dyDescent="0.25">
      <c r="Y519">
        <v>32837</v>
      </c>
      <c r="Z519" t="s">
        <v>600</v>
      </c>
      <c r="AA519" t="s">
        <v>562</v>
      </c>
    </row>
    <row r="520" spans="25:27" x14ac:dyDescent="0.25">
      <c r="Y520">
        <v>32839</v>
      </c>
      <c r="Z520" t="s">
        <v>600</v>
      </c>
      <c r="AA520" t="s">
        <v>562</v>
      </c>
    </row>
    <row r="521" spans="25:27" x14ac:dyDescent="0.25">
      <c r="Y521">
        <v>32853</v>
      </c>
      <c r="Z521" t="s">
        <v>600</v>
      </c>
      <c r="AA521" t="s">
        <v>562</v>
      </c>
    </row>
    <row r="522" spans="25:27" x14ac:dyDescent="0.25">
      <c r="Y522">
        <v>32854</v>
      </c>
      <c r="Z522" t="s">
        <v>600</v>
      </c>
      <c r="AA522" t="s">
        <v>562</v>
      </c>
    </row>
    <row r="523" spans="25:27" x14ac:dyDescent="0.25">
      <c r="Y523">
        <v>32855</v>
      </c>
      <c r="Z523" t="s">
        <v>600</v>
      </c>
      <c r="AA523" t="s">
        <v>562</v>
      </c>
    </row>
    <row r="524" spans="25:27" x14ac:dyDescent="0.25">
      <c r="Y524">
        <v>32856</v>
      </c>
      <c r="Z524" t="s">
        <v>600</v>
      </c>
      <c r="AA524" t="s">
        <v>562</v>
      </c>
    </row>
    <row r="525" spans="25:27" x14ac:dyDescent="0.25">
      <c r="Y525">
        <v>32857</v>
      </c>
      <c r="Z525" t="s">
        <v>600</v>
      </c>
      <c r="AA525" t="s">
        <v>562</v>
      </c>
    </row>
    <row r="526" spans="25:27" x14ac:dyDescent="0.25">
      <c r="Y526">
        <v>32858</v>
      </c>
      <c r="Z526" t="s">
        <v>600</v>
      </c>
      <c r="AA526" t="s">
        <v>562</v>
      </c>
    </row>
    <row r="527" spans="25:27" x14ac:dyDescent="0.25">
      <c r="Y527">
        <v>32859</v>
      </c>
      <c r="Z527" t="s">
        <v>600</v>
      </c>
      <c r="AA527" t="s">
        <v>562</v>
      </c>
    </row>
    <row r="528" spans="25:27" x14ac:dyDescent="0.25">
      <c r="Y528">
        <v>32860</v>
      </c>
      <c r="Z528" t="s">
        <v>600</v>
      </c>
      <c r="AA528" t="s">
        <v>562</v>
      </c>
    </row>
    <row r="529" spans="25:27" x14ac:dyDescent="0.25">
      <c r="Y529">
        <v>32861</v>
      </c>
      <c r="Z529" t="s">
        <v>600</v>
      </c>
      <c r="AA529" t="s">
        <v>562</v>
      </c>
    </row>
    <row r="530" spans="25:27" x14ac:dyDescent="0.25">
      <c r="Y530">
        <v>32862</v>
      </c>
      <c r="Z530" t="s">
        <v>600</v>
      </c>
      <c r="AA530" t="s">
        <v>562</v>
      </c>
    </row>
    <row r="531" spans="25:27" x14ac:dyDescent="0.25">
      <c r="Y531">
        <v>32867</v>
      </c>
      <c r="Z531" t="s">
        <v>600</v>
      </c>
      <c r="AA531" t="s">
        <v>562</v>
      </c>
    </row>
    <row r="532" spans="25:27" x14ac:dyDescent="0.25">
      <c r="Y532">
        <v>32868</v>
      </c>
      <c r="Z532" t="s">
        <v>600</v>
      </c>
      <c r="AA532" t="s">
        <v>562</v>
      </c>
    </row>
    <row r="533" spans="25:27" x14ac:dyDescent="0.25">
      <c r="Y533">
        <v>32869</v>
      </c>
      <c r="Z533" t="s">
        <v>600</v>
      </c>
      <c r="AA533" t="s">
        <v>562</v>
      </c>
    </row>
    <row r="534" spans="25:27" x14ac:dyDescent="0.25">
      <c r="Y534">
        <v>32872</v>
      </c>
      <c r="Z534" t="s">
        <v>600</v>
      </c>
      <c r="AA534" t="s">
        <v>562</v>
      </c>
    </row>
    <row r="535" spans="25:27" x14ac:dyDescent="0.25">
      <c r="Y535">
        <v>32877</v>
      </c>
      <c r="Z535" t="s">
        <v>600</v>
      </c>
      <c r="AA535" t="s">
        <v>562</v>
      </c>
    </row>
    <row r="536" spans="25:27" x14ac:dyDescent="0.25">
      <c r="Y536">
        <v>32878</v>
      </c>
      <c r="Z536" t="s">
        <v>600</v>
      </c>
      <c r="AA536" t="s">
        <v>562</v>
      </c>
    </row>
    <row r="537" spans="25:27" x14ac:dyDescent="0.25">
      <c r="Y537">
        <v>32885</v>
      </c>
      <c r="Z537" t="s">
        <v>600</v>
      </c>
      <c r="AA537" t="s">
        <v>562</v>
      </c>
    </row>
    <row r="538" spans="25:27" x14ac:dyDescent="0.25">
      <c r="Y538">
        <v>32886</v>
      </c>
      <c r="Z538" t="s">
        <v>600</v>
      </c>
      <c r="AA538" t="s">
        <v>562</v>
      </c>
    </row>
    <row r="539" spans="25:27" x14ac:dyDescent="0.25">
      <c r="Y539">
        <v>32887</v>
      </c>
      <c r="Z539" t="s">
        <v>600</v>
      </c>
      <c r="AA539" t="s">
        <v>562</v>
      </c>
    </row>
    <row r="540" spans="25:27" x14ac:dyDescent="0.25">
      <c r="Y540">
        <v>32890</v>
      </c>
      <c r="Z540" t="s">
        <v>600</v>
      </c>
      <c r="AA540" t="s">
        <v>562</v>
      </c>
    </row>
    <row r="541" spans="25:27" x14ac:dyDescent="0.25">
      <c r="Y541">
        <v>32891</v>
      </c>
      <c r="Z541" t="s">
        <v>600</v>
      </c>
      <c r="AA541" t="s">
        <v>562</v>
      </c>
    </row>
    <row r="542" spans="25:27" x14ac:dyDescent="0.25">
      <c r="Y542">
        <v>32893</v>
      </c>
      <c r="Z542" t="s">
        <v>600</v>
      </c>
      <c r="AA542" t="s">
        <v>562</v>
      </c>
    </row>
    <row r="543" spans="25:27" x14ac:dyDescent="0.25">
      <c r="Y543">
        <v>32896</v>
      </c>
      <c r="Z543" t="s">
        <v>600</v>
      </c>
      <c r="AA543" t="s">
        <v>562</v>
      </c>
    </row>
    <row r="544" spans="25:27" x14ac:dyDescent="0.25">
      <c r="Y544">
        <v>32897</v>
      </c>
      <c r="Z544" t="s">
        <v>600</v>
      </c>
      <c r="AA544" t="s">
        <v>562</v>
      </c>
    </row>
    <row r="545" spans="25:27" x14ac:dyDescent="0.25">
      <c r="Y545">
        <v>32898</v>
      </c>
      <c r="Z545" t="s">
        <v>600</v>
      </c>
      <c r="AA545" t="s">
        <v>562</v>
      </c>
    </row>
    <row r="546" spans="25:27" x14ac:dyDescent="0.25">
      <c r="Y546">
        <v>32899</v>
      </c>
      <c r="Z546" t="s">
        <v>600</v>
      </c>
      <c r="AA546" t="s">
        <v>583</v>
      </c>
    </row>
    <row r="547" spans="25:27" x14ac:dyDescent="0.25">
      <c r="Y547">
        <v>32901</v>
      </c>
      <c r="Z547" t="s">
        <v>601</v>
      </c>
      <c r="AA547" t="s">
        <v>583</v>
      </c>
    </row>
    <row r="548" spans="25:27" x14ac:dyDescent="0.25">
      <c r="Y548">
        <v>32902</v>
      </c>
      <c r="Z548" t="s">
        <v>601</v>
      </c>
      <c r="AA548" t="s">
        <v>583</v>
      </c>
    </row>
    <row r="549" spans="25:27" x14ac:dyDescent="0.25">
      <c r="Y549">
        <v>32903</v>
      </c>
      <c r="Z549" t="s">
        <v>602</v>
      </c>
      <c r="AA549" t="s">
        <v>583</v>
      </c>
    </row>
    <row r="550" spans="25:27" x14ac:dyDescent="0.25">
      <c r="Y550">
        <v>32904</v>
      </c>
      <c r="Z550" t="s">
        <v>601</v>
      </c>
      <c r="AA550" t="s">
        <v>583</v>
      </c>
    </row>
    <row r="551" spans="25:27" x14ac:dyDescent="0.25">
      <c r="Y551">
        <v>32905</v>
      </c>
      <c r="Z551" t="s">
        <v>603</v>
      </c>
      <c r="AA551" t="s">
        <v>583</v>
      </c>
    </row>
    <row r="552" spans="25:27" x14ac:dyDescent="0.25">
      <c r="Y552">
        <v>32906</v>
      </c>
      <c r="Z552" t="s">
        <v>603</v>
      </c>
      <c r="AA552" t="s">
        <v>583</v>
      </c>
    </row>
    <row r="553" spans="25:27" x14ac:dyDescent="0.25">
      <c r="Y553">
        <v>32907</v>
      </c>
      <c r="Z553" t="s">
        <v>603</v>
      </c>
      <c r="AA553" t="s">
        <v>583</v>
      </c>
    </row>
    <row r="554" spans="25:27" x14ac:dyDescent="0.25">
      <c r="Y554">
        <v>32908</v>
      </c>
      <c r="Z554" t="s">
        <v>603</v>
      </c>
      <c r="AA554" t="s">
        <v>583</v>
      </c>
    </row>
    <row r="555" spans="25:27" x14ac:dyDescent="0.25">
      <c r="Y555">
        <v>32909</v>
      </c>
      <c r="Z555" t="s">
        <v>603</v>
      </c>
      <c r="AA555" t="s">
        <v>583</v>
      </c>
    </row>
    <row r="556" spans="25:27" x14ac:dyDescent="0.25">
      <c r="Y556">
        <v>32910</v>
      </c>
      <c r="Z556" t="s">
        <v>603</v>
      </c>
      <c r="AA556" t="s">
        <v>583</v>
      </c>
    </row>
    <row r="557" spans="25:27" x14ac:dyDescent="0.25">
      <c r="Y557">
        <v>32911</v>
      </c>
      <c r="Z557" t="s">
        <v>603</v>
      </c>
      <c r="AA557" t="s">
        <v>583</v>
      </c>
    </row>
    <row r="558" spans="25:27" x14ac:dyDescent="0.25">
      <c r="Y558">
        <v>32912</v>
      </c>
      <c r="Z558" t="s">
        <v>601</v>
      </c>
      <c r="AA558" t="s">
        <v>583</v>
      </c>
    </row>
    <row r="559" spans="25:27" x14ac:dyDescent="0.25">
      <c r="Y559">
        <v>32919</v>
      </c>
      <c r="Z559" t="s">
        <v>601</v>
      </c>
      <c r="AA559" t="s">
        <v>583</v>
      </c>
    </row>
    <row r="560" spans="25:27" x14ac:dyDescent="0.25">
      <c r="Y560">
        <v>32920</v>
      </c>
      <c r="Z560" t="s">
        <v>604</v>
      </c>
      <c r="AA560" t="s">
        <v>583</v>
      </c>
    </row>
    <row r="561" spans="25:27" x14ac:dyDescent="0.25">
      <c r="Y561">
        <v>32922</v>
      </c>
      <c r="Z561" t="s">
        <v>605</v>
      </c>
      <c r="AA561" t="s">
        <v>583</v>
      </c>
    </row>
    <row r="562" spans="25:27" x14ac:dyDescent="0.25">
      <c r="Y562">
        <v>32923</v>
      </c>
      <c r="Z562" t="s">
        <v>605</v>
      </c>
      <c r="AA562" t="s">
        <v>583</v>
      </c>
    </row>
    <row r="563" spans="25:27" x14ac:dyDescent="0.25">
      <c r="Y563">
        <v>32924</v>
      </c>
      <c r="Z563" t="s">
        <v>605</v>
      </c>
      <c r="AA563" t="s">
        <v>583</v>
      </c>
    </row>
    <row r="564" spans="25:27" x14ac:dyDescent="0.25">
      <c r="Y564">
        <v>32925</v>
      </c>
      <c r="Z564" t="s">
        <v>606</v>
      </c>
      <c r="AA564" t="s">
        <v>583</v>
      </c>
    </row>
    <row r="565" spans="25:27" x14ac:dyDescent="0.25">
      <c r="Y565">
        <v>32926</v>
      </c>
      <c r="Z565" t="s">
        <v>605</v>
      </c>
      <c r="AA565" t="s">
        <v>583</v>
      </c>
    </row>
    <row r="566" spans="25:27" x14ac:dyDescent="0.25">
      <c r="Y566">
        <v>32927</v>
      </c>
      <c r="Z566" t="s">
        <v>605</v>
      </c>
      <c r="AA566" t="s">
        <v>583</v>
      </c>
    </row>
    <row r="567" spans="25:27" x14ac:dyDescent="0.25">
      <c r="Y567">
        <v>32931</v>
      </c>
      <c r="Z567" t="s">
        <v>607</v>
      </c>
      <c r="AA567" t="s">
        <v>583</v>
      </c>
    </row>
    <row r="568" spans="25:27" x14ac:dyDescent="0.25">
      <c r="Y568">
        <v>32932</v>
      </c>
      <c r="Z568" t="s">
        <v>607</v>
      </c>
      <c r="AA568" t="s">
        <v>583</v>
      </c>
    </row>
    <row r="569" spans="25:27" x14ac:dyDescent="0.25">
      <c r="Y569">
        <v>32934</v>
      </c>
      <c r="Z569" t="s">
        <v>601</v>
      </c>
      <c r="AA569" t="s">
        <v>583</v>
      </c>
    </row>
    <row r="570" spans="25:27" x14ac:dyDescent="0.25">
      <c r="Y570">
        <v>32935</v>
      </c>
      <c r="Z570" t="s">
        <v>601</v>
      </c>
      <c r="AA570" t="s">
        <v>583</v>
      </c>
    </row>
    <row r="571" spans="25:27" x14ac:dyDescent="0.25">
      <c r="Y571">
        <v>32936</v>
      </c>
      <c r="Z571" t="s">
        <v>601</v>
      </c>
      <c r="AA571" t="s">
        <v>583</v>
      </c>
    </row>
    <row r="572" spans="25:27" x14ac:dyDescent="0.25">
      <c r="Y572">
        <v>32937</v>
      </c>
      <c r="Z572" t="s">
        <v>608</v>
      </c>
      <c r="AA572" t="s">
        <v>583</v>
      </c>
    </row>
    <row r="573" spans="25:27" x14ac:dyDescent="0.25">
      <c r="Y573">
        <v>32940</v>
      </c>
      <c r="Z573" t="s">
        <v>601</v>
      </c>
      <c r="AA573" t="s">
        <v>583</v>
      </c>
    </row>
    <row r="574" spans="25:27" x14ac:dyDescent="0.25">
      <c r="Y574">
        <v>32941</v>
      </c>
      <c r="Z574" t="s">
        <v>601</v>
      </c>
      <c r="AA574" t="s">
        <v>583</v>
      </c>
    </row>
    <row r="575" spans="25:27" x14ac:dyDescent="0.25">
      <c r="Y575">
        <v>32948</v>
      </c>
      <c r="Z575" t="s">
        <v>609</v>
      </c>
      <c r="AA575" t="s">
        <v>610</v>
      </c>
    </row>
    <row r="576" spans="25:27" x14ac:dyDescent="0.25">
      <c r="Y576">
        <v>32949</v>
      </c>
      <c r="Z576" t="s">
        <v>611</v>
      </c>
      <c r="AA576" t="s">
        <v>583</v>
      </c>
    </row>
    <row r="577" spans="25:27" x14ac:dyDescent="0.25">
      <c r="Y577">
        <v>32950</v>
      </c>
      <c r="Z577" t="s">
        <v>612</v>
      </c>
      <c r="AA577" t="s">
        <v>583</v>
      </c>
    </row>
    <row r="578" spans="25:27" x14ac:dyDescent="0.25">
      <c r="Y578">
        <v>32951</v>
      </c>
      <c r="Z578" t="s">
        <v>613</v>
      </c>
      <c r="AA578" t="s">
        <v>583</v>
      </c>
    </row>
    <row r="579" spans="25:27" x14ac:dyDescent="0.25">
      <c r="Y579">
        <v>32952</v>
      </c>
      <c r="Z579" t="s">
        <v>614</v>
      </c>
      <c r="AA579" t="s">
        <v>583</v>
      </c>
    </row>
    <row r="580" spans="25:27" x14ac:dyDescent="0.25">
      <c r="Y580">
        <v>32953</v>
      </c>
      <c r="Z580" t="s">
        <v>614</v>
      </c>
      <c r="AA580" t="s">
        <v>583</v>
      </c>
    </row>
    <row r="581" spans="25:27" x14ac:dyDescent="0.25">
      <c r="Y581">
        <v>32954</v>
      </c>
      <c r="Z581" t="s">
        <v>614</v>
      </c>
      <c r="AA581" t="s">
        <v>583</v>
      </c>
    </row>
    <row r="582" spans="25:27" x14ac:dyDescent="0.25">
      <c r="Y582">
        <v>32955</v>
      </c>
      <c r="Z582" t="s">
        <v>615</v>
      </c>
      <c r="AA582" t="s">
        <v>583</v>
      </c>
    </row>
    <row r="583" spans="25:27" x14ac:dyDescent="0.25">
      <c r="Y583">
        <v>32956</v>
      </c>
      <c r="Z583" t="s">
        <v>615</v>
      </c>
      <c r="AA583" t="s">
        <v>583</v>
      </c>
    </row>
    <row r="584" spans="25:27" x14ac:dyDescent="0.25">
      <c r="Y584">
        <v>32957</v>
      </c>
      <c r="Z584" t="s">
        <v>616</v>
      </c>
      <c r="AA584" t="s">
        <v>610</v>
      </c>
    </row>
    <row r="585" spans="25:27" x14ac:dyDescent="0.25">
      <c r="Y585">
        <v>32958</v>
      </c>
      <c r="Z585" t="s">
        <v>617</v>
      </c>
      <c r="AA585" t="s">
        <v>610</v>
      </c>
    </row>
    <row r="586" spans="25:27" x14ac:dyDescent="0.25">
      <c r="Y586">
        <v>32959</v>
      </c>
      <c r="Z586" t="s">
        <v>618</v>
      </c>
      <c r="AA586" t="s">
        <v>583</v>
      </c>
    </row>
    <row r="587" spans="25:27" x14ac:dyDescent="0.25">
      <c r="Y587">
        <v>32960</v>
      </c>
      <c r="Z587" t="s">
        <v>619</v>
      </c>
      <c r="AA587" t="s">
        <v>610</v>
      </c>
    </row>
    <row r="588" spans="25:27" x14ac:dyDescent="0.25">
      <c r="Y588">
        <v>32961</v>
      </c>
      <c r="Z588" t="s">
        <v>619</v>
      </c>
      <c r="AA588" t="s">
        <v>610</v>
      </c>
    </row>
    <row r="589" spans="25:27" x14ac:dyDescent="0.25">
      <c r="Y589">
        <v>32962</v>
      </c>
      <c r="Z589" t="s">
        <v>619</v>
      </c>
      <c r="AA589" t="s">
        <v>610</v>
      </c>
    </row>
    <row r="590" spans="25:27" x14ac:dyDescent="0.25">
      <c r="Y590">
        <v>32963</v>
      </c>
      <c r="Z590" t="s">
        <v>619</v>
      </c>
      <c r="AA590" t="s">
        <v>610</v>
      </c>
    </row>
    <row r="591" spans="25:27" x14ac:dyDescent="0.25">
      <c r="Y591">
        <v>32964</v>
      </c>
      <c r="Z591" t="s">
        <v>619</v>
      </c>
      <c r="AA591" t="s">
        <v>610</v>
      </c>
    </row>
    <row r="592" spans="25:27" x14ac:dyDescent="0.25">
      <c r="Y592">
        <v>32965</v>
      </c>
      <c r="Z592" t="s">
        <v>619</v>
      </c>
      <c r="AA592" t="s">
        <v>610</v>
      </c>
    </row>
    <row r="593" spans="25:27" x14ac:dyDescent="0.25">
      <c r="Y593">
        <v>32966</v>
      </c>
      <c r="Z593" t="s">
        <v>619</v>
      </c>
      <c r="AA593" t="s">
        <v>610</v>
      </c>
    </row>
    <row r="594" spans="25:27" x14ac:dyDescent="0.25">
      <c r="Y594">
        <v>32967</v>
      </c>
      <c r="Z594" t="s">
        <v>619</v>
      </c>
      <c r="AA594" t="s">
        <v>610</v>
      </c>
    </row>
    <row r="595" spans="25:27" x14ac:dyDescent="0.25">
      <c r="Y595">
        <v>32968</v>
      </c>
      <c r="Z595" t="s">
        <v>619</v>
      </c>
      <c r="AA595" t="s">
        <v>610</v>
      </c>
    </row>
    <row r="596" spans="25:27" x14ac:dyDescent="0.25">
      <c r="Y596">
        <v>32969</v>
      </c>
      <c r="Z596" t="s">
        <v>619</v>
      </c>
      <c r="AA596" t="s">
        <v>610</v>
      </c>
    </row>
    <row r="597" spans="25:27" x14ac:dyDescent="0.25">
      <c r="Y597">
        <v>32970</v>
      </c>
      <c r="Z597" t="s">
        <v>620</v>
      </c>
      <c r="AA597" t="s">
        <v>610</v>
      </c>
    </row>
    <row r="598" spans="25:27" x14ac:dyDescent="0.25">
      <c r="Y598">
        <v>32971</v>
      </c>
      <c r="Z598" t="s">
        <v>621</v>
      </c>
      <c r="AA598" t="s">
        <v>610</v>
      </c>
    </row>
    <row r="599" spans="25:27" x14ac:dyDescent="0.25">
      <c r="Y599">
        <v>32976</v>
      </c>
      <c r="Z599" t="s">
        <v>617</v>
      </c>
      <c r="AA599" t="s">
        <v>583</v>
      </c>
    </row>
    <row r="600" spans="25:27" x14ac:dyDescent="0.25">
      <c r="Y600">
        <v>32978</v>
      </c>
      <c r="Z600" t="s">
        <v>617</v>
      </c>
      <c r="AA600" t="s">
        <v>610</v>
      </c>
    </row>
    <row r="601" spans="25:27" x14ac:dyDescent="0.25">
      <c r="Y601">
        <v>33001</v>
      </c>
      <c r="Z601" t="s">
        <v>622</v>
      </c>
      <c r="AA601" t="s">
        <v>623</v>
      </c>
    </row>
    <row r="602" spans="25:27" x14ac:dyDescent="0.25">
      <c r="Y602">
        <v>33002</v>
      </c>
      <c r="Z602" t="s">
        <v>624</v>
      </c>
      <c r="AA602" t="s">
        <v>625</v>
      </c>
    </row>
    <row r="603" spans="25:27" x14ac:dyDescent="0.25">
      <c r="Y603">
        <v>33004</v>
      </c>
      <c r="Z603" t="s">
        <v>626</v>
      </c>
      <c r="AA603" t="s">
        <v>627</v>
      </c>
    </row>
    <row r="604" spans="25:27" x14ac:dyDescent="0.25">
      <c r="Y604">
        <v>33008</v>
      </c>
      <c r="Z604" t="s">
        <v>628</v>
      </c>
      <c r="AA604" t="s">
        <v>627</v>
      </c>
    </row>
    <row r="605" spans="25:27" x14ac:dyDescent="0.25">
      <c r="Y605">
        <v>33009</v>
      </c>
      <c r="Z605" t="s">
        <v>628</v>
      </c>
      <c r="AA605" t="s">
        <v>627</v>
      </c>
    </row>
    <row r="606" spans="25:27" x14ac:dyDescent="0.25">
      <c r="Y606">
        <v>33010</v>
      </c>
      <c r="Z606" t="s">
        <v>624</v>
      </c>
      <c r="AA606" t="s">
        <v>625</v>
      </c>
    </row>
    <row r="607" spans="25:27" x14ac:dyDescent="0.25">
      <c r="Y607">
        <v>33011</v>
      </c>
      <c r="Z607" t="s">
        <v>624</v>
      </c>
      <c r="AA607" t="s">
        <v>625</v>
      </c>
    </row>
    <row r="608" spans="25:27" x14ac:dyDescent="0.25">
      <c r="Y608">
        <v>33012</v>
      </c>
      <c r="Z608" t="s">
        <v>624</v>
      </c>
      <c r="AA608" t="s">
        <v>625</v>
      </c>
    </row>
    <row r="609" spans="25:27" x14ac:dyDescent="0.25">
      <c r="Y609">
        <v>33013</v>
      </c>
      <c r="Z609" t="s">
        <v>624</v>
      </c>
      <c r="AA609" t="s">
        <v>625</v>
      </c>
    </row>
    <row r="610" spans="25:27" x14ac:dyDescent="0.25">
      <c r="Y610">
        <v>33014</v>
      </c>
      <c r="Z610" t="s">
        <v>624</v>
      </c>
      <c r="AA610" t="s">
        <v>625</v>
      </c>
    </row>
    <row r="611" spans="25:27" x14ac:dyDescent="0.25">
      <c r="Y611">
        <v>33015</v>
      </c>
      <c r="Z611" t="s">
        <v>624</v>
      </c>
      <c r="AA611" t="s">
        <v>625</v>
      </c>
    </row>
    <row r="612" spans="25:27" x14ac:dyDescent="0.25">
      <c r="Y612">
        <v>33016</v>
      </c>
      <c r="Z612" t="s">
        <v>624</v>
      </c>
      <c r="AA612" t="s">
        <v>625</v>
      </c>
    </row>
    <row r="613" spans="25:27" x14ac:dyDescent="0.25">
      <c r="Y613">
        <v>33017</v>
      </c>
      <c r="Z613" t="s">
        <v>624</v>
      </c>
      <c r="AA613" t="s">
        <v>625</v>
      </c>
    </row>
    <row r="614" spans="25:27" x14ac:dyDescent="0.25">
      <c r="Y614">
        <v>33018</v>
      </c>
      <c r="Z614" t="s">
        <v>624</v>
      </c>
      <c r="AA614" t="s">
        <v>625</v>
      </c>
    </row>
    <row r="615" spans="25:27" x14ac:dyDescent="0.25">
      <c r="Y615">
        <v>33019</v>
      </c>
      <c r="Z615" t="s">
        <v>629</v>
      </c>
      <c r="AA615" t="s">
        <v>627</v>
      </c>
    </row>
    <row r="616" spans="25:27" x14ac:dyDescent="0.25">
      <c r="Y616">
        <v>33020</v>
      </c>
      <c r="Z616" t="s">
        <v>629</v>
      </c>
      <c r="AA616" t="s">
        <v>627</v>
      </c>
    </row>
    <row r="617" spans="25:27" x14ac:dyDescent="0.25">
      <c r="Y617">
        <v>33021</v>
      </c>
      <c r="Z617" t="s">
        <v>629</v>
      </c>
      <c r="AA617" t="s">
        <v>627</v>
      </c>
    </row>
    <row r="618" spans="25:27" x14ac:dyDescent="0.25">
      <c r="Y618">
        <v>33022</v>
      </c>
      <c r="Z618" t="s">
        <v>629</v>
      </c>
      <c r="AA618" t="s">
        <v>627</v>
      </c>
    </row>
    <row r="619" spans="25:27" x14ac:dyDescent="0.25">
      <c r="Y619">
        <v>33023</v>
      </c>
      <c r="Z619" t="s">
        <v>629</v>
      </c>
      <c r="AA619" t="s">
        <v>627</v>
      </c>
    </row>
    <row r="620" spans="25:27" x14ac:dyDescent="0.25">
      <c r="Y620">
        <v>33024</v>
      </c>
      <c r="Z620" t="s">
        <v>629</v>
      </c>
      <c r="AA620" t="s">
        <v>627</v>
      </c>
    </row>
    <row r="621" spans="25:27" x14ac:dyDescent="0.25">
      <c r="Y621">
        <v>33025</v>
      </c>
      <c r="Z621" t="s">
        <v>629</v>
      </c>
      <c r="AA621" t="s">
        <v>627</v>
      </c>
    </row>
    <row r="622" spans="25:27" x14ac:dyDescent="0.25">
      <c r="Y622">
        <v>33026</v>
      </c>
      <c r="Z622" t="s">
        <v>629</v>
      </c>
      <c r="AA622" t="s">
        <v>627</v>
      </c>
    </row>
    <row r="623" spans="25:27" x14ac:dyDescent="0.25">
      <c r="Y623">
        <v>33027</v>
      </c>
      <c r="Z623" t="s">
        <v>629</v>
      </c>
      <c r="AA623" t="s">
        <v>627</v>
      </c>
    </row>
    <row r="624" spans="25:27" x14ac:dyDescent="0.25">
      <c r="Y624">
        <v>33028</v>
      </c>
      <c r="Z624" t="s">
        <v>629</v>
      </c>
      <c r="AA624" t="s">
        <v>627</v>
      </c>
    </row>
    <row r="625" spans="25:27" x14ac:dyDescent="0.25">
      <c r="Y625">
        <v>33029</v>
      </c>
      <c r="Z625" t="s">
        <v>629</v>
      </c>
      <c r="AA625" t="s">
        <v>627</v>
      </c>
    </row>
    <row r="626" spans="25:27" x14ac:dyDescent="0.25">
      <c r="Y626">
        <v>33030</v>
      </c>
      <c r="Z626" t="s">
        <v>630</v>
      </c>
      <c r="AA626" t="s">
        <v>625</v>
      </c>
    </row>
    <row r="627" spans="25:27" x14ac:dyDescent="0.25">
      <c r="Y627">
        <v>33031</v>
      </c>
      <c r="Z627" t="s">
        <v>630</v>
      </c>
      <c r="AA627" t="s">
        <v>625</v>
      </c>
    </row>
    <row r="628" spans="25:27" x14ac:dyDescent="0.25">
      <c r="Y628">
        <v>33032</v>
      </c>
      <c r="Z628" t="s">
        <v>630</v>
      </c>
      <c r="AA628" t="s">
        <v>625</v>
      </c>
    </row>
    <row r="629" spans="25:27" x14ac:dyDescent="0.25">
      <c r="Y629">
        <v>33033</v>
      </c>
      <c r="Z629" t="s">
        <v>630</v>
      </c>
      <c r="AA629" t="s">
        <v>625</v>
      </c>
    </row>
    <row r="630" spans="25:27" x14ac:dyDescent="0.25">
      <c r="Y630">
        <v>33034</v>
      </c>
      <c r="Z630" t="s">
        <v>630</v>
      </c>
      <c r="AA630" t="s">
        <v>625</v>
      </c>
    </row>
    <row r="631" spans="25:27" x14ac:dyDescent="0.25">
      <c r="Y631">
        <v>33035</v>
      </c>
      <c r="Z631" t="s">
        <v>630</v>
      </c>
      <c r="AA631" t="s">
        <v>625</v>
      </c>
    </row>
    <row r="632" spans="25:27" x14ac:dyDescent="0.25">
      <c r="Y632">
        <v>33036</v>
      </c>
      <c r="Z632" t="s">
        <v>631</v>
      </c>
      <c r="AA632" t="s">
        <v>623</v>
      </c>
    </row>
    <row r="633" spans="25:27" x14ac:dyDescent="0.25">
      <c r="Y633">
        <v>33037</v>
      </c>
      <c r="Z633" t="s">
        <v>632</v>
      </c>
      <c r="AA633" t="s">
        <v>623</v>
      </c>
    </row>
    <row r="634" spans="25:27" x14ac:dyDescent="0.25">
      <c r="Y634">
        <v>33039</v>
      </c>
      <c r="Z634" t="s">
        <v>630</v>
      </c>
      <c r="AA634" t="s">
        <v>625</v>
      </c>
    </row>
    <row r="635" spans="25:27" x14ac:dyDescent="0.25">
      <c r="Y635">
        <v>33040</v>
      </c>
      <c r="Z635" t="s">
        <v>633</v>
      </c>
      <c r="AA635" t="s">
        <v>623</v>
      </c>
    </row>
    <row r="636" spans="25:27" x14ac:dyDescent="0.25">
      <c r="Y636">
        <v>33041</v>
      </c>
      <c r="Z636" t="s">
        <v>633</v>
      </c>
      <c r="AA636" t="s">
        <v>623</v>
      </c>
    </row>
    <row r="637" spans="25:27" x14ac:dyDescent="0.25">
      <c r="Y637">
        <v>33042</v>
      </c>
      <c r="Z637" t="s">
        <v>634</v>
      </c>
      <c r="AA637" t="s">
        <v>623</v>
      </c>
    </row>
    <row r="638" spans="25:27" x14ac:dyDescent="0.25">
      <c r="Y638">
        <v>33043</v>
      </c>
      <c r="Z638" t="s">
        <v>635</v>
      </c>
      <c r="AA638" t="s">
        <v>623</v>
      </c>
    </row>
    <row r="639" spans="25:27" x14ac:dyDescent="0.25">
      <c r="Y639">
        <v>33045</v>
      </c>
      <c r="Z639" t="s">
        <v>633</v>
      </c>
      <c r="AA639" t="s">
        <v>623</v>
      </c>
    </row>
    <row r="640" spans="25:27" x14ac:dyDescent="0.25">
      <c r="Y640">
        <v>33050</v>
      </c>
      <c r="Z640" t="s">
        <v>636</v>
      </c>
      <c r="AA640" t="s">
        <v>623</v>
      </c>
    </row>
    <row r="641" spans="25:27" x14ac:dyDescent="0.25">
      <c r="Y641">
        <v>33051</v>
      </c>
      <c r="Z641" t="s">
        <v>637</v>
      </c>
      <c r="AA641" t="s">
        <v>623</v>
      </c>
    </row>
    <row r="642" spans="25:27" x14ac:dyDescent="0.25">
      <c r="Y642">
        <v>33052</v>
      </c>
      <c r="Z642" t="s">
        <v>638</v>
      </c>
      <c r="AA642" t="s">
        <v>623</v>
      </c>
    </row>
    <row r="643" spans="25:27" x14ac:dyDescent="0.25">
      <c r="Y643">
        <v>33054</v>
      </c>
      <c r="Z643" t="s">
        <v>639</v>
      </c>
      <c r="AA643" t="s">
        <v>625</v>
      </c>
    </row>
    <row r="644" spans="25:27" x14ac:dyDescent="0.25">
      <c r="Y644">
        <v>33055</v>
      </c>
      <c r="Z644" t="s">
        <v>639</v>
      </c>
      <c r="AA644" t="s">
        <v>625</v>
      </c>
    </row>
    <row r="645" spans="25:27" x14ac:dyDescent="0.25">
      <c r="Y645">
        <v>33056</v>
      </c>
      <c r="Z645" t="s">
        <v>639</v>
      </c>
      <c r="AA645" t="s">
        <v>625</v>
      </c>
    </row>
    <row r="646" spans="25:27" x14ac:dyDescent="0.25">
      <c r="Y646">
        <v>33060</v>
      </c>
      <c r="Z646" t="s">
        <v>640</v>
      </c>
      <c r="AA646" t="s">
        <v>627</v>
      </c>
    </row>
    <row r="647" spans="25:27" x14ac:dyDescent="0.25">
      <c r="Y647">
        <v>33061</v>
      </c>
      <c r="Z647" t="s">
        <v>640</v>
      </c>
      <c r="AA647" t="s">
        <v>627</v>
      </c>
    </row>
    <row r="648" spans="25:27" x14ac:dyDescent="0.25">
      <c r="Y648">
        <v>33062</v>
      </c>
      <c r="Z648" t="s">
        <v>640</v>
      </c>
      <c r="AA648" t="s">
        <v>627</v>
      </c>
    </row>
    <row r="649" spans="25:27" x14ac:dyDescent="0.25">
      <c r="Y649">
        <v>33063</v>
      </c>
      <c r="Z649" t="s">
        <v>640</v>
      </c>
      <c r="AA649" t="s">
        <v>627</v>
      </c>
    </row>
    <row r="650" spans="25:27" x14ac:dyDescent="0.25">
      <c r="Y650">
        <v>33064</v>
      </c>
      <c r="Z650" t="s">
        <v>640</v>
      </c>
      <c r="AA650" t="s">
        <v>627</v>
      </c>
    </row>
    <row r="651" spans="25:27" x14ac:dyDescent="0.25">
      <c r="Y651">
        <v>33065</v>
      </c>
      <c r="Z651" t="s">
        <v>640</v>
      </c>
      <c r="AA651" t="s">
        <v>627</v>
      </c>
    </row>
    <row r="652" spans="25:27" x14ac:dyDescent="0.25">
      <c r="Y652">
        <v>33066</v>
      </c>
      <c r="Z652" t="s">
        <v>640</v>
      </c>
      <c r="AA652" t="s">
        <v>627</v>
      </c>
    </row>
    <row r="653" spans="25:27" x14ac:dyDescent="0.25">
      <c r="Y653">
        <v>33067</v>
      </c>
      <c r="Z653" t="s">
        <v>640</v>
      </c>
      <c r="AA653" t="s">
        <v>627</v>
      </c>
    </row>
    <row r="654" spans="25:27" x14ac:dyDescent="0.25">
      <c r="Y654">
        <v>33068</v>
      </c>
      <c r="Z654" t="s">
        <v>640</v>
      </c>
      <c r="AA654" t="s">
        <v>627</v>
      </c>
    </row>
    <row r="655" spans="25:27" x14ac:dyDescent="0.25">
      <c r="Y655">
        <v>33069</v>
      </c>
      <c r="Z655" t="s">
        <v>640</v>
      </c>
      <c r="AA655" t="s">
        <v>627</v>
      </c>
    </row>
    <row r="656" spans="25:27" x14ac:dyDescent="0.25">
      <c r="Y656">
        <v>33070</v>
      </c>
      <c r="Z656" t="s">
        <v>641</v>
      </c>
      <c r="AA656" t="s">
        <v>623</v>
      </c>
    </row>
    <row r="657" spans="25:27" x14ac:dyDescent="0.25">
      <c r="Y657">
        <v>33071</v>
      </c>
      <c r="Z657" t="s">
        <v>640</v>
      </c>
      <c r="AA657" t="s">
        <v>627</v>
      </c>
    </row>
    <row r="658" spans="25:27" x14ac:dyDescent="0.25">
      <c r="Y658">
        <v>33072</v>
      </c>
      <c r="Z658" t="s">
        <v>640</v>
      </c>
      <c r="AA658" t="s">
        <v>627</v>
      </c>
    </row>
    <row r="659" spans="25:27" x14ac:dyDescent="0.25">
      <c r="Y659">
        <v>33073</v>
      </c>
      <c r="Z659" t="s">
        <v>640</v>
      </c>
      <c r="AA659" t="s">
        <v>627</v>
      </c>
    </row>
    <row r="660" spans="25:27" x14ac:dyDescent="0.25">
      <c r="Y660">
        <v>33074</v>
      </c>
      <c r="Z660" t="s">
        <v>640</v>
      </c>
      <c r="AA660" t="s">
        <v>627</v>
      </c>
    </row>
    <row r="661" spans="25:27" x14ac:dyDescent="0.25">
      <c r="Y661">
        <v>33075</v>
      </c>
      <c r="Z661" t="s">
        <v>640</v>
      </c>
      <c r="AA661" t="s">
        <v>627</v>
      </c>
    </row>
    <row r="662" spans="25:27" x14ac:dyDescent="0.25">
      <c r="Y662">
        <v>33076</v>
      </c>
      <c r="Z662" t="s">
        <v>640</v>
      </c>
      <c r="AA662" t="s">
        <v>627</v>
      </c>
    </row>
    <row r="663" spans="25:27" x14ac:dyDescent="0.25">
      <c r="Y663">
        <v>33077</v>
      </c>
      <c r="Z663" t="s">
        <v>640</v>
      </c>
      <c r="AA663" t="s">
        <v>627</v>
      </c>
    </row>
    <row r="664" spans="25:27" x14ac:dyDescent="0.25">
      <c r="Y664">
        <v>33081</v>
      </c>
      <c r="Z664" t="s">
        <v>629</v>
      </c>
      <c r="AA664" t="s">
        <v>627</v>
      </c>
    </row>
    <row r="665" spans="25:27" x14ac:dyDescent="0.25">
      <c r="Y665">
        <v>33082</v>
      </c>
      <c r="Z665" t="s">
        <v>642</v>
      </c>
      <c r="AA665" t="s">
        <v>627</v>
      </c>
    </row>
    <row r="666" spans="25:27" x14ac:dyDescent="0.25">
      <c r="Y666">
        <v>33083</v>
      </c>
      <c r="Z666" t="s">
        <v>629</v>
      </c>
      <c r="AA666" t="s">
        <v>627</v>
      </c>
    </row>
    <row r="667" spans="25:27" x14ac:dyDescent="0.25">
      <c r="Y667">
        <v>33084</v>
      </c>
      <c r="Z667" t="s">
        <v>629</v>
      </c>
      <c r="AA667" t="s">
        <v>627</v>
      </c>
    </row>
    <row r="668" spans="25:27" x14ac:dyDescent="0.25">
      <c r="Y668">
        <v>33090</v>
      </c>
      <c r="Z668" t="s">
        <v>630</v>
      </c>
      <c r="AA668" t="s">
        <v>625</v>
      </c>
    </row>
    <row r="669" spans="25:27" x14ac:dyDescent="0.25">
      <c r="Y669">
        <v>33092</v>
      </c>
      <c r="Z669" t="s">
        <v>630</v>
      </c>
      <c r="AA669" t="s">
        <v>625</v>
      </c>
    </row>
    <row r="670" spans="25:27" x14ac:dyDescent="0.25">
      <c r="Y670">
        <v>33093</v>
      </c>
      <c r="Z670" t="s">
        <v>643</v>
      </c>
      <c r="AA670" t="s">
        <v>627</v>
      </c>
    </row>
    <row r="671" spans="25:27" x14ac:dyDescent="0.25">
      <c r="Y671">
        <v>33093</v>
      </c>
      <c r="Z671" t="s">
        <v>640</v>
      </c>
      <c r="AA671" t="s">
        <v>627</v>
      </c>
    </row>
    <row r="672" spans="25:27" x14ac:dyDescent="0.25">
      <c r="Y672">
        <v>33097</v>
      </c>
      <c r="Z672" t="s">
        <v>640</v>
      </c>
      <c r="AA672" t="s">
        <v>627</v>
      </c>
    </row>
    <row r="673" spans="25:27" x14ac:dyDescent="0.25">
      <c r="Y673">
        <v>33101</v>
      </c>
      <c r="Z673" t="s">
        <v>644</v>
      </c>
      <c r="AA673" t="s">
        <v>625</v>
      </c>
    </row>
    <row r="674" spans="25:27" x14ac:dyDescent="0.25">
      <c r="Y674">
        <v>33102</v>
      </c>
      <c r="Z674" t="s">
        <v>644</v>
      </c>
      <c r="AA674" t="s">
        <v>625</v>
      </c>
    </row>
    <row r="675" spans="25:27" x14ac:dyDescent="0.25">
      <c r="Y675">
        <v>33107</v>
      </c>
      <c r="Z675" t="s">
        <v>644</v>
      </c>
      <c r="AA675" t="s">
        <v>625</v>
      </c>
    </row>
    <row r="676" spans="25:27" x14ac:dyDescent="0.25">
      <c r="Y676">
        <v>33109</v>
      </c>
      <c r="Z676" t="s">
        <v>645</v>
      </c>
      <c r="AA676" t="s">
        <v>625</v>
      </c>
    </row>
    <row r="677" spans="25:27" x14ac:dyDescent="0.25">
      <c r="Y677">
        <v>33110</v>
      </c>
      <c r="Z677" t="s">
        <v>644</v>
      </c>
      <c r="AA677" t="s">
        <v>625</v>
      </c>
    </row>
    <row r="678" spans="25:27" x14ac:dyDescent="0.25">
      <c r="Y678">
        <v>33111</v>
      </c>
      <c r="Z678" t="s">
        <v>644</v>
      </c>
      <c r="AA678" t="s">
        <v>625</v>
      </c>
    </row>
    <row r="679" spans="25:27" x14ac:dyDescent="0.25">
      <c r="Y679">
        <v>33112</v>
      </c>
      <c r="Z679" t="s">
        <v>644</v>
      </c>
      <c r="AA679" t="s">
        <v>625</v>
      </c>
    </row>
    <row r="680" spans="25:27" x14ac:dyDescent="0.25">
      <c r="Y680">
        <v>33114</v>
      </c>
      <c r="Z680" t="s">
        <v>644</v>
      </c>
      <c r="AA680" t="s">
        <v>625</v>
      </c>
    </row>
    <row r="681" spans="25:27" x14ac:dyDescent="0.25">
      <c r="Y681">
        <v>33116</v>
      </c>
      <c r="Z681" t="s">
        <v>644</v>
      </c>
      <c r="AA681" t="s">
        <v>625</v>
      </c>
    </row>
    <row r="682" spans="25:27" x14ac:dyDescent="0.25">
      <c r="Y682">
        <v>33119</v>
      </c>
      <c r="Z682" t="s">
        <v>645</v>
      </c>
      <c r="AA682" t="s">
        <v>625</v>
      </c>
    </row>
    <row r="683" spans="25:27" x14ac:dyDescent="0.25">
      <c r="Y683">
        <v>33121</v>
      </c>
      <c r="Z683" t="s">
        <v>644</v>
      </c>
      <c r="AA683" t="s">
        <v>625</v>
      </c>
    </row>
    <row r="684" spans="25:27" x14ac:dyDescent="0.25">
      <c r="Y684">
        <v>33122</v>
      </c>
      <c r="Z684" t="s">
        <v>644</v>
      </c>
      <c r="AA684" t="s">
        <v>625</v>
      </c>
    </row>
    <row r="685" spans="25:27" x14ac:dyDescent="0.25">
      <c r="Y685">
        <v>33124</v>
      </c>
      <c r="Z685" t="s">
        <v>644</v>
      </c>
      <c r="AA685" t="s">
        <v>625</v>
      </c>
    </row>
    <row r="686" spans="25:27" x14ac:dyDescent="0.25">
      <c r="Y686">
        <v>33125</v>
      </c>
      <c r="Z686" t="s">
        <v>644</v>
      </c>
      <c r="AA686" t="s">
        <v>625</v>
      </c>
    </row>
    <row r="687" spans="25:27" x14ac:dyDescent="0.25">
      <c r="Y687">
        <v>33126</v>
      </c>
      <c r="Z687" t="s">
        <v>644</v>
      </c>
      <c r="AA687" t="s">
        <v>625</v>
      </c>
    </row>
    <row r="688" spans="25:27" x14ac:dyDescent="0.25">
      <c r="Y688">
        <v>33127</v>
      </c>
      <c r="Z688" t="s">
        <v>644</v>
      </c>
      <c r="AA688" t="s">
        <v>625</v>
      </c>
    </row>
    <row r="689" spans="25:27" x14ac:dyDescent="0.25">
      <c r="Y689">
        <v>33128</v>
      </c>
      <c r="Z689" t="s">
        <v>644</v>
      </c>
      <c r="AA689" t="s">
        <v>625</v>
      </c>
    </row>
    <row r="690" spans="25:27" x14ac:dyDescent="0.25">
      <c r="Y690">
        <v>33129</v>
      </c>
      <c r="Z690" t="s">
        <v>644</v>
      </c>
      <c r="AA690" t="s">
        <v>625</v>
      </c>
    </row>
    <row r="691" spans="25:27" x14ac:dyDescent="0.25">
      <c r="Y691">
        <v>33130</v>
      </c>
      <c r="Z691" t="s">
        <v>644</v>
      </c>
      <c r="AA691" t="s">
        <v>625</v>
      </c>
    </row>
    <row r="692" spans="25:27" x14ac:dyDescent="0.25">
      <c r="Y692">
        <v>33131</v>
      </c>
      <c r="Z692" t="s">
        <v>644</v>
      </c>
      <c r="AA692" t="s">
        <v>625</v>
      </c>
    </row>
    <row r="693" spans="25:27" x14ac:dyDescent="0.25">
      <c r="Y693">
        <v>33132</v>
      </c>
      <c r="Z693" t="s">
        <v>644</v>
      </c>
      <c r="AA693" t="s">
        <v>625</v>
      </c>
    </row>
    <row r="694" spans="25:27" x14ac:dyDescent="0.25">
      <c r="Y694">
        <v>33133</v>
      </c>
      <c r="Z694" t="s">
        <v>644</v>
      </c>
      <c r="AA694" t="s">
        <v>625</v>
      </c>
    </row>
    <row r="695" spans="25:27" x14ac:dyDescent="0.25">
      <c r="Y695">
        <v>33134</v>
      </c>
      <c r="Z695" t="s">
        <v>644</v>
      </c>
      <c r="AA695" t="s">
        <v>625</v>
      </c>
    </row>
    <row r="696" spans="25:27" x14ac:dyDescent="0.25">
      <c r="Y696">
        <v>33135</v>
      </c>
      <c r="Z696" t="s">
        <v>644</v>
      </c>
      <c r="AA696" t="s">
        <v>625</v>
      </c>
    </row>
    <row r="697" spans="25:27" x14ac:dyDescent="0.25">
      <c r="Y697">
        <v>33136</v>
      </c>
      <c r="Z697" t="s">
        <v>644</v>
      </c>
      <c r="AA697" t="s">
        <v>625</v>
      </c>
    </row>
    <row r="698" spans="25:27" x14ac:dyDescent="0.25">
      <c r="Y698">
        <v>33137</v>
      </c>
      <c r="Z698" t="s">
        <v>644</v>
      </c>
      <c r="AA698" t="s">
        <v>625</v>
      </c>
    </row>
    <row r="699" spans="25:27" x14ac:dyDescent="0.25">
      <c r="Y699">
        <v>33138</v>
      </c>
      <c r="Z699" t="s">
        <v>644</v>
      </c>
      <c r="AA699" t="s">
        <v>625</v>
      </c>
    </row>
    <row r="700" spans="25:27" x14ac:dyDescent="0.25">
      <c r="Y700">
        <v>33139</v>
      </c>
      <c r="Z700" t="s">
        <v>645</v>
      </c>
      <c r="AA700" t="s">
        <v>625</v>
      </c>
    </row>
    <row r="701" spans="25:27" x14ac:dyDescent="0.25">
      <c r="Y701">
        <v>33140</v>
      </c>
      <c r="Z701" t="s">
        <v>645</v>
      </c>
      <c r="AA701" t="s">
        <v>625</v>
      </c>
    </row>
    <row r="702" spans="25:27" x14ac:dyDescent="0.25">
      <c r="Y702">
        <v>33141</v>
      </c>
      <c r="Z702" t="s">
        <v>645</v>
      </c>
      <c r="AA702" t="s">
        <v>625</v>
      </c>
    </row>
    <row r="703" spans="25:27" x14ac:dyDescent="0.25">
      <c r="Y703">
        <v>33142</v>
      </c>
      <c r="Z703" t="s">
        <v>644</v>
      </c>
      <c r="AA703" t="s">
        <v>625</v>
      </c>
    </row>
    <row r="704" spans="25:27" x14ac:dyDescent="0.25">
      <c r="Y704">
        <v>33143</v>
      </c>
      <c r="Z704" t="s">
        <v>644</v>
      </c>
      <c r="AA704" t="s">
        <v>625</v>
      </c>
    </row>
    <row r="705" spans="25:27" x14ac:dyDescent="0.25">
      <c r="Y705">
        <v>33144</v>
      </c>
      <c r="Z705" t="s">
        <v>644</v>
      </c>
      <c r="AA705" t="s">
        <v>625</v>
      </c>
    </row>
    <row r="706" spans="25:27" x14ac:dyDescent="0.25">
      <c r="Y706">
        <v>33145</v>
      </c>
      <c r="Z706" t="s">
        <v>644</v>
      </c>
      <c r="AA706" t="s">
        <v>625</v>
      </c>
    </row>
    <row r="707" spans="25:27" x14ac:dyDescent="0.25">
      <c r="Y707">
        <v>33146</v>
      </c>
      <c r="Z707" t="s">
        <v>644</v>
      </c>
      <c r="AA707" t="s">
        <v>625</v>
      </c>
    </row>
    <row r="708" spans="25:27" x14ac:dyDescent="0.25">
      <c r="Y708">
        <v>33147</v>
      </c>
      <c r="Z708" t="s">
        <v>644</v>
      </c>
      <c r="AA708" t="s">
        <v>625</v>
      </c>
    </row>
    <row r="709" spans="25:27" x14ac:dyDescent="0.25">
      <c r="Y709">
        <v>33148</v>
      </c>
      <c r="Z709" t="s">
        <v>644</v>
      </c>
      <c r="AA709" t="s">
        <v>625</v>
      </c>
    </row>
    <row r="710" spans="25:27" x14ac:dyDescent="0.25">
      <c r="Y710">
        <v>33149</v>
      </c>
      <c r="Z710" t="s">
        <v>646</v>
      </c>
      <c r="AA710" t="s">
        <v>625</v>
      </c>
    </row>
    <row r="711" spans="25:27" x14ac:dyDescent="0.25">
      <c r="Y711">
        <v>33150</v>
      </c>
      <c r="Z711" t="s">
        <v>644</v>
      </c>
      <c r="AA711" t="s">
        <v>625</v>
      </c>
    </row>
    <row r="712" spans="25:27" x14ac:dyDescent="0.25">
      <c r="Y712">
        <v>33151</v>
      </c>
      <c r="Z712" t="s">
        <v>644</v>
      </c>
      <c r="AA712" t="s">
        <v>625</v>
      </c>
    </row>
    <row r="713" spans="25:27" x14ac:dyDescent="0.25">
      <c r="Y713">
        <v>33152</v>
      </c>
      <c r="Z713" t="s">
        <v>644</v>
      </c>
      <c r="AA713" t="s">
        <v>625</v>
      </c>
    </row>
    <row r="714" spans="25:27" x14ac:dyDescent="0.25">
      <c r="Y714">
        <v>33153</v>
      </c>
      <c r="Z714" t="s">
        <v>644</v>
      </c>
      <c r="AA714" t="s">
        <v>625</v>
      </c>
    </row>
    <row r="715" spans="25:27" x14ac:dyDescent="0.25">
      <c r="Y715">
        <v>33154</v>
      </c>
      <c r="Z715" t="s">
        <v>645</v>
      </c>
      <c r="AA715" t="s">
        <v>625</v>
      </c>
    </row>
    <row r="716" spans="25:27" x14ac:dyDescent="0.25">
      <c r="Y716">
        <v>33155</v>
      </c>
      <c r="Z716" t="s">
        <v>644</v>
      </c>
      <c r="AA716" t="s">
        <v>625</v>
      </c>
    </row>
    <row r="717" spans="25:27" x14ac:dyDescent="0.25">
      <c r="Y717">
        <v>33156</v>
      </c>
      <c r="Z717" t="s">
        <v>644</v>
      </c>
      <c r="AA717" t="s">
        <v>625</v>
      </c>
    </row>
    <row r="718" spans="25:27" x14ac:dyDescent="0.25">
      <c r="Y718">
        <v>33157</v>
      </c>
      <c r="Z718" t="s">
        <v>644</v>
      </c>
      <c r="AA718" t="s">
        <v>625</v>
      </c>
    </row>
    <row r="719" spans="25:27" x14ac:dyDescent="0.25">
      <c r="Y719">
        <v>33158</v>
      </c>
      <c r="Z719" t="s">
        <v>644</v>
      </c>
      <c r="AA719" t="s">
        <v>625</v>
      </c>
    </row>
    <row r="720" spans="25:27" x14ac:dyDescent="0.25">
      <c r="Y720">
        <v>33159</v>
      </c>
      <c r="Z720" t="s">
        <v>644</v>
      </c>
      <c r="AA720" t="s">
        <v>625</v>
      </c>
    </row>
    <row r="721" spans="25:27" x14ac:dyDescent="0.25">
      <c r="Y721">
        <v>33160</v>
      </c>
      <c r="Z721" t="s">
        <v>647</v>
      </c>
      <c r="AA721" t="s">
        <v>625</v>
      </c>
    </row>
    <row r="722" spans="25:27" x14ac:dyDescent="0.25">
      <c r="Y722">
        <v>33161</v>
      </c>
      <c r="Z722" t="s">
        <v>644</v>
      </c>
      <c r="AA722" t="s">
        <v>625</v>
      </c>
    </row>
    <row r="723" spans="25:27" x14ac:dyDescent="0.25">
      <c r="Y723">
        <v>33162</v>
      </c>
      <c r="Z723" t="s">
        <v>644</v>
      </c>
      <c r="AA723" t="s">
        <v>625</v>
      </c>
    </row>
    <row r="724" spans="25:27" x14ac:dyDescent="0.25">
      <c r="Y724">
        <v>33163</v>
      </c>
      <c r="Z724" t="s">
        <v>644</v>
      </c>
      <c r="AA724" t="s">
        <v>625</v>
      </c>
    </row>
    <row r="725" spans="25:27" x14ac:dyDescent="0.25">
      <c r="Y725">
        <v>33164</v>
      </c>
      <c r="Z725" t="s">
        <v>644</v>
      </c>
      <c r="AA725" t="s">
        <v>625</v>
      </c>
    </row>
    <row r="726" spans="25:27" x14ac:dyDescent="0.25">
      <c r="Y726">
        <v>33165</v>
      </c>
      <c r="Z726" t="s">
        <v>644</v>
      </c>
      <c r="AA726" t="s">
        <v>625</v>
      </c>
    </row>
    <row r="727" spans="25:27" x14ac:dyDescent="0.25">
      <c r="Y727">
        <v>33166</v>
      </c>
      <c r="Z727" t="s">
        <v>644</v>
      </c>
      <c r="AA727" t="s">
        <v>625</v>
      </c>
    </row>
    <row r="728" spans="25:27" x14ac:dyDescent="0.25">
      <c r="Y728">
        <v>33167</v>
      </c>
      <c r="Z728" t="s">
        <v>644</v>
      </c>
      <c r="AA728" t="s">
        <v>625</v>
      </c>
    </row>
    <row r="729" spans="25:27" x14ac:dyDescent="0.25">
      <c r="Y729">
        <v>33168</v>
      </c>
      <c r="Z729" t="s">
        <v>644</v>
      </c>
      <c r="AA729" t="s">
        <v>625</v>
      </c>
    </row>
    <row r="730" spans="25:27" x14ac:dyDescent="0.25">
      <c r="Y730">
        <v>33169</v>
      </c>
      <c r="Z730" t="s">
        <v>644</v>
      </c>
      <c r="AA730" t="s">
        <v>625</v>
      </c>
    </row>
    <row r="731" spans="25:27" x14ac:dyDescent="0.25">
      <c r="Y731">
        <v>33170</v>
      </c>
      <c r="Z731" t="s">
        <v>644</v>
      </c>
      <c r="AA731" t="s">
        <v>625</v>
      </c>
    </row>
    <row r="732" spans="25:27" x14ac:dyDescent="0.25">
      <c r="Y732">
        <v>33172</v>
      </c>
      <c r="Z732" t="s">
        <v>644</v>
      </c>
      <c r="AA732" t="s">
        <v>625</v>
      </c>
    </row>
    <row r="733" spans="25:27" x14ac:dyDescent="0.25">
      <c r="Y733">
        <v>33173</v>
      </c>
      <c r="Z733" t="s">
        <v>644</v>
      </c>
      <c r="AA733" t="s">
        <v>625</v>
      </c>
    </row>
    <row r="734" spans="25:27" x14ac:dyDescent="0.25">
      <c r="Y734">
        <v>33174</v>
      </c>
      <c r="Z734" t="s">
        <v>644</v>
      </c>
      <c r="AA734" t="s">
        <v>625</v>
      </c>
    </row>
    <row r="735" spans="25:27" x14ac:dyDescent="0.25">
      <c r="Y735">
        <v>33175</v>
      </c>
      <c r="Z735" t="s">
        <v>644</v>
      </c>
      <c r="AA735" t="s">
        <v>625</v>
      </c>
    </row>
    <row r="736" spans="25:27" x14ac:dyDescent="0.25">
      <c r="Y736">
        <v>33176</v>
      </c>
      <c r="Z736" t="s">
        <v>644</v>
      </c>
      <c r="AA736" t="s">
        <v>625</v>
      </c>
    </row>
    <row r="737" spans="25:27" x14ac:dyDescent="0.25">
      <c r="Y737">
        <v>33177</v>
      </c>
      <c r="Z737" t="s">
        <v>644</v>
      </c>
      <c r="AA737" t="s">
        <v>625</v>
      </c>
    </row>
    <row r="738" spans="25:27" x14ac:dyDescent="0.25">
      <c r="Y738">
        <v>33178</v>
      </c>
      <c r="Z738" t="s">
        <v>644</v>
      </c>
      <c r="AA738" t="s">
        <v>625</v>
      </c>
    </row>
    <row r="739" spans="25:27" x14ac:dyDescent="0.25">
      <c r="Y739">
        <v>33179</v>
      </c>
      <c r="Z739" t="s">
        <v>644</v>
      </c>
      <c r="AA739" t="s">
        <v>625</v>
      </c>
    </row>
    <row r="740" spans="25:27" x14ac:dyDescent="0.25">
      <c r="Y740">
        <v>33180</v>
      </c>
      <c r="Z740" t="s">
        <v>644</v>
      </c>
      <c r="AA740" t="s">
        <v>625</v>
      </c>
    </row>
    <row r="741" spans="25:27" x14ac:dyDescent="0.25">
      <c r="Y741">
        <v>33181</v>
      </c>
      <c r="Z741" t="s">
        <v>644</v>
      </c>
      <c r="AA741" t="s">
        <v>625</v>
      </c>
    </row>
    <row r="742" spans="25:27" x14ac:dyDescent="0.25">
      <c r="Y742">
        <v>33182</v>
      </c>
      <c r="Z742" t="s">
        <v>644</v>
      </c>
      <c r="AA742" t="s">
        <v>625</v>
      </c>
    </row>
    <row r="743" spans="25:27" x14ac:dyDescent="0.25">
      <c r="Y743">
        <v>33183</v>
      </c>
      <c r="Z743" t="s">
        <v>644</v>
      </c>
      <c r="AA743" t="s">
        <v>625</v>
      </c>
    </row>
    <row r="744" spans="25:27" x14ac:dyDescent="0.25">
      <c r="Y744">
        <v>33184</v>
      </c>
      <c r="Z744" t="s">
        <v>644</v>
      </c>
      <c r="AA744" t="s">
        <v>625</v>
      </c>
    </row>
    <row r="745" spans="25:27" x14ac:dyDescent="0.25">
      <c r="Y745">
        <v>33185</v>
      </c>
      <c r="Z745" t="s">
        <v>644</v>
      </c>
      <c r="AA745" t="s">
        <v>625</v>
      </c>
    </row>
    <row r="746" spans="25:27" x14ac:dyDescent="0.25">
      <c r="Y746">
        <v>33186</v>
      </c>
      <c r="Z746" t="s">
        <v>644</v>
      </c>
      <c r="AA746" t="s">
        <v>625</v>
      </c>
    </row>
    <row r="747" spans="25:27" x14ac:dyDescent="0.25">
      <c r="Y747">
        <v>33187</v>
      </c>
      <c r="Z747" t="s">
        <v>644</v>
      </c>
      <c r="AA747" t="s">
        <v>625</v>
      </c>
    </row>
    <row r="748" spans="25:27" x14ac:dyDescent="0.25">
      <c r="Y748">
        <v>33188</v>
      </c>
      <c r="Z748" t="s">
        <v>644</v>
      </c>
      <c r="AA748" t="s">
        <v>625</v>
      </c>
    </row>
    <row r="749" spans="25:27" x14ac:dyDescent="0.25">
      <c r="Y749">
        <v>33189</v>
      </c>
      <c r="Z749" t="s">
        <v>644</v>
      </c>
      <c r="AA749" t="s">
        <v>625</v>
      </c>
    </row>
    <row r="750" spans="25:27" x14ac:dyDescent="0.25">
      <c r="Y750">
        <v>33190</v>
      </c>
      <c r="Z750" t="s">
        <v>644</v>
      </c>
      <c r="AA750" t="s">
        <v>625</v>
      </c>
    </row>
    <row r="751" spans="25:27" x14ac:dyDescent="0.25">
      <c r="Y751">
        <v>33193</v>
      </c>
      <c r="Z751" t="s">
        <v>644</v>
      </c>
      <c r="AA751" t="s">
        <v>625</v>
      </c>
    </row>
    <row r="752" spans="25:27" x14ac:dyDescent="0.25">
      <c r="Y752">
        <v>33194</v>
      </c>
      <c r="Z752" t="s">
        <v>644</v>
      </c>
      <c r="AA752" t="s">
        <v>625</v>
      </c>
    </row>
    <row r="753" spans="25:27" x14ac:dyDescent="0.25">
      <c r="Y753">
        <v>33195</v>
      </c>
      <c r="Z753" t="s">
        <v>644</v>
      </c>
      <c r="AA753" t="s">
        <v>625</v>
      </c>
    </row>
    <row r="754" spans="25:27" x14ac:dyDescent="0.25">
      <c r="Y754">
        <v>33196</v>
      </c>
      <c r="Z754" t="s">
        <v>644</v>
      </c>
      <c r="AA754" t="s">
        <v>625</v>
      </c>
    </row>
    <row r="755" spans="25:27" x14ac:dyDescent="0.25">
      <c r="Y755">
        <v>33197</v>
      </c>
      <c r="Z755" t="s">
        <v>644</v>
      </c>
      <c r="AA755" t="s">
        <v>625</v>
      </c>
    </row>
    <row r="756" spans="25:27" x14ac:dyDescent="0.25">
      <c r="Y756">
        <v>33199</v>
      </c>
      <c r="Z756" t="s">
        <v>644</v>
      </c>
      <c r="AA756" t="s">
        <v>625</v>
      </c>
    </row>
    <row r="757" spans="25:27" x14ac:dyDescent="0.25">
      <c r="Y757">
        <v>33231</v>
      </c>
      <c r="Z757" t="s">
        <v>644</v>
      </c>
      <c r="AA757" t="s">
        <v>625</v>
      </c>
    </row>
    <row r="758" spans="25:27" x14ac:dyDescent="0.25">
      <c r="Y758">
        <v>33233</v>
      </c>
      <c r="Z758" t="s">
        <v>644</v>
      </c>
      <c r="AA758" t="s">
        <v>625</v>
      </c>
    </row>
    <row r="759" spans="25:27" x14ac:dyDescent="0.25">
      <c r="Y759">
        <v>33234</v>
      </c>
      <c r="Z759" t="s">
        <v>644</v>
      </c>
      <c r="AA759" t="s">
        <v>625</v>
      </c>
    </row>
    <row r="760" spans="25:27" x14ac:dyDescent="0.25">
      <c r="Y760">
        <v>33238</v>
      </c>
      <c r="Z760" t="s">
        <v>644</v>
      </c>
      <c r="AA760" t="s">
        <v>625</v>
      </c>
    </row>
    <row r="761" spans="25:27" x14ac:dyDescent="0.25">
      <c r="Y761">
        <v>33239</v>
      </c>
      <c r="Z761" t="s">
        <v>645</v>
      </c>
      <c r="AA761" t="s">
        <v>625</v>
      </c>
    </row>
    <row r="762" spans="25:27" x14ac:dyDescent="0.25">
      <c r="Y762">
        <v>33242</v>
      </c>
      <c r="Z762" t="s">
        <v>644</v>
      </c>
      <c r="AA762" t="s">
        <v>625</v>
      </c>
    </row>
    <row r="763" spans="25:27" x14ac:dyDescent="0.25">
      <c r="Y763">
        <v>33243</v>
      </c>
      <c r="Z763" t="s">
        <v>644</v>
      </c>
      <c r="AA763" t="s">
        <v>625</v>
      </c>
    </row>
    <row r="764" spans="25:27" x14ac:dyDescent="0.25">
      <c r="Y764">
        <v>33245</v>
      </c>
      <c r="Z764" t="s">
        <v>644</v>
      </c>
      <c r="AA764" t="s">
        <v>625</v>
      </c>
    </row>
    <row r="765" spans="25:27" x14ac:dyDescent="0.25">
      <c r="Y765">
        <v>33247</v>
      </c>
      <c r="Z765" t="s">
        <v>644</v>
      </c>
      <c r="AA765" t="s">
        <v>625</v>
      </c>
    </row>
    <row r="766" spans="25:27" x14ac:dyDescent="0.25">
      <c r="Y766">
        <v>33255</v>
      </c>
      <c r="Z766" t="s">
        <v>644</v>
      </c>
      <c r="AA766" t="s">
        <v>625</v>
      </c>
    </row>
    <row r="767" spans="25:27" x14ac:dyDescent="0.25">
      <c r="Y767">
        <v>33256</v>
      </c>
      <c r="Z767" t="s">
        <v>644</v>
      </c>
      <c r="AA767" t="s">
        <v>625</v>
      </c>
    </row>
    <row r="768" spans="25:27" x14ac:dyDescent="0.25">
      <c r="Y768">
        <v>33257</v>
      </c>
      <c r="Z768" t="s">
        <v>644</v>
      </c>
      <c r="AA768" t="s">
        <v>625</v>
      </c>
    </row>
    <row r="769" spans="25:27" x14ac:dyDescent="0.25">
      <c r="Y769">
        <v>33261</v>
      </c>
      <c r="Z769" t="s">
        <v>644</v>
      </c>
      <c r="AA769" t="s">
        <v>625</v>
      </c>
    </row>
    <row r="770" spans="25:27" x14ac:dyDescent="0.25">
      <c r="Y770">
        <v>33265</v>
      </c>
      <c r="Z770" t="s">
        <v>644</v>
      </c>
      <c r="AA770" t="s">
        <v>625</v>
      </c>
    </row>
    <row r="771" spans="25:27" x14ac:dyDescent="0.25">
      <c r="Y771">
        <v>33266</v>
      </c>
      <c r="Z771" t="s">
        <v>644</v>
      </c>
      <c r="AA771" t="s">
        <v>625</v>
      </c>
    </row>
    <row r="772" spans="25:27" x14ac:dyDescent="0.25">
      <c r="Y772">
        <v>33269</v>
      </c>
      <c r="Z772" t="s">
        <v>644</v>
      </c>
      <c r="AA772" t="s">
        <v>625</v>
      </c>
    </row>
    <row r="773" spans="25:27" x14ac:dyDescent="0.25">
      <c r="Y773">
        <v>33280</v>
      </c>
      <c r="Z773" t="s">
        <v>644</v>
      </c>
      <c r="AA773" t="s">
        <v>625</v>
      </c>
    </row>
    <row r="774" spans="25:27" x14ac:dyDescent="0.25">
      <c r="Y774">
        <v>33283</v>
      </c>
      <c r="Z774" t="s">
        <v>644</v>
      </c>
      <c r="AA774" t="s">
        <v>625</v>
      </c>
    </row>
    <row r="775" spans="25:27" x14ac:dyDescent="0.25">
      <c r="Y775">
        <v>33296</v>
      </c>
      <c r="Z775" t="s">
        <v>644</v>
      </c>
      <c r="AA775" t="s">
        <v>625</v>
      </c>
    </row>
    <row r="776" spans="25:27" x14ac:dyDescent="0.25">
      <c r="Y776">
        <v>33299</v>
      </c>
      <c r="Z776" t="s">
        <v>644</v>
      </c>
      <c r="AA776" t="s">
        <v>625</v>
      </c>
    </row>
    <row r="777" spans="25:27" x14ac:dyDescent="0.25">
      <c r="Y777">
        <v>33301</v>
      </c>
      <c r="Z777" t="s">
        <v>648</v>
      </c>
      <c r="AA777" t="s">
        <v>627</v>
      </c>
    </row>
    <row r="778" spans="25:27" x14ac:dyDescent="0.25">
      <c r="Y778">
        <v>33302</v>
      </c>
      <c r="Z778" t="s">
        <v>648</v>
      </c>
      <c r="AA778" t="s">
        <v>627</v>
      </c>
    </row>
    <row r="779" spans="25:27" x14ac:dyDescent="0.25">
      <c r="Y779">
        <v>33303</v>
      </c>
      <c r="Z779" t="s">
        <v>648</v>
      </c>
      <c r="AA779" t="s">
        <v>627</v>
      </c>
    </row>
    <row r="780" spans="25:27" x14ac:dyDescent="0.25">
      <c r="Y780">
        <v>33304</v>
      </c>
      <c r="Z780" t="s">
        <v>648</v>
      </c>
      <c r="AA780" t="s">
        <v>627</v>
      </c>
    </row>
    <row r="781" spans="25:27" x14ac:dyDescent="0.25">
      <c r="Y781">
        <v>33305</v>
      </c>
      <c r="Z781" t="s">
        <v>648</v>
      </c>
      <c r="AA781" t="s">
        <v>627</v>
      </c>
    </row>
    <row r="782" spans="25:27" x14ac:dyDescent="0.25">
      <c r="Y782">
        <v>33306</v>
      </c>
      <c r="Z782" t="s">
        <v>648</v>
      </c>
      <c r="AA782" t="s">
        <v>627</v>
      </c>
    </row>
    <row r="783" spans="25:27" x14ac:dyDescent="0.25">
      <c r="Y783">
        <v>33307</v>
      </c>
      <c r="Z783" t="s">
        <v>648</v>
      </c>
      <c r="AA783" t="s">
        <v>627</v>
      </c>
    </row>
    <row r="784" spans="25:27" x14ac:dyDescent="0.25">
      <c r="Y784">
        <v>33308</v>
      </c>
      <c r="Z784" t="s">
        <v>648</v>
      </c>
      <c r="AA784" t="s">
        <v>627</v>
      </c>
    </row>
    <row r="785" spans="25:27" x14ac:dyDescent="0.25">
      <c r="Y785">
        <v>33309</v>
      </c>
      <c r="Z785" t="s">
        <v>648</v>
      </c>
      <c r="AA785" t="s">
        <v>627</v>
      </c>
    </row>
    <row r="786" spans="25:27" x14ac:dyDescent="0.25">
      <c r="Y786">
        <v>33310</v>
      </c>
      <c r="Z786" t="s">
        <v>648</v>
      </c>
      <c r="AA786" t="s">
        <v>627</v>
      </c>
    </row>
    <row r="787" spans="25:27" x14ac:dyDescent="0.25">
      <c r="Y787">
        <v>33311</v>
      </c>
      <c r="Z787" t="s">
        <v>648</v>
      </c>
      <c r="AA787" t="s">
        <v>627</v>
      </c>
    </row>
    <row r="788" spans="25:27" x14ac:dyDescent="0.25">
      <c r="Y788">
        <v>33312</v>
      </c>
      <c r="Z788" t="s">
        <v>648</v>
      </c>
      <c r="AA788" t="s">
        <v>627</v>
      </c>
    </row>
    <row r="789" spans="25:27" x14ac:dyDescent="0.25">
      <c r="Y789">
        <v>33313</v>
      </c>
      <c r="Z789" t="s">
        <v>648</v>
      </c>
      <c r="AA789" t="s">
        <v>627</v>
      </c>
    </row>
    <row r="790" spans="25:27" x14ac:dyDescent="0.25">
      <c r="Y790">
        <v>33314</v>
      </c>
      <c r="Z790" t="s">
        <v>648</v>
      </c>
      <c r="AA790" t="s">
        <v>627</v>
      </c>
    </row>
    <row r="791" spans="25:27" x14ac:dyDescent="0.25">
      <c r="Y791">
        <v>33315</v>
      </c>
      <c r="Z791" t="s">
        <v>648</v>
      </c>
      <c r="AA791" t="s">
        <v>627</v>
      </c>
    </row>
    <row r="792" spans="25:27" x14ac:dyDescent="0.25">
      <c r="Y792">
        <v>33316</v>
      </c>
      <c r="Z792" t="s">
        <v>648</v>
      </c>
      <c r="AA792" t="s">
        <v>627</v>
      </c>
    </row>
    <row r="793" spans="25:27" x14ac:dyDescent="0.25">
      <c r="Y793">
        <v>33317</v>
      </c>
      <c r="Z793" t="s">
        <v>648</v>
      </c>
      <c r="AA793" t="s">
        <v>627</v>
      </c>
    </row>
    <row r="794" spans="25:27" x14ac:dyDescent="0.25">
      <c r="Y794">
        <v>33318</v>
      </c>
      <c r="Z794" t="s">
        <v>648</v>
      </c>
      <c r="AA794" t="s">
        <v>627</v>
      </c>
    </row>
    <row r="795" spans="25:27" x14ac:dyDescent="0.25">
      <c r="Y795">
        <v>33319</v>
      </c>
      <c r="Z795" t="s">
        <v>648</v>
      </c>
      <c r="AA795" t="s">
        <v>627</v>
      </c>
    </row>
    <row r="796" spans="25:27" x14ac:dyDescent="0.25">
      <c r="Y796">
        <v>33320</v>
      </c>
      <c r="Z796" t="s">
        <v>648</v>
      </c>
      <c r="AA796" t="s">
        <v>627</v>
      </c>
    </row>
    <row r="797" spans="25:27" x14ac:dyDescent="0.25">
      <c r="Y797">
        <v>33321</v>
      </c>
      <c r="Z797" t="s">
        <v>648</v>
      </c>
      <c r="AA797" t="s">
        <v>627</v>
      </c>
    </row>
    <row r="798" spans="25:27" x14ac:dyDescent="0.25">
      <c r="Y798">
        <v>33322</v>
      </c>
      <c r="Z798" t="s">
        <v>648</v>
      </c>
      <c r="AA798" t="s">
        <v>627</v>
      </c>
    </row>
    <row r="799" spans="25:27" x14ac:dyDescent="0.25">
      <c r="Y799">
        <v>33323</v>
      </c>
      <c r="Z799" t="s">
        <v>648</v>
      </c>
      <c r="AA799" t="s">
        <v>627</v>
      </c>
    </row>
    <row r="800" spans="25:27" x14ac:dyDescent="0.25">
      <c r="Y800">
        <v>33324</v>
      </c>
      <c r="Z800" t="s">
        <v>648</v>
      </c>
      <c r="AA800" t="s">
        <v>627</v>
      </c>
    </row>
    <row r="801" spans="25:27" x14ac:dyDescent="0.25">
      <c r="Y801">
        <v>33325</v>
      </c>
      <c r="Z801" t="s">
        <v>648</v>
      </c>
      <c r="AA801" t="s">
        <v>627</v>
      </c>
    </row>
    <row r="802" spans="25:27" x14ac:dyDescent="0.25">
      <c r="Y802">
        <v>33326</v>
      </c>
      <c r="Z802" t="s">
        <v>648</v>
      </c>
      <c r="AA802" t="s">
        <v>627</v>
      </c>
    </row>
    <row r="803" spans="25:27" x14ac:dyDescent="0.25">
      <c r="Y803">
        <v>33327</v>
      </c>
      <c r="Z803" t="s">
        <v>648</v>
      </c>
      <c r="AA803" t="s">
        <v>627</v>
      </c>
    </row>
    <row r="804" spans="25:27" x14ac:dyDescent="0.25">
      <c r="Y804">
        <v>33328</v>
      </c>
      <c r="Z804" t="s">
        <v>648</v>
      </c>
      <c r="AA804" t="s">
        <v>627</v>
      </c>
    </row>
    <row r="805" spans="25:27" x14ac:dyDescent="0.25">
      <c r="Y805">
        <v>33329</v>
      </c>
      <c r="Z805" t="s">
        <v>648</v>
      </c>
      <c r="AA805" t="s">
        <v>627</v>
      </c>
    </row>
    <row r="806" spans="25:27" x14ac:dyDescent="0.25">
      <c r="Y806">
        <v>33330</v>
      </c>
      <c r="Z806" t="s">
        <v>648</v>
      </c>
      <c r="AA806" t="s">
        <v>627</v>
      </c>
    </row>
    <row r="807" spans="25:27" x14ac:dyDescent="0.25">
      <c r="Y807">
        <v>33331</v>
      </c>
      <c r="Z807" t="s">
        <v>648</v>
      </c>
      <c r="AA807" t="s">
        <v>627</v>
      </c>
    </row>
    <row r="808" spans="25:27" x14ac:dyDescent="0.25">
      <c r="Y808">
        <v>33332</v>
      </c>
      <c r="Z808" t="s">
        <v>648</v>
      </c>
      <c r="AA808" t="s">
        <v>627</v>
      </c>
    </row>
    <row r="809" spans="25:27" x14ac:dyDescent="0.25">
      <c r="Y809">
        <v>33334</v>
      </c>
      <c r="Z809" t="s">
        <v>648</v>
      </c>
      <c r="AA809" t="s">
        <v>627</v>
      </c>
    </row>
    <row r="810" spans="25:27" x14ac:dyDescent="0.25">
      <c r="Y810">
        <v>33335</v>
      </c>
      <c r="Z810" t="s">
        <v>648</v>
      </c>
      <c r="AA810" t="s">
        <v>627</v>
      </c>
    </row>
    <row r="811" spans="25:27" x14ac:dyDescent="0.25">
      <c r="Y811">
        <v>33336</v>
      </c>
      <c r="Z811" t="s">
        <v>648</v>
      </c>
      <c r="AA811" t="s">
        <v>627</v>
      </c>
    </row>
    <row r="812" spans="25:27" x14ac:dyDescent="0.25">
      <c r="Y812">
        <v>33337</v>
      </c>
      <c r="Z812" t="s">
        <v>648</v>
      </c>
      <c r="AA812" t="s">
        <v>627</v>
      </c>
    </row>
    <row r="813" spans="25:27" x14ac:dyDescent="0.25">
      <c r="Y813">
        <v>33338</v>
      </c>
      <c r="Z813" t="s">
        <v>648</v>
      </c>
      <c r="AA813" t="s">
        <v>627</v>
      </c>
    </row>
    <row r="814" spans="25:27" x14ac:dyDescent="0.25">
      <c r="Y814">
        <v>33339</v>
      </c>
      <c r="Z814" t="s">
        <v>648</v>
      </c>
      <c r="AA814" t="s">
        <v>627</v>
      </c>
    </row>
    <row r="815" spans="25:27" x14ac:dyDescent="0.25">
      <c r="Y815">
        <v>33340</v>
      </c>
      <c r="Z815" t="s">
        <v>648</v>
      </c>
      <c r="AA815" t="s">
        <v>627</v>
      </c>
    </row>
    <row r="816" spans="25:27" x14ac:dyDescent="0.25">
      <c r="Y816">
        <v>33345</v>
      </c>
      <c r="Z816" t="s">
        <v>648</v>
      </c>
      <c r="AA816" t="s">
        <v>627</v>
      </c>
    </row>
    <row r="817" spans="25:27" x14ac:dyDescent="0.25">
      <c r="Y817">
        <v>33346</v>
      </c>
      <c r="Z817" t="s">
        <v>648</v>
      </c>
      <c r="AA817" t="s">
        <v>627</v>
      </c>
    </row>
    <row r="818" spans="25:27" x14ac:dyDescent="0.25">
      <c r="Y818">
        <v>33348</v>
      </c>
      <c r="Z818" t="s">
        <v>648</v>
      </c>
      <c r="AA818" t="s">
        <v>627</v>
      </c>
    </row>
    <row r="819" spans="25:27" x14ac:dyDescent="0.25">
      <c r="Y819">
        <v>33349</v>
      </c>
      <c r="Z819" t="s">
        <v>648</v>
      </c>
      <c r="AA819" t="s">
        <v>627</v>
      </c>
    </row>
    <row r="820" spans="25:27" x14ac:dyDescent="0.25">
      <c r="Y820">
        <v>33351</v>
      </c>
      <c r="Z820" t="s">
        <v>648</v>
      </c>
      <c r="AA820" t="s">
        <v>627</v>
      </c>
    </row>
    <row r="821" spans="25:27" x14ac:dyDescent="0.25">
      <c r="Y821">
        <v>33355</v>
      </c>
      <c r="Z821" t="s">
        <v>648</v>
      </c>
      <c r="AA821" t="s">
        <v>627</v>
      </c>
    </row>
    <row r="822" spans="25:27" x14ac:dyDescent="0.25">
      <c r="Y822">
        <v>33359</v>
      </c>
      <c r="Z822" t="s">
        <v>648</v>
      </c>
      <c r="AA822" t="s">
        <v>627</v>
      </c>
    </row>
    <row r="823" spans="25:27" x14ac:dyDescent="0.25">
      <c r="Y823">
        <v>33388</v>
      </c>
      <c r="Z823" t="s">
        <v>648</v>
      </c>
      <c r="AA823" t="s">
        <v>627</v>
      </c>
    </row>
    <row r="824" spans="25:27" x14ac:dyDescent="0.25">
      <c r="Y824">
        <v>33394</v>
      </c>
      <c r="Z824" t="s">
        <v>648</v>
      </c>
      <c r="AA824" t="s">
        <v>627</v>
      </c>
    </row>
    <row r="825" spans="25:27" x14ac:dyDescent="0.25">
      <c r="Y825">
        <v>33401</v>
      </c>
      <c r="Z825" t="s">
        <v>649</v>
      </c>
      <c r="AA825" t="s">
        <v>650</v>
      </c>
    </row>
    <row r="826" spans="25:27" x14ac:dyDescent="0.25">
      <c r="Y826">
        <v>33402</v>
      </c>
      <c r="Z826" t="s">
        <v>649</v>
      </c>
      <c r="AA826" t="s">
        <v>650</v>
      </c>
    </row>
    <row r="827" spans="25:27" x14ac:dyDescent="0.25">
      <c r="Y827">
        <v>33403</v>
      </c>
      <c r="Z827" t="s">
        <v>649</v>
      </c>
      <c r="AA827" t="s">
        <v>650</v>
      </c>
    </row>
    <row r="828" spans="25:27" x14ac:dyDescent="0.25">
      <c r="Y828">
        <v>33404</v>
      </c>
      <c r="Z828" t="s">
        <v>649</v>
      </c>
      <c r="AA828" t="s">
        <v>650</v>
      </c>
    </row>
    <row r="829" spans="25:27" x14ac:dyDescent="0.25">
      <c r="Y829">
        <v>33405</v>
      </c>
      <c r="Z829" t="s">
        <v>649</v>
      </c>
      <c r="AA829" t="s">
        <v>650</v>
      </c>
    </row>
    <row r="830" spans="25:27" x14ac:dyDescent="0.25">
      <c r="Y830">
        <v>33406</v>
      </c>
      <c r="Z830" t="s">
        <v>649</v>
      </c>
      <c r="AA830" t="s">
        <v>650</v>
      </c>
    </row>
    <row r="831" spans="25:27" x14ac:dyDescent="0.25">
      <c r="Y831">
        <v>33407</v>
      </c>
      <c r="Z831" t="s">
        <v>649</v>
      </c>
      <c r="AA831" t="s">
        <v>650</v>
      </c>
    </row>
    <row r="832" spans="25:27" x14ac:dyDescent="0.25">
      <c r="Y832">
        <v>33408</v>
      </c>
      <c r="Z832" t="s">
        <v>651</v>
      </c>
      <c r="AA832" t="s">
        <v>650</v>
      </c>
    </row>
    <row r="833" spans="25:27" x14ac:dyDescent="0.25">
      <c r="Y833">
        <v>33409</v>
      </c>
      <c r="Z833" t="s">
        <v>649</v>
      </c>
      <c r="AA833" t="s">
        <v>650</v>
      </c>
    </row>
    <row r="834" spans="25:27" x14ac:dyDescent="0.25">
      <c r="Y834">
        <v>33410</v>
      </c>
      <c r="Z834" t="s">
        <v>652</v>
      </c>
      <c r="AA834" t="s">
        <v>650</v>
      </c>
    </row>
    <row r="835" spans="25:27" x14ac:dyDescent="0.25">
      <c r="Y835">
        <v>33411</v>
      </c>
      <c r="Z835" t="s">
        <v>649</v>
      </c>
      <c r="AA835" t="s">
        <v>650</v>
      </c>
    </row>
    <row r="836" spans="25:27" x14ac:dyDescent="0.25">
      <c r="Y836">
        <v>33412</v>
      </c>
      <c r="Z836" t="s">
        <v>649</v>
      </c>
      <c r="AA836" t="s">
        <v>650</v>
      </c>
    </row>
    <row r="837" spans="25:27" x14ac:dyDescent="0.25">
      <c r="Y837">
        <v>33413</v>
      </c>
      <c r="Z837" t="s">
        <v>649</v>
      </c>
      <c r="AA837" t="s">
        <v>650</v>
      </c>
    </row>
    <row r="838" spans="25:27" x14ac:dyDescent="0.25">
      <c r="Y838">
        <v>33414</v>
      </c>
      <c r="Z838" t="s">
        <v>649</v>
      </c>
      <c r="AA838" t="s">
        <v>650</v>
      </c>
    </row>
    <row r="839" spans="25:27" x14ac:dyDescent="0.25">
      <c r="Y839">
        <v>33415</v>
      </c>
      <c r="Z839" t="s">
        <v>649</v>
      </c>
      <c r="AA839" t="s">
        <v>650</v>
      </c>
    </row>
    <row r="840" spans="25:27" x14ac:dyDescent="0.25">
      <c r="Y840">
        <v>33416</v>
      </c>
      <c r="Z840" t="s">
        <v>649</v>
      </c>
      <c r="AA840" t="s">
        <v>650</v>
      </c>
    </row>
    <row r="841" spans="25:27" x14ac:dyDescent="0.25">
      <c r="Y841">
        <v>33417</v>
      </c>
      <c r="Z841" t="s">
        <v>649</v>
      </c>
      <c r="AA841" t="s">
        <v>650</v>
      </c>
    </row>
    <row r="842" spans="25:27" x14ac:dyDescent="0.25">
      <c r="Y842">
        <v>33418</v>
      </c>
      <c r="Z842" t="s">
        <v>652</v>
      </c>
      <c r="AA842" t="s">
        <v>650</v>
      </c>
    </row>
    <row r="843" spans="25:27" x14ac:dyDescent="0.25">
      <c r="Y843">
        <v>33419</v>
      </c>
      <c r="Z843" t="s">
        <v>649</v>
      </c>
      <c r="AA843" t="s">
        <v>650</v>
      </c>
    </row>
    <row r="844" spans="25:27" x14ac:dyDescent="0.25">
      <c r="Y844">
        <v>33420</v>
      </c>
      <c r="Z844" t="s">
        <v>649</v>
      </c>
      <c r="AA844" t="s">
        <v>650</v>
      </c>
    </row>
    <row r="845" spans="25:27" x14ac:dyDescent="0.25">
      <c r="Y845">
        <v>33421</v>
      </c>
      <c r="Z845" t="s">
        <v>649</v>
      </c>
      <c r="AA845" t="s">
        <v>650</v>
      </c>
    </row>
    <row r="846" spans="25:27" x14ac:dyDescent="0.25">
      <c r="Y846">
        <v>33422</v>
      </c>
      <c r="Z846" t="s">
        <v>649</v>
      </c>
      <c r="AA846" t="s">
        <v>650</v>
      </c>
    </row>
    <row r="847" spans="25:27" x14ac:dyDescent="0.25">
      <c r="Y847">
        <v>33424</v>
      </c>
      <c r="Z847" t="s">
        <v>653</v>
      </c>
      <c r="AA847" t="s">
        <v>650</v>
      </c>
    </row>
    <row r="848" spans="25:27" x14ac:dyDescent="0.25">
      <c r="Y848">
        <v>33425</v>
      </c>
      <c r="Z848" t="s">
        <v>653</v>
      </c>
      <c r="AA848" t="s">
        <v>650</v>
      </c>
    </row>
    <row r="849" spans="25:27" x14ac:dyDescent="0.25">
      <c r="Y849">
        <v>33426</v>
      </c>
      <c r="Z849" t="s">
        <v>653</v>
      </c>
      <c r="AA849" t="s">
        <v>650</v>
      </c>
    </row>
    <row r="850" spans="25:27" x14ac:dyDescent="0.25">
      <c r="Y850">
        <v>33427</v>
      </c>
      <c r="Z850" t="s">
        <v>654</v>
      </c>
      <c r="AA850" t="s">
        <v>650</v>
      </c>
    </row>
    <row r="851" spans="25:27" x14ac:dyDescent="0.25">
      <c r="Y851">
        <v>33428</v>
      </c>
      <c r="Z851" t="s">
        <v>654</v>
      </c>
      <c r="AA851" t="s">
        <v>650</v>
      </c>
    </row>
    <row r="852" spans="25:27" x14ac:dyDescent="0.25">
      <c r="Y852">
        <v>33429</v>
      </c>
      <c r="Z852" t="s">
        <v>654</v>
      </c>
      <c r="AA852" t="s">
        <v>650</v>
      </c>
    </row>
    <row r="853" spans="25:27" x14ac:dyDescent="0.25">
      <c r="Y853">
        <v>33430</v>
      </c>
      <c r="Z853" t="s">
        <v>655</v>
      </c>
      <c r="AA853" t="s">
        <v>650</v>
      </c>
    </row>
    <row r="854" spans="25:27" x14ac:dyDescent="0.25">
      <c r="Y854">
        <v>33431</v>
      </c>
      <c r="Z854" t="s">
        <v>654</v>
      </c>
      <c r="AA854" t="s">
        <v>650</v>
      </c>
    </row>
    <row r="855" spans="25:27" x14ac:dyDescent="0.25">
      <c r="Y855">
        <v>33432</v>
      </c>
      <c r="Z855" t="s">
        <v>654</v>
      </c>
      <c r="AA855" t="s">
        <v>650</v>
      </c>
    </row>
    <row r="856" spans="25:27" x14ac:dyDescent="0.25">
      <c r="Y856">
        <v>33433</v>
      </c>
      <c r="Z856" t="s">
        <v>654</v>
      </c>
      <c r="AA856" t="s">
        <v>650</v>
      </c>
    </row>
    <row r="857" spans="25:27" x14ac:dyDescent="0.25">
      <c r="Y857">
        <v>33434</v>
      </c>
      <c r="Z857" t="s">
        <v>654</v>
      </c>
      <c r="AA857" t="s">
        <v>650</v>
      </c>
    </row>
    <row r="858" spans="25:27" x14ac:dyDescent="0.25">
      <c r="Y858">
        <v>33435</v>
      </c>
      <c r="Z858" t="s">
        <v>653</v>
      </c>
      <c r="AA858" t="s">
        <v>650</v>
      </c>
    </row>
    <row r="859" spans="25:27" x14ac:dyDescent="0.25">
      <c r="Y859">
        <v>33436</v>
      </c>
      <c r="Z859" t="s">
        <v>653</v>
      </c>
      <c r="AA859" t="s">
        <v>650</v>
      </c>
    </row>
    <row r="860" spans="25:27" x14ac:dyDescent="0.25">
      <c r="Y860">
        <v>33437</v>
      </c>
      <c r="Z860" t="s">
        <v>653</v>
      </c>
      <c r="AA860" t="s">
        <v>650</v>
      </c>
    </row>
    <row r="861" spans="25:27" x14ac:dyDescent="0.25">
      <c r="Y861">
        <v>33438</v>
      </c>
      <c r="Z861" t="s">
        <v>656</v>
      </c>
      <c r="AA861" t="s">
        <v>650</v>
      </c>
    </row>
    <row r="862" spans="25:27" x14ac:dyDescent="0.25">
      <c r="Y862">
        <v>33439</v>
      </c>
      <c r="Z862" t="s">
        <v>657</v>
      </c>
      <c r="AA862" t="s">
        <v>650</v>
      </c>
    </row>
    <row r="863" spans="25:27" x14ac:dyDescent="0.25">
      <c r="Y863">
        <v>33440</v>
      </c>
      <c r="Z863" t="s">
        <v>658</v>
      </c>
      <c r="AA863" t="s">
        <v>659</v>
      </c>
    </row>
    <row r="864" spans="25:27" x14ac:dyDescent="0.25">
      <c r="Y864">
        <v>33441</v>
      </c>
      <c r="Z864" t="s">
        <v>660</v>
      </c>
      <c r="AA864" t="s">
        <v>627</v>
      </c>
    </row>
    <row r="865" spans="25:27" x14ac:dyDescent="0.25">
      <c r="Y865">
        <v>33442</v>
      </c>
      <c r="Z865" t="s">
        <v>660</v>
      </c>
      <c r="AA865" t="s">
        <v>627</v>
      </c>
    </row>
    <row r="866" spans="25:27" x14ac:dyDescent="0.25">
      <c r="Y866">
        <v>33443</v>
      </c>
      <c r="Z866" t="s">
        <v>660</v>
      </c>
      <c r="AA866" t="s">
        <v>627</v>
      </c>
    </row>
    <row r="867" spans="25:27" x14ac:dyDescent="0.25">
      <c r="Y867">
        <v>33444</v>
      </c>
      <c r="Z867" t="s">
        <v>661</v>
      </c>
      <c r="AA867" t="s">
        <v>650</v>
      </c>
    </row>
    <row r="868" spans="25:27" x14ac:dyDescent="0.25">
      <c r="Y868">
        <v>33445</v>
      </c>
      <c r="Z868" t="s">
        <v>661</v>
      </c>
      <c r="AA868" t="s">
        <v>650</v>
      </c>
    </row>
    <row r="869" spans="25:27" x14ac:dyDescent="0.25">
      <c r="Y869">
        <v>33446</v>
      </c>
      <c r="Z869" t="s">
        <v>661</v>
      </c>
      <c r="AA869" t="s">
        <v>650</v>
      </c>
    </row>
    <row r="870" spans="25:27" x14ac:dyDescent="0.25">
      <c r="Y870">
        <v>33447</v>
      </c>
      <c r="Z870" t="s">
        <v>661</v>
      </c>
      <c r="AA870" t="s">
        <v>650</v>
      </c>
    </row>
    <row r="871" spans="25:27" x14ac:dyDescent="0.25">
      <c r="Y871">
        <v>33448</v>
      </c>
      <c r="Z871" t="s">
        <v>661</v>
      </c>
      <c r="AA871" t="s">
        <v>650</v>
      </c>
    </row>
    <row r="872" spans="25:27" x14ac:dyDescent="0.25">
      <c r="Y872">
        <v>33454</v>
      </c>
      <c r="Z872" t="s">
        <v>662</v>
      </c>
      <c r="AA872" t="s">
        <v>650</v>
      </c>
    </row>
    <row r="873" spans="25:27" x14ac:dyDescent="0.25">
      <c r="Y873">
        <v>33455</v>
      </c>
      <c r="Z873" t="s">
        <v>663</v>
      </c>
      <c r="AA873" t="s">
        <v>664</v>
      </c>
    </row>
    <row r="874" spans="25:27" x14ac:dyDescent="0.25">
      <c r="Y874">
        <v>33458</v>
      </c>
      <c r="Z874" t="s">
        <v>665</v>
      </c>
      <c r="AA874" t="s">
        <v>650</v>
      </c>
    </row>
    <row r="875" spans="25:27" x14ac:dyDescent="0.25">
      <c r="Y875">
        <v>33459</v>
      </c>
      <c r="Z875" t="s">
        <v>666</v>
      </c>
      <c r="AA875" t="s">
        <v>650</v>
      </c>
    </row>
    <row r="876" spans="25:27" x14ac:dyDescent="0.25">
      <c r="Y876">
        <v>33460</v>
      </c>
      <c r="Z876" t="s">
        <v>662</v>
      </c>
      <c r="AA876" t="s">
        <v>650</v>
      </c>
    </row>
    <row r="877" spans="25:27" x14ac:dyDescent="0.25">
      <c r="Y877">
        <v>33461</v>
      </c>
      <c r="Z877" t="s">
        <v>662</v>
      </c>
      <c r="AA877" t="s">
        <v>650</v>
      </c>
    </row>
    <row r="878" spans="25:27" x14ac:dyDescent="0.25">
      <c r="Y878">
        <v>33462</v>
      </c>
      <c r="Z878" t="s">
        <v>662</v>
      </c>
      <c r="AA878" t="s">
        <v>650</v>
      </c>
    </row>
    <row r="879" spans="25:27" x14ac:dyDescent="0.25">
      <c r="Y879">
        <v>33463</v>
      </c>
      <c r="Z879" t="s">
        <v>662</v>
      </c>
      <c r="AA879" t="s">
        <v>650</v>
      </c>
    </row>
    <row r="880" spans="25:27" x14ac:dyDescent="0.25">
      <c r="Y880">
        <v>33464</v>
      </c>
      <c r="Z880" t="s">
        <v>654</v>
      </c>
      <c r="AA880" t="s">
        <v>650</v>
      </c>
    </row>
    <row r="881" spans="25:27" x14ac:dyDescent="0.25">
      <c r="Y881">
        <v>33465</v>
      </c>
      <c r="Z881" t="s">
        <v>662</v>
      </c>
      <c r="AA881" t="s">
        <v>650</v>
      </c>
    </row>
    <row r="882" spans="25:27" x14ac:dyDescent="0.25">
      <c r="Y882">
        <v>33466</v>
      </c>
      <c r="Z882" t="s">
        <v>662</v>
      </c>
      <c r="AA882" t="s">
        <v>650</v>
      </c>
    </row>
    <row r="883" spans="25:27" x14ac:dyDescent="0.25">
      <c r="Y883">
        <v>33467</v>
      </c>
      <c r="Z883" t="s">
        <v>662</v>
      </c>
      <c r="AA883" t="s">
        <v>650</v>
      </c>
    </row>
    <row r="884" spans="25:27" x14ac:dyDescent="0.25">
      <c r="Y884">
        <v>33468</v>
      </c>
      <c r="Z884" t="s">
        <v>665</v>
      </c>
      <c r="AA884" t="s">
        <v>650</v>
      </c>
    </row>
    <row r="885" spans="25:27" x14ac:dyDescent="0.25">
      <c r="Y885">
        <v>33469</v>
      </c>
      <c r="Z885" t="s">
        <v>665</v>
      </c>
      <c r="AA885" t="s">
        <v>650</v>
      </c>
    </row>
    <row r="886" spans="25:27" x14ac:dyDescent="0.25">
      <c r="Y886">
        <v>33470</v>
      </c>
      <c r="Z886" t="s">
        <v>667</v>
      </c>
      <c r="AA886" t="s">
        <v>650</v>
      </c>
    </row>
    <row r="887" spans="25:27" x14ac:dyDescent="0.25">
      <c r="Y887">
        <v>33471</v>
      </c>
      <c r="Z887" t="s">
        <v>668</v>
      </c>
      <c r="AA887" t="s">
        <v>669</v>
      </c>
    </row>
    <row r="888" spans="25:27" x14ac:dyDescent="0.25">
      <c r="Y888">
        <v>33474</v>
      </c>
      <c r="Z888" t="s">
        <v>653</v>
      </c>
      <c r="AA888" t="s">
        <v>650</v>
      </c>
    </row>
    <row r="889" spans="25:27" x14ac:dyDescent="0.25">
      <c r="Y889">
        <v>33475</v>
      </c>
      <c r="Z889" t="s">
        <v>663</v>
      </c>
      <c r="AA889" t="s">
        <v>664</v>
      </c>
    </row>
    <row r="890" spans="25:27" x14ac:dyDescent="0.25">
      <c r="Y890">
        <v>33476</v>
      </c>
      <c r="Z890" t="s">
        <v>670</v>
      </c>
      <c r="AA890" t="s">
        <v>650</v>
      </c>
    </row>
    <row r="891" spans="25:27" x14ac:dyDescent="0.25">
      <c r="Y891">
        <v>33477</v>
      </c>
      <c r="Z891" t="s">
        <v>665</v>
      </c>
      <c r="AA891" t="s">
        <v>650</v>
      </c>
    </row>
    <row r="892" spans="25:27" x14ac:dyDescent="0.25">
      <c r="Y892">
        <v>33478</v>
      </c>
      <c r="Z892" t="s">
        <v>665</v>
      </c>
      <c r="AA892" t="s">
        <v>650</v>
      </c>
    </row>
    <row r="893" spans="25:27" x14ac:dyDescent="0.25">
      <c r="Y893">
        <v>33480</v>
      </c>
      <c r="Z893" t="s">
        <v>650</v>
      </c>
      <c r="AA893" t="s">
        <v>650</v>
      </c>
    </row>
    <row r="894" spans="25:27" x14ac:dyDescent="0.25">
      <c r="Y894">
        <v>33481</v>
      </c>
      <c r="Z894" t="s">
        <v>654</v>
      </c>
      <c r="AA894" t="s">
        <v>650</v>
      </c>
    </row>
    <row r="895" spans="25:27" x14ac:dyDescent="0.25">
      <c r="Y895">
        <v>33482</v>
      </c>
      <c r="Z895" t="s">
        <v>661</v>
      </c>
      <c r="AA895" t="s">
        <v>650</v>
      </c>
    </row>
    <row r="896" spans="25:27" x14ac:dyDescent="0.25">
      <c r="Y896">
        <v>33483</v>
      </c>
      <c r="Z896" t="s">
        <v>661</v>
      </c>
      <c r="AA896" t="s">
        <v>650</v>
      </c>
    </row>
    <row r="897" spans="25:27" x14ac:dyDescent="0.25">
      <c r="Y897">
        <v>33484</v>
      </c>
      <c r="Z897" t="s">
        <v>661</v>
      </c>
      <c r="AA897" t="s">
        <v>650</v>
      </c>
    </row>
    <row r="898" spans="25:27" x14ac:dyDescent="0.25">
      <c r="Y898">
        <v>33486</v>
      </c>
      <c r="Z898" t="s">
        <v>654</v>
      </c>
      <c r="AA898" t="s">
        <v>650</v>
      </c>
    </row>
    <row r="899" spans="25:27" x14ac:dyDescent="0.25">
      <c r="Y899">
        <v>33487</v>
      </c>
      <c r="Z899" t="s">
        <v>654</v>
      </c>
      <c r="AA899" t="s">
        <v>650</v>
      </c>
    </row>
    <row r="900" spans="25:27" x14ac:dyDescent="0.25">
      <c r="Y900">
        <v>33488</v>
      </c>
      <c r="Z900" t="s">
        <v>654</v>
      </c>
      <c r="AA900" t="s">
        <v>650</v>
      </c>
    </row>
    <row r="901" spans="25:27" x14ac:dyDescent="0.25">
      <c r="Y901">
        <v>33493</v>
      </c>
      <c r="Z901" t="s">
        <v>671</v>
      </c>
      <c r="AA901" t="s">
        <v>650</v>
      </c>
    </row>
    <row r="902" spans="25:27" x14ac:dyDescent="0.25">
      <c r="Y902">
        <v>33496</v>
      </c>
      <c r="Z902" t="s">
        <v>654</v>
      </c>
      <c r="AA902" t="s">
        <v>650</v>
      </c>
    </row>
    <row r="903" spans="25:27" x14ac:dyDescent="0.25">
      <c r="Y903">
        <v>33497</v>
      </c>
      <c r="Z903" t="s">
        <v>654</v>
      </c>
      <c r="AA903" t="s">
        <v>650</v>
      </c>
    </row>
    <row r="904" spans="25:27" x14ac:dyDescent="0.25">
      <c r="Y904">
        <v>33498</v>
      </c>
      <c r="Z904" t="s">
        <v>654</v>
      </c>
      <c r="AA904" t="s">
        <v>650</v>
      </c>
    </row>
    <row r="905" spans="25:27" x14ac:dyDescent="0.25">
      <c r="Y905">
        <v>33499</v>
      </c>
      <c r="Z905" t="s">
        <v>654</v>
      </c>
      <c r="AA905" t="s">
        <v>650</v>
      </c>
    </row>
    <row r="906" spans="25:27" x14ac:dyDescent="0.25">
      <c r="Y906">
        <v>33503</v>
      </c>
      <c r="Z906" t="s">
        <v>672</v>
      </c>
      <c r="AA906" t="s">
        <v>673</v>
      </c>
    </row>
    <row r="907" spans="25:27" x14ac:dyDescent="0.25">
      <c r="Y907">
        <v>33508</v>
      </c>
      <c r="Z907" t="s">
        <v>674</v>
      </c>
      <c r="AA907" t="s">
        <v>673</v>
      </c>
    </row>
    <row r="908" spans="25:27" x14ac:dyDescent="0.25">
      <c r="Y908">
        <v>33509</v>
      </c>
      <c r="Z908" t="s">
        <v>674</v>
      </c>
      <c r="AA908" t="s">
        <v>673</v>
      </c>
    </row>
    <row r="909" spans="25:27" x14ac:dyDescent="0.25">
      <c r="Y909">
        <v>33510</v>
      </c>
      <c r="Z909" t="s">
        <v>674</v>
      </c>
      <c r="AA909" t="s">
        <v>673</v>
      </c>
    </row>
    <row r="910" spans="25:27" x14ac:dyDescent="0.25">
      <c r="Y910">
        <v>33511</v>
      </c>
      <c r="Z910" t="s">
        <v>674</v>
      </c>
      <c r="AA910" t="s">
        <v>673</v>
      </c>
    </row>
    <row r="911" spans="25:27" x14ac:dyDescent="0.25">
      <c r="Y911">
        <v>33513</v>
      </c>
      <c r="Z911" t="s">
        <v>675</v>
      </c>
      <c r="AA911" t="s">
        <v>393</v>
      </c>
    </row>
    <row r="912" spans="25:27" x14ac:dyDescent="0.25">
      <c r="Y912">
        <v>33514</v>
      </c>
      <c r="Z912" t="s">
        <v>676</v>
      </c>
      <c r="AA912" t="s">
        <v>393</v>
      </c>
    </row>
    <row r="913" spans="25:27" x14ac:dyDescent="0.25">
      <c r="Y913">
        <v>33521</v>
      </c>
      <c r="Z913" t="s">
        <v>677</v>
      </c>
      <c r="AA913" t="s">
        <v>393</v>
      </c>
    </row>
    <row r="914" spans="25:27" x14ac:dyDescent="0.25">
      <c r="Y914">
        <v>33523</v>
      </c>
      <c r="Z914" t="s">
        <v>678</v>
      </c>
      <c r="AA914" t="s">
        <v>679</v>
      </c>
    </row>
    <row r="915" spans="25:27" x14ac:dyDescent="0.25">
      <c r="Y915">
        <v>33524</v>
      </c>
      <c r="Z915" t="s">
        <v>680</v>
      </c>
      <c r="AA915" t="s">
        <v>679</v>
      </c>
    </row>
    <row r="916" spans="25:27" x14ac:dyDescent="0.25">
      <c r="Y916">
        <v>33525</v>
      </c>
      <c r="Z916" t="s">
        <v>678</v>
      </c>
      <c r="AA916" t="s">
        <v>679</v>
      </c>
    </row>
    <row r="917" spans="25:27" x14ac:dyDescent="0.25">
      <c r="Y917">
        <v>33526</v>
      </c>
      <c r="Z917" t="s">
        <v>678</v>
      </c>
      <c r="AA917" t="s">
        <v>679</v>
      </c>
    </row>
    <row r="918" spans="25:27" x14ac:dyDescent="0.25">
      <c r="Y918">
        <v>33527</v>
      </c>
      <c r="Z918" t="s">
        <v>681</v>
      </c>
      <c r="AA918" t="s">
        <v>673</v>
      </c>
    </row>
    <row r="919" spans="25:27" x14ac:dyDescent="0.25">
      <c r="Y919">
        <v>33530</v>
      </c>
      <c r="Z919" t="s">
        <v>682</v>
      </c>
      <c r="AA919" t="s">
        <v>673</v>
      </c>
    </row>
    <row r="920" spans="25:27" x14ac:dyDescent="0.25">
      <c r="Y920">
        <v>33534</v>
      </c>
      <c r="Z920" t="s">
        <v>683</v>
      </c>
      <c r="AA920" t="s">
        <v>673</v>
      </c>
    </row>
    <row r="921" spans="25:27" x14ac:dyDescent="0.25">
      <c r="Y921">
        <v>33537</v>
      </c>
      <c r="Z921" t="s">
        <v>684</v>
      </c>
      <c r="AA921" t="s">
        <v>679</v>
      </c>
    </row>
    <row r="922" spans="25:27" x14ac:dyDescent="0.25">
      <c r="Y922">
        <v>33538</v>
      </c>
      <c r="Z922" t="s">
        <v>685</v>
      </c>
      <c r="AA922" t="s">
        <v>393</v>
      </c>
    </row>
    <row r="923" spans="25:27" x14ac:dyDescent="0.25">
      <c r="Y923">
        <v>33539</v>
      </c>
      <c r="Z923" t="s">
        <v>686</v>
      </c>
      <c r="AA923" t="s">
        <v>679</v>
      </c>
    </row>
    <row r="924" spans="25:27" x14ac:dyDescent="0.25">
      <c r="Y924">
        <v>33540</v>
      </c>
      <c r="Z924" t="s">
        <v>686</v>
      </c>
      <c r="AA924" t="s">
        <v>679</v>
      </c>
    </row>
    <row r="925" spans="25:27" x14ac:dyDescent="0.25">
      <c r="Y925">
        <v>33541</v>
      </c>
      <c r="Z925" t="s">
        <v>686</v>
      </c>
      <c r="AA925" t="s">
        <v>679</v>
      </c>
    </row>
    <row r="926" spans="25:27" x14ac:dyDescent="0.25">
      <c r="Y926">
        <v>33542</v>
      </c>
      <c r="Z926" t="s">
        <v>686</v>
      </c>
      <c r="AA926" t="s">
        <v>679</v>
      </c>
    </row>
    <row r="927" spans="25:27" x14ac:dyDescent="0.25">
      <c r="Y927">
        <v>33543</v>
      </c>
      <c r="Z927" t="s">
        <v>687</v>
      </c>
      <c r="AA927" t="s">
        <v>679</v>
      </c>
    </row>
    <row r="928" spans="25:27" x14ac:dyDescent="0.25">
      <c r="Y928">
        <v>33544</v>
      </c>
      <c r="Z928" t="s">
        <v>687</v>
      </c>
      <c r="AA928" t="s">
        <v>679</v>
      </c>
    </row>
    <row r="929" spans="25:27" x14ac:dyDescent="0.25">
      <c r="Y929">
        <v>33547</v>
      </c>
      <c r="Z929" t="s">
        <v>688</v>
      </c>
      <c r="AA929" t="s">
        <v>673</v>
      </c>
    </row>
    <row r="930" spans="25:27" x14ac:dyDescent="0.25">
      <c r="Y930">
        <v>33548</v>
      </c>
      <c r="Z930" t="s">
        <v>689</v>
      </c>
      <c r="AA930" t="s">
        <v>673</v>
      </c>
    </row>
    <row r="931" spans="25:27" x14ac:dyDescent="0.25">
      <c r="Y931">
        <v>33549</v>
      </c>
      <c r="Z931" t="s">
        <v>689</v>
      </c>
      <c r="AA931" t="s">
        <v>673</v>
      </c>
    </row>
    <row r="932" spans="25:27" x14ac:dyDescent="0.25">
      <c r="Y932">
        <v>33550</v>
      </c>
      <c r="Z932" t="s">
        <v>690</v>
      </c>
      <c r="AA932" t="s">
        <v>673</v>
      </c>
    </row>
    <row r="933" spans="25:27" x14ac:dyDescent="0.25">
      <c r="Y933">
        <v>33556</v>
      </c>
      <c r="Z933" t="s">
        <v>691</v>
      </c>
      <c r="AA933" t="s">
        <v>673</v>
      </c>
    </row>
    <row r="934" spans="25:27" x14ac:dyDescent="0.25">
      <c r="Y934">
        <v>33558</v>
      </c>
      <c r="Z934" t="s">
        <v>689</v>
      </c>
      <c r="AA934" t="s">
        <v>673</v>
      </c>
    </row>
    <row r="935" spans="25:27" x14ac:dyDescent="0.25">
      <c r="Y935">
        <v>33559</v>
      </c>
      <c r="Z935" t="s">
        <v>689</v>
      </c>
      <c r="AA935" t="s">
        <v>673</v>
      </c>
    </row>
    <row r="936" spans="25:27" x14ac:dyDescent="0.25">
      <c r="Y936">
        <v>33563</v>
      </c>
      <c r="Z936" t="s">
        <v>692</v>
      </c>
      <c r="AA936" t="s">
        <v>673</v>
      </c>
    </row>
    <row r="937" spans="25:27" x14ac:dyDescent="0.25">
      <c r="Y937">
        <v>33564</v>
      </c>
      <c r="Z937" t="s">
        <v>692</v>
      </c>
      <c r="AA937" t="s">
        <v>673</v>
      </c>
    </row>
    <row r="938" spans="25:27" x14ac:dyDescent="0.25">
      <c r="Y938">
        <v>33565</v>
      </c>
      <c r="Z938" t="s">
        <v>692</v>
      </c>
      <c r="AA938" t="s">
        <v>673</v>
      </c>
    </row>
    <row r="939" spans="25:27" x14ac:dyDescent="0.25">
      <c r="Y939">
        <v>33566</v>
      </c>
      <c r="Z939" t="s">
        <v>692</v>
      </c>
      <c r="AA939" t="s">
        <v>673</v>
      </c>
    </row>
    <row r="940" spans="25:27" x14ac:dyDescent="0.25">
      <c r="Y940">
        <v>33567</v>
      </c>
      <c r="Z940" t="s">
        <v>692</v>
      </c>
      <c r="AA940" t="s">
        <v>673</v>
      </c>
    </row>
    <row r="941" spans="25:27" x14ac:dyDescent="0.25">
      <c r="Y941">
        <v>33568</v>
      </c>
      <c r="Z941" t="s">
        <v>693</v>
      </c>
      <c r="AA941" t="s">
        <v>673</v>
      </c>
    </row>
    <row r="942" spans="25:27" x14ac:dyDescent="0.25">
      <c r="Y942">
        <v>33569</v>
      </c>
      <c r="Z942" t="s">
        <v>693</v>
      </c>
      <c r="AA942" t="s">
        <v>673</v>
      </c>
    </row>
    <row r="943" spans="25:27" x14ac:dyDescent="0.25">
      <c r="Y943">
        <v>33570</v>
      </c>
      <c r="Z943" t="s">
        <v>694</v>
      </c>
      <c r="AA943" t="s">
        <v>673</v>
      </c>
    </row>
    <row r="944" spans="25:27" x14ac:dyDescent="0.25">
      <c r="Y944">
        <v>33571</v>
      </c>
      <c r="Z944" t="s">
        <v>695</v>
      </c>
      <c r="AA944" t="s">
        <v>673</v>
      </c>
    </row>
    <row r="945" spans="25:27" x14ac:dyDescent="0.25">
      <c r="Y945">
        <v>33572</v>
      </c>
      <c r="Z945" t="s">
        <v>696</v>
      </c>
      <c r="AA945" t="s">
        <v>673</v>
      </c>
    </row>
    <row r="946" spans="25:27" x14ac:dyDescent="0.25">
      <c r="Y946">
        <v>33573</v>
      </c>
      <c r="Z946" t="s">
        <v>695</v>
      </c>
      <c r="AA946" t="s">
        <v>673</v>
      </c>
    </row>
    <row r="947" spans="25:27" x14ac:dyDescent="0.25">
      <c r="Y947">
        <v>33574</v>
      </c>
      <c r="Z947" t="s">
        <v>697</v>
      </c>
      <c r="AA947" t="s">
        <v>679</v>
      </c>
    </row>
    <row r="948" spans="25:27" x14ac:dyDescent="0.25">
      <c r="Y948">
        <v>33575</v>
      </c>
      <c r="Z948" t="s">
        <v>694</v>
      </c>
      <c r="AA948" t="s">
        <v>673</v>
      </c>
    </row>
    <row r="949" spans="25:27" x14ac:dyDescent="0.25">
      <c r="Y949">
        <v>33576</v>
      </c>
      <c r="Z949" t="s">
        <v>698</v>
      </c>
      <c r="AA949" t="s">
        <v>679</v>
      </c>
    </row>
    <row r="950" spans="25:27" x14ac:dyDescent="0.25">
      <c r="Y950">
        <v>33583</v>
      </c>
      <c r="Z950" t="s">
        <v>699</v>
      </c>
      <c r="AA950" t="s">
        <v>673</v>
      </c>
    </row>
    <row r="951" spans="25:27" x14ac:dyDescent="0.25">
      <c r="Y951">
        <v>33584</v>
      </c>
      <c r="Z951" t="s">
        <v>699</v>
      </c>
      <c r="AA951" t="s">
        <v>673</v>
      </c>
    </row>
    <row r="952" spans="25:27" x14ac:dyDescent="0.25">
      <c r="Y952">
        <v>33585</v>
      </c>
      <c r="Z952" t="s">
        <v>700</v>
      </c>
      <c r="AA952" t="s">
        <v>393</v>
      </c>
    </row>
    <row r="953" spans="25:27" x14ac:dyDescent="0.25">
      <c r="Y953">
        <v>33586</v>
      </c>
      <c r="Z953" t="s">
        <v>701</v>
      </c>
      <c r="AA953" t="s">
        <v>673</v>
      </c>
    </row>
    <row r="954" spans="25:27" x14ac:dyDescent="0.25">
      <c r="Y954">
        <v>33587</v>
      </c>
      <c r="Z954" t="s">
        <v>702</v>
      </c>
      <c r="AA954" t="s">
        <v>673</v>
      </c>
    </row>
    <row r="955" spans="25:27" x14ac:dyDescent="0.25">
      <c r="Y955">
        <v>33592</v>
      </c>
      <c r="Z955" t="s">
        <v>703</v>
      </c>
      <c r="AA955" t="s">
        <v>673</v>
      </c>
    </row>
    <row r="956" spans="25:27" x14ac:dyDescent="0.25">
      <c r="Y956">
        <v>33593</v>
      </c>
      <c r="Z956" t="s">
        <v>704</v>
      </c>
      <c r="AA956" t="s">
        <v>679</v>
      </c>
    </row>
    <row r="957" spans="25:27" x14ac:dyDescent="0.25">
      <c r="Y957">
        <v>33594</v>
      </c>
      <c r="Z957" t="s">
        <v>705</v>
      </c>
      <c r="AA957" t="s">
        <v>673</v>
      </c>
    </row>
    <row r="958" spans="25:27" x14ac:dyDescent="0.25">
      <c r="Y958">
        <v>33595</v>
      </c>
      <c r="Z958" t="s">
        <v>705</v>
      </c>
      <c r="AA958" t="s">
        <v>673</v>
      </c>
    </row>
    <row r="959" spans="25:27" x14ac:dyDescent="0.25">
      <c r="Y959">
        <v>33597</v>
      </c>
      <c r="Z959" t="s">
        <v>706</v>
      </c>
      <c r="AA959" t="s">
        <v>393</v>
      </c>
    </row>
    <row r="960" spans="25:27" x14ac:dyDescent="0.25">
      <c r="Y960">
        <v>33598</v>
      </c>
      <c r="Z960" t="s">
        <v>707</v>
      </c>
      <c r="AA960" t="s">
        <v>673</v>
      </c>
    </row>
    <row r="961" spans="25:27" x14ac:dyDescent="0.25">
      <c r="Y961">
        <v>33601</v>
      </c>
      <c r="Z961" t="s">
        <v>708</v>
      </c>
      <c r="AA961" t="s">
        <v>673</v>
      </c>
    </row>
    <row r="962" spans="25:27" x14ac:dyDescent="0.25">
      <c r="Y962">
        <v>33602</v>
      </c>
      <c r="Z962" t="s">
        <v>708</v>
      </c>
      <c r="AA962" t="s">
        <v>673</v>
      </c>
    </row>
    <row r="963" spans="25:27" x14ac:dyDescent="0.25">
      <c r="Y963">
        <v>33603</v>
      </c>
      <c r="Z963" t="s">
        <v>708</v>
      </c>
      <c r="AA963" t="s">
        <v>673</v>
      </c>
    </row>
    <row r="964" spans="25:27" x14ac:dyDescent="0.25">
      <c r="Y964">
        <v>33604</v>
      </c>
      <c r="Z964" t="s">
        <v>708</v>
      </c>
      <c r="AA964" t="s">
        <v>673</v>
      </c>
    </row>
    <row r="965" spans="25:27" x14ac:dyDescent="0.25">
      <c r="Y965">
        <v>33605</v>
      </c>
      <c r="Z965" t="s">
        <v>708</v>
      </c>
      <c r="AA965" t="s">
        <v>673</v>
      </c>
    </row>
    <row r="966" spans="25:27" x14ac:dyDescent="0.25">
      <c r="Y966">
        <v>33606</v>
      </c>
      <c r="Z966" t="s">
        <v>708</v>
      </c>
      <c r="AA966" t="s">
        <v>673</v>
      </c>
    </row>
    <row r="967" spans="25:27" x14ac:dyDescent="0.25">
      <c r="Y967">
        <v>33607</v>
      </c>
      <c r="Z967" t="s">
        <v>708</v>
      </c>
      <c r="AA967" t="s">
        <v>673</v>
      </c>
    </row>
    <row r="968" spans="25:27" x14ac:dyDescent="0.25">
      <c r="Y968">
        <v>33608</v>
      </c>
      <c r="Z968" t="s">
        <v>708</v>
      </c>
      <c r="AA968" t="s">
        <v>673</v>
      </c>
    </row>
    <row r="969" spans="25:27" x14ac:dyDescent="0.25">
      <c r="Y969">
        <v>33609</v>
      </c>
      <c r="Z969" t="s">
        <v>708</v>
      </c>
      <c r="AA969" t="s">
        <v>673</v>
      </c>
    </row>
    <row r="970" spans="25:27" x14ac:dyDescent="0.25">
      <c r="Y970">
        <v>33610</v>
      </c>
      <c r="Z970" t="s">
        <v>708</v>
      </c>
      <c r="AA970" t="s">
        <v>673</v>
      </c>
    </row>
    <row r="971" spans="25:27" x14ac:dyDescent="0.25">
      <c r="Y971">
        <v>33611</v>
      </c>
      <c r="Z971" t="s">
        <v>708</v>
      </c>
      <c r="AA971" t="s">
        <v>673</v>
      </c>
    </row>
    <row r="972" spans="25:27" x14ac:dyDescent="0.25">
      <c r="Y972">
        <v>33612</v>
      </c>
      <c r="Z972" t="s">
        <v>708</v>
      </c>
      <c r="AA972" t="s">
        <v>673</v>
      </c>
    </row>
    <row r="973" spans="25:27" x14ac:dyDescent="0.25">
      <c r="Y973">
        <v>33613</v>
      </c>
      <c r="Z973" t="s">
        <v>708</v>
      </c>
      <c r="AA973" t="s">
        <v>673</v>
      </c>
    </row>
    <row r="974" spans="25:27" x14ac:dyDescent="0.25">
      <c r="Y974">
        <v>33614</v>
      </c>
      <c r="Z974" t="s">
        <v>708</v>
      </c>
      <c r="AA974" t="s">
        <v>673</v>
      </c>
    </row>
    <row r="975" spans="25:27" x14ac:dyDescent="0.25">
      <c r="Y975">
        <v>33615</v>
      </c>
      <c r="Z975" t="s">
        <v>708</v>
      </c>
      <c r="AA975" t="s">
        <v>673</v>
      </c>
    </row>
    <row r="976" spans="25:27" x14ac:dyDescent="0.25">
      <c r="Y976">
        <v>33616</v>
      </c>
      <c r="Z976" t="s">
        <v>708</v>
      </c>
      <c r="AA976" t="s">
        <v>673</v>
      </c>
    </row>
    <row r="977" spans="25:27" x14ac:dyDescent="0.25">
      <c r="Y977">
        <v>33617</v>
      </c>
      <c r="Z977" t="s">
        <v>708</v>
      </c>
      <c r="AA977" t="s">
        <v>673</v>
      </c>
    </row>
    <row r="978" spans="25:27" x14ac:dyDescent="0.25">
      <c r="Y978">
        <v>33618</v>
      </c>
      <c r="Z978" t="s">
        <v>708</v>
      </c>
      <c r="AA978" t="s">
        <v>673</v>
      </c>
    </row>
    <row r="979" spans="25:27" x14ac:dyDescent="0.25">
      <c r="Y979">
        <v>33619</v>
      </c>
      <c r="Z979" t="s">
        <v>708</v>
      </c>
      <c r="AA979" t="s">
        <v>673</v>
      </c>
    </row>
    <row r="980" spans="25:27" x14ac:dyDescent="0.25">
      <c r="Y980">
        <v>33620</v>
      </c>
      <c r="Z980" t="s">
        <v>708</v>
      </c>
      <c r="AA980" t="s">
        <v>673</v>
      </c>
    </row>
    <row r="981" spans="25:27" x14ac:dyDescent="0.25">
      <c r="Y981">
        <v>33621</v>
      </c>
      <c r="Z981" t="s">
        <v>708</v>
      </c>
      <c r="AA981" t="s">
        <v>673</v>
      </c>
    </row>
    <row r="982" spans="25:27" x14ac:dyDescent="0.25">
      <c r="Y982">
        <v>33622</v>
      </c>
      <c r="Z982" t="s">
        <v>708</v>
      </c>
      <c r="AA982" t="s">
        <v>673</v>
      </c>
    </row>
    <row r="983" spans="25:27" x14ac:dyDescent="0.25">
      <c r="Y983">
        <v>33623</v>
      </c>
      <c r="Z983" t="s">
        <v>708</v>
      </c>
      <c r="AA983" t="s">
        <v>673</v>
      </c>
    </row>
    <row r="984" spans="25:27" x14ac:dyDescent="0.25">
      <c r="Y984">
        <v>33624</v>
      </c>
      <c r="Z984" t="s">
        <v>708</v>
      </c>
      <c r="AA984" t="s">
        <v>673</v>
      </c>
    </row>
    <row r="985" spans="25:27" x14ac:dyDescent="0.25">
      <c r="Y985">
        <v>33625</v>
      </c>
      <c r="Z985" t="s">
        <v>708</v>
      </c>
      <c r="AA985" t="s">
        <v>673</v>
      </c>
    </row>
    <row r="986" spans="25:27" x14ac:dyDescent="0.25">
      <c r="Y986">
        <v>33626</v>
      </c>
      <c r="Z986" t="s">
        <v>708</v>
      </c>
      <c r="AA986" t="s">
        <v>673</v>
      </c>
    </row>
    <row r="987" spans="25:27" x14ac:dyDescent="0.25">
      <c r="Y987">
        <v>33629</v>
      </c>
      <c r="Z987" t="s">
        <v>708</v>
      </c>
      <c r="AA987" t="s">
        <v>673</v>
      </c>
    </row>
    <row r="988" spans="25:27" x14ac:dyDescent="0.25">
      <c r="Y988">
        <v>33630</v>
      </c>
      <c r="Z988" t="s">
        <v>708</v>
      </c>
      <c r="AA988" t="s">
        <v>673</v>
      </c>
    </row>
    <row r="989" spans="25:27" x14ac:dyDescent="0.25">
      <c r="Y989">
        <v>33631</v>
      </c>
      <c r="Z989" t="s">
        <v>708</v>
      </c>
      <c r="AA989" t="s">
        <v>673</v>
      </c>
    </row>
    <row r="990" spans="25:27" x14ac:dyDescent="0.25">
      <c r="Y990">
        <v>33633</v>
      </c>
      <c r="Z990" t="s">
        <v>708</v>
      </c>
      <c r="AA990" t="s">
        <v>673</v>
      </c>
    </row>
    <row r="991" spans="25:27" x14ac:dyDescent="0.25">
      <c r="Y991">
        <v>33634</v>
      </c>
      <c r="Z991" t="s">
        <v>708</v>
      </c>
      <c r="AA991" t="s">
        <v>673</v>
      </c>
    </row>
    <row r="992" spans="25:27" x14ac:dyDescent="0.25">
      <c r="Y992">
        <v>33635</v>
      </c>
      <c r="Z992" t="s">
        <v>708</v>
      </c>
      <c r="AA992" t="s">
        <v>673</v>
      </c>
    </row>
    <row r="993" spans="25:27" x14ac:dyDescent="0.25">
      <c r="Y993">
        <v>33637</v>
      </c>
      <c r="Z993" t="s">
        <v>708</v>
      </c>
      <c r="AA993" t="s">
        <v>673</v>
      </c>
    </row>
    <row r="994" spans="25:27" x14ac:dyDescent="0.25">
      <c r="Y994">
        <v>33647</v>
      </c>
      <c r="Z994" t="s">
        <v>708</v>
      </c>
      <c r="AA994" t="s">
        <v>673</v>
      </c>
    </row>
    <row r="995" spans="25:27" x14ac:dyDescent="0.25">
      <c r="Y995">
        <v>33650</v>
      </c>
      <c r="Z995" t="s">
        <v>708</v>
      </c>
      <c r="AA995" t="s">
        <v>673</v>
      </c>
    </row>
    <row r="996" spans="25:27" x14ac:dyDescent="0.25">
      <c r="Y996">
        <v>33651</v>
      </c>
      <c r="Z996" t="s">
        <v>708</v>
      </c>
      <c r="AA996" t="s">
        <v>673</v>
      </c>
    </row>
    <row r="997" spans="25:27" x14ac:dyDescent="0.25">
      <c r="Y997">
        <v>33655</v>
      </c>
      <c r="Z997" t="s">
        <v>708</v>
      </c>
      <c r="AA997" t="s">
        <v>673</v>
      </c>
    </row>
    <row r="998" spans="25:27" x14ac:dyDescent="0.25">
      <c r="Y998">
        <v>33660</v>
      </c>
      <c r="Z998" t="s">
        <v>708</v>
      </c>
      <c r="AA998" t="s">
        <v>673</v>
      </c>
    </row>
    <row r="999" spans="25:27" x14ac:dyDescent="0.25">
      <c r="Y999">
        <v>33661</v>
      </c>
      <c r="Z999" t="s">
        <v>708</v>
      </c>
      <c r="AA999" t="s">
        <v>673</v>
      </c>
    </row>
    <row r="1000" spans="25:27" x14ac:dyDescent="0.25">
      <c r="Y1000">
        <v>33662</v>
      </c>
      <c r="Z1000" t="s">
        <v>708</v>
      </c>
      <c r="AA1000" t="s">
        <v>673</v>
      </c>
    </row>
    <row r="1001" spans="25:27" x14ac:dyDescent="0.25">
      <c r="Y1001">
        <v>33663</v>
      </c>
      <c r="Z1001" t="s">
        <v>708</v>
      </c>
      <c r="AA1001" t="s">
        <v>673</v>
      </c>
    </row>
    <row r="1002" spans="25:27" x14ac:dyDescent="0.25">
      <c r="Y1002">
        <v>33664</v>
      </c>
      <c r="Z1002" t="s">
        <v>708</v>
      </c>
      <c r="AA1002" t="s">
        <v>673</v>
      </c>
    </row>
    <row r="1003" spans="25:27" x14ac:dyDescent="0.25">
      <c r="Y1003">
        <v>33672</v>
      </c>
      <c r="Z1003" t="s">
        <v>708</v>
      </c>
      <c r="AA1003" t="s">
        <v>673</v>
      </c>
    </row>
    <row r="1004" spans="25:27" x14ac:dyDescent="0.25">
      <c r="Y1004">
        <v>33673</v>
      </c>
      <c r="Z1004" t="s">
        <v>708</v>
      </c>
      <c r="AA1004" t="s">
        <v>673</v>
      </c>
    </row>
    <row r="1005" spans="25:27" x14ac:dyDescent="0.25">
      <c r="Y1005">
        <v>33674</v>
      </c>
      <c r="Z1005" t="s">
        <v>708</v>
      </c>
      <c r="AA1005" t="s">
        <v>673</v>
      </c>
    </row>
    <row r="1006" spans="25:27" x14ac:dyDescent="0.25">
      <c r="Y1006">
        <v>33675</v>
      </c>
      <c r="Z1006" t="s">
        <v>708</v>
      </c>
      <c r="AA1006" t="s">
        <v>673</v>
      </c>
    </row>
    <row r="1007" spans="25:27" x14ac:dyDescent="0.25">
      <c r="Y1007">
        <v>33677</v>
      </c>
      <c r="Z1007" t="s">
        <v>708</v>
      </c>
      <c r="AA1007" t="s">
        <v>673</v>
      </c>
    </row>
    <row r="1008" spans="25:27" x14ac:dyDescent="0.25">
      <c r="Y1008">
        <v>33679</v>
      </c>
      <c r="Z1008" t="s">
        <v>708</v>
      </c>
      <c r="AA1008" t="s">
        <v>673</v>
      </c>
    </row>
    <row r="1009" spans="25:27" x14ac:dyDescent="0.25">
      <c r="Y1009">
        <v>33680</v>
      </c>
      <c r="Z1009" t="s">
        <v>708</v>
      </c>
      <c r="AA1009" t="s">
        <v>673</v>
      </c>
    </row>
    <row r="1010" spans="25:27" x14ac:dyDescent="0.25">
      <c r="Y1010">
        <v>33681</v>
      </c>
      <c r="Z1010" t="s">
        <v>708</v>
      </c>
      <c r="AA1010" t="s">
        <v>673</v>
      </c>
    </row>
    <row r="1011" spans="25:27" x14ac:dyDescent="0.25">
      <c r="Y1011">
        <v>33682</v>
      </c>
      <c r="Z1011" t="s">
        <v>708</v>
      </c>
      <c r="AA1011" t="s">
        <v>673</v>
      </c>
    </row>
    <row r="1012" spans="25:27" x14ac:dyDescent="0.25">
      <c r="Y1012">
        <v>33684</v>
      </c>
      <c r="Z1012" t="s">
        <v>708</v>
      </c>
      <c r="AA1012" t="s">
        <v>673</v>
      </c>
    </row>
    <row r="1013" spans="25:27" x14ac:dyDescent="0.25">
      <c r="Y1013">
        <v>33685</v>
      </c>
      <c r="Z1013" t="s">
        <v>708</v>
      </c>
      <c r="AA1013" t="s">
        <v>673</v>
      </c>
    </row>
    <row r="1014" spans="25:27" x14ac:dyDescent="0.25">
      <c r="Y1014">
        <v>33686</v>
      </c>
      <c r="Z1014" t="s">
        <v>708</v>
      </c>
      <c r="AA1014" t="s">
        <v>673</v>
      </c>
    </row>
    <row r="1015" spans="25:27" x14ac:dyDescent="0.25">
      <c r="Y1015">
        <v>33687</v>
      </c>
      <c r="Z1015" t="s">
        <v>708</v>
      </c>
      <c r="AA1015" t="s">
        <v>673</v>
      </c>
    </row>
    <row r="1016" spans="25:27" x14ac:dyDescent="0.25">
      <c r="Y1016">
        <v>33688</v>
      </c>
      <c r="Z1016" t="s">
        <v>708</v>
      </c>
      <c r="AA1016" t="s">
        <v>673</v>
      </c>
    </row>
    <row r="1017" spans="25:27" x14ac:dyDescent="0.25">
      <c r="Y1017">
        <v>33689</v>
      </c>
      <c r="Z1017" t="s">
        <v>708</v>
      </c>
      <c r="AA1017" t="s">
        <v>673</v>
      </c>
    </row>
    <row r="1018" spans="25:27" x14ac:dyDescent="0.25">
      <c r="Y1018">
        <v>33690</v>
      </c>
      <c r="Z1018" t="s">
        <v>708</v>
      </c>
      <c r="AA1018" t="s">
        <v>673</v>
      </c>
    </row>
    <row r="1019" spans="25:27" x14ac:dyDescent="0.25">
      <c r="Y1019">
        <v>33694</v>
      </c>
      <c r="Z1019" t="s">
        <v>708</v>
      </c>
      <c r="AA1019" t="s">
        <v>673</v>
      </c>
    </row>
    <row r="1020" spans="25:27" x14ac:dyDescent="0.25">
      <c r="Y1020">
        <v>33697</v>
      </c>
      <c r="Z1020" t="s">
        <v>708</v>
      </c>
      <c r="AA1020" t="s">
        <v>673</v>
      </c>
    </row>
    <row r="1021" spans="25:27" x14ac:dyDescent="0.25">
      <c r="Y1021">
        <v>33701</v>
      </c>
      <c r="Z1021" t="s">
        <v>709</v>
      </c>
      <c r="AA1021" t="s">
        <v>710</v>
      </c>
    </row>
    <row r="1022" spans="25:27" x14ac:dyDescent="0.25">
      <c r="Y1022">
        <v>33702</v>
      </c>
      <c r="Z1022" t="s">
        <v>709</v>
      </c>
      <c r="AA1022" t="s">
        <v>710</v>
      </c>
    </row>
    <row r="1023" spans="25:27" x14ac:dyDescent="0.25">
      <c r="Y1023">
        <v>33703</v>
      </c>
      <c r="Z1023" t="s">
        <v>709</v>
      </c>
      <c r="AA1023" t="s">
        <v>710</v>
      </c>
    </row>
    <row r="1024" spans="25:27" x14ac:dyDescent="0.25">
      <c r="Y1024">
        <v>33704</v>
      </c>
      <c r="Z1024" t="s">
        <v>709</v>
      </c>
      <c r="AA1024" t="s">
        <v>710</v>
      </c>
    </row>
    <row r="1025" spans="25:27" x14ac:dyDescent="0.25">
      <c r="Y1025">
        <v>33705</v>
      </c>
      <c r="Z1025" t="s">
        <v>709</v>
      </c>
      <c r="AA1025" t="s">
        <v>710</v>
      </c>
    </row>
    <row r="1026" spans="25:27" x14ac:dyDescent="0.25">
      <c r="Y1026">
        <v>33706</v>
      </c>
      <c r="Z1026" t="s">
        <v>709</v>
      </c>
      <c r="AA1026" t="s">
        <v>710</v>
      </c>
    </row>
    <row r="1027" spans="25:27" x14ac:dyDescent="0.25">
      <c r="Y1027">
        <v>33707</v>
      </c>
      <c r="Z1027" t="s">
        <v>709</v>
      </c>
      <c r="AA1027" t="s">
        <v>710</v>
      </c>
    </row>
    <row r="1028" spans="25:27" x14ac:dyDescent="0.25">
      <c r="Y1028">
        <v>33708</v>
      </c>
      <c r="Z1028" t="s">
        <v>709</v>
      </c>
      <c r="AA1028" t="s">
        <v>710</v>
      </c>
    </row>
    <row r="1029" spans="25:27" x14ac:dyDescent="0.25">
      <c r="Y1029">
        <v>33709</v>
      </c>
      <c r="Z1029" t="s">
        <v>709</v>
      </c>
      <c r="AA1029" t="s">
        <v>710</v>
      </c>
    </row>
    <row r="1030" spans="25:27" x14ac:dyDescent="0.25">
      <c r="Y1030">
        <v>33710</v>
      </c>
      <c r="Z1030" t="s">
        <v>709</v>
      </c>
      <c r="AA1030" t="s">
        <v>710</v>
      </c>
    </row>
    <row r="1031" spans="25:27" x14ac:dyDescent="0.25">
      <c r="Y1031">
        <v>33711</v>
      </c>
      <c r="Z1031" t="s">
        <v>709</v>
      </c>
      <c r="AA1031" t="s">
        <v>710</v>
      </c>
    </row>
    <row r="1032" spans="25:27" x14ac:dyDescent="0.25">
      <c r="Y1032">
        <v>33712</v>
      </c>
      <c r="Z1032" t="s">
        <v>709</v>
      </c>
      <c r="AA1032" t="s">
        <v>710</v>
      </c>
    </row>
    <row r="1033" spans="25:27" x14ac:dyDescent="0.25">
      <c r="Y1033">
        <v>33713</v>
      </c>
      <c r="Z1033" t="s">
        <v>709</v>
      </c>
      <c r="AA1033" t="s">
        <v>710</v>
      </c>
    </row>
    <row r="1034" spans="25:27" x14ac:dyDescent="0.25">
      <c r="Y1034">
        <v>33714</v>
      </c>
      <c r="Z1034" t="s">
        <v>709</v>
      </c>
      <c r="AA1034" t="s">
        <v>710</v>
      </c>
    </row>
    <row r="1035" spans="25:27" x14ac:dyDescent="0.25">
      <c r="Y1035">
        <v>33715</v>
      </c>
      <c r="Z1035" t="s">
        <v>709</v>
      </c>
      <c r="AA1035" t="s">
        <v>710</v>
      </c>
    </row>
    <row r="1036" spans="25:27" x14ac:dyDescent="0.25">
      <c r="Y1036">
        <v>33716</v>
      </c>
      <c r="Z1036" t="s">
        <v>709</v>
      </c>
      <c r="AA1036" t="s">
        <v>710</v>
      </c>
    </row>
    <row r="1037" spans="25:27" x14ac:dyDescent="0.25">
      <c r="Y1037">
        <v>33729</v>
      </c>
      <c r="Z1037" t="s">
        <v>709</v>
      </c>
      <c r="AA1037" t="s">
        <v>710</v>
      </c>
    </row>
    <row r="1038" spans="25:27" x14ac:dyDescent="0.25">
      <c r="Y1038">
        <v>33730</v>
      </c>
      <c r="Z1038" t="s">
        <v>709</v>
      </c>
      <c r="AA1038" t="s">
        <v>710</v>
      </c>
    </row>
    <row r="1039" spans="25:27" x14ac:dyDescent="0.25">
      <c r="Y1039">
        <v>33731</v>
      </c>
      <c r="Z1039" t="s">
        <v>709</v>
      </c>
      <c r="AA1039" t="s">
        <v>710</v>
      </c>
    </row>
    <row r="1040" spans="25:27" x14ac:dyDescent="0.25">
      <c r="Y1040">
        <v>33732</v>
      </c>
      <c r="Z1040" t="s">
        <v>709</v>
      </c>
      <c r="AA1040" t="s">
        <v>710</v>
      </c>
    </row>
    <row r="1041" spans="25:27" x14ac:dyDescent="0.25">
      <c r="Y1041">
        <v>33733</v>
      </c>
      <c r="Z1041" t="s">
        <v>709</v>
      </c>
      <c r="AA1041" t="s">
        <v>710</v>
      </c>
    </row>
    <row r="1042" spans="25:27" x14ac:dyDescent="0.25">
      <c r="Y1042">
        <v>33734</v>
      </c>
      <c r="Z1042" t="s">
        <v>709</v>
      </c>
      <c r="AA1042" t="s">
        <v>710</v>
      </c>
    </row>
    <row r="1043" spans="25:27" x14ac:dyDescent="0.25">
      <c r="Y1043">
        <v>33736</v>
      </c>
      <c r="Z1043" t="s">
        <v>709</v>
      </c>
      <c r="AA1043" t="s">
        <v>710</v>
      </c>
    </row>
    <row r="1044" spans="25:27" x14ac:dyDescent="0.25">
      <c r="Y1044">
        <v>33737</v>
      </c>
      <c r="Z1044" t="s">
        <v>709</v>
      </c>
      <c r="AA1044" t="s">
        <v>710</v>
      </c>
    </row>
    <row r="1045" spans="25:27" x14ac:dyDescent="0.25">
      <c r="Y1045">
        <v>33738</v>
      </c>
      <c r="Z1045" t="s">
        <v>709</v>
      </c>
      <c r="AA1045" t="s">
        <v>710</v>
      </c>
    </row>
    <row r="1046" spans="25:27" x14ac:dyDescent="0.25">
      <c r="Y1046">
        <v>33740</v>
      </c>
      <c r="Z1046" t="s">
        <v>709</v>
      </c>
      <c r="AA1046" t="s">
        <v>710</v>
      </c>
    </row>
    <row r="1047" spans="25:27" x14ac:dyDescent="0.25">
      <c r="Y1047">
        <v>33741</v>
      </c>
      <c r="Z1047" t="s">
        <v>709</v>
      </c>
      <c r="AA1047" t="s">
        <v>710</v>
      </c>
    </row>
    <row r="1048" spans="25:27" x14ac:dyDescent="0.25">
      <c r="Y1048">
        <v>33742</v>
      </c>
      <c r="Z1048" t="s">
        <v>709</v>
      </c>
      <c r="AA1048" t="s">
        <v>710</v>
      </c>
    </row>
    <row r="1049" spans="25:27" x14ac:dyDescent="0.25">
      <c r="Y1049">
        <v>33743</v>
      </c>
      <c r="Z1049" t="s">
        <v>709</v>
      </c>
      <c r="AA1049" t="s">
        <v>710</v>
      </c>
    </row>
    <row r="1050" spans="25:27" x14ac:dyDescent="0.25">
      <c r="Y1050">
        <v>33744</v>
      </c>
      <c r="Z1050" t="s">
        <v>711</v>
      </c>
      <c r="AA1050" t="s">
        <v>710</v>
      </c>
    </row>
    <row r="1051" spans="25:27" x14ac:dyDescent="0.25">
      <c r="Y1051">
        <v>33747</v>
      </c>
      <c r="Z1051" t="s">
        <v>709</v>
      </c>
      <c r="AA1051" t="s">
        <v>710</v>
      </c>
    </row>
    <row r="1052" spans="25:27" x14ac:dyDescent="0.25">
      <c r="Y1052">
        <v>33755</v>
      </c>
      <c r="Z1052" t="s">
        <v>712</v>
      </c>
      <c r="AA1052" t="s">
        <v>710</v>
      </c>
    </row>
    <row r="1053" spans="25:27" x14ac:dyDescent="0.25">
      <c r="Y1053">
        <v>33756</v>
      </c>
      <c r="Z1053" t="s">
        <v>712</v>
      </c>
      <c r="AA1053" t="s">
        <v>710</v>
      </c>
    </row>
    <row r="1054" spans="25:27" x14ac:dyDescent="0.25">
      <c r="Y1054">
        <v>33757</v>
      </c>
      <c r="Z1054" t="s">
        <v>712</v>
      </c>
      <c r="AA1054" t="s">
        <v>710</v>
      </c>
    </row>
    <row r="1055" spans="25:27" x14ac:dyDescent="0.25">
      <c r="Y1055">
        <v>33758</v>
      </c>
      <c r="Z1055" t="s">
        <v>712</v>
      </c>
      <c r="AA1055" t="s">
        <v>710</v>
      </c>
    </row>
    <row r="1056" spans="25:27" x14ac:dyDescent="0.25">
      <c r="Y1056">
        <v>33759</v>
      </c>
      <c r="Z1056" t="s">
        <v>712</v>
      </c>
      <c r="AA1056" t="s">
        <v>710</v>
      </c>
    </row>
    <row r="1057" spans="25:27" x14ac:dyDescent="0.25">
      <c r="Y1057">
        <v>33760</v>
      </c>
      <c r="Z1057" t="s">
        <v>712</v>
      </c>
      <c r="AA1057" t="s">
        <v>710</v>
      </c>
    </row>
    <row r="1058" spans="25:27" x14ac:dyDescent="0.25">
      <c r="Y1058">
        <v>33761</v>
      </c>
      <c r="Z1058" t="s">
        <v>712</v>
      </c>
      <c r="AA1058" t="s">
        <v>710</v>
      </c>
    </row>
    <row r="1059" spans="25:27" x14ac:dyDescent="0.25">
      <c r="Y1059">
        <v>33762</v>
      </c>
      <c r="Z1059" t="s">
        <v>712</v>
      </c>
      <c r="AA1059" t="s">
        <v>710</v>
      </c>
    </row>
    <row r="1060" spans="25:27" x14ac:dyDescent="0.25">
      <c r="Y1060">
        <v>33763</v>
      </c>
      <c r="Z1060" t="s">
        <v>712</v>
      </c>
      <c r="AA1060" t="s">
        <v>710</v>
      </c>
    </row>
    <row r="1061" spans="25:27" x14ac:dyDescent="0.25">
      <c r="Y1061">
        <v>33764</v>
      </c>
      <c r="Z1061" t="s">
        <v>712</v>
      </c>
      <c r="AA1061" t="s">
        <v>710</v>
      </c>
    </row>
    <row r="1062" spans="25:27" x14ac:dyDescent="0.25">
      <c r="Y1062">
        <v>33765</v>
      </c>
      <c r="Z1062" t="s">
        <v>712</v>
      </c>
      <c r="AA1062" t="s">
        <v>710</v>
      </c>
    </row>
    <row r="1063" spans="25:27" x14ac:dyDescent="0.25">
      <c r="Y1063">
        <v>33766</v>
      </c>
      <c r="Z1063" t="s">
        <v>712</v>
      </c>
      <c r="AA1063" t="s">
        <v>710</v>
      </c>
    </row>
    <row r="1064" spans="25:27" x14ac:dyDescent="0.25">
      <c r="Y1064">
        <v>33767</v>
      </c>
      <c r="Z1064" t="s">
        <v>713</v>
      </c>
      <c r="AA1064" t="s">
        <v>710</v>
      </c>
    </row>
    <row r="1065" spans="25:27" x14ac:dyDescent="0.25">
      <c r="Y1065">
        <v>33769</v>
      </c>
      <c r="Z1065" t="s">
        <v>712</v>
      </c>
      <c r="AA1065" t="s">
        <v>710</v>
      </c>
    </row>
    <row r="1066" spans="25:27" x14ac:dyDescent="0.25">
      <c r="Y1066">
        <v>33770</v>
      </c>
      <c r="Z1066" t="s">
        <v>714</v>
      </c>
      <c r="AA1066" t="s">
        <v>710</v>
      </c>
    </row>
    <row r="1067" spans="25:27" x14ac:dyDescent="0.25">
      <c r="Y1067">
        <v>33771</v>
      </c>
      <c r="Z1067" t="s">
        <v>714</v>
      </c>
      <c r="AA1067" t="s">
        <v>710</v>
      </c>
    </row>
    <row r="1068" spans="25:27" x14ac:dyDescent="0.25">
      <c r="Y1068">
        <v>33772</v>
      </c>
      <c r="Z1068" t="s">
        <v>559</v>
      </c>
      <c r="AA1068" t="s">
        <v>710</v>
      </c>
    </row>
    <row r="1069" spans="25:27" x14ac:dyDescent="0.25">
      <c r="Y1069">
        <v>33773</v>
      </c>
      <c r="Z1069" t="s">
        <v>714</v>
      </c>
      <c r="AA1069" t="s">
        <v>710</v>
      </c>
    </row>
    <row r="1070" spans="25:27" x14ac:dyDescent="0.25">
      <c r="Y1070">
        <v>33774</v>
      </c>
      <c r="Z1070" t="s">
        <v>714</v>
      </c>
      <c r="AA1070" t="s">
        <v>710</v>
      </c>
    </row>
    <row r="1071" spans="25:27" x14ac:dyDescent="0.25">
      <c r="Y1071">
        <v>33775</v>
      </c>
      <c r="Z1071" t="s">
        <v>559</v>
      </c>
      <c r="AA1071" t="s">
        <v>710</v>
      </c>
    </row>
    <row r="1072" spans="25:27" x14ac:dyDescent="0.25">
      <c r="Y1072">
        <v>33776</v>
      </c>
      <c r="Z1072" t="s">
        <v>559</v>
      </c>
      <c r="AA1072" t="s">
        <v>710</v>
      </c>
    </row>
    <row r="1073" spans="25:27" x14ac:dyDescent="0.25">
      <c r="Y1073">
        <v>33777</v>
      </c>
      <c r="Z1073" t="s">
        <v>559</v>
      </c>
      <c r="AA1073" t="s">
        <v>710</v>
      </c>
    </row>
    <row r="1074" spans="25:27" x14ac:dyDescent="0.25">
      <c r="Y1074">
        <v>33778</v>
      </c>
      <c r="Z1074" t="s">
        <v>714</v>
      </c>
      <c r="AA1074" t="s">
        <v>710</v>
      </c>
    </row>
    <row r="1075" spans="25:27" x14ac:dyDescent="0.25">
      <c r="Y1075">
        <v>33779</v>
      </c>
      <c r="Z1075" t="s">
        <v>714</v>
      </c>
      <c r="AA1075" t="s">
        <v>710</v>
      </c>
    </row>
    <row r="1076" spans="25:27" x14ac:dyDescent="0.25">
      <c r="Y1076">
        <v>33780</v>
      </c>
      <c r="Z1076" t="s">
        <v>715</v>
      </c>
      <c r="AA1076" t="s">
        <v>710</v>
      </c>
    </row>
    <row r="1077" spans="25:27" x14ac:dyDescent="0.25">
      <c r="Y1077">
        <v>33781</v>
      </c>
      <c r="Z1077" t="s">
        <v>715</v>
      </c>
      <c r="AA1077" t="s">
        <v>710</v>
      </c>
    </row>
    <row r="1078" spans="25:27" x14ac:dyDescent="0.25">
      <c r="Y1078">
        <v>33782</v>
      </c>
      <c r="Z1078" t="s">
        <v>715</v>
      </c>
      <c r="AA1078" t="s">
        <v>710</v>
      </c>
    </row>
    <row r="1079" spans="25:27" x14ac:dyDescent="0.25">
      <c r="Y1079">
        <v>33784</v>
      </c>
      <c r="Z1079" t="s">
        <v>709</v>
      </c>
      <c r="AA1079" t="s">
        <v>710</v>
      </c>
    </row>
    <row r="1080" spans="25:27" x14ac:dyDescent="0.25">
      <c r="Y1080">
        <v>33785</v>
      </c>
      <c r="Z1080" t="s">
        <v>716</v>
      </c>
      <c r="AA1080" t="s">
        <v>710</v>
      </c>
    </row>
    <row r="1081" spans="25:27" x14ac:dyDescent="0.25">
      <c r="Y1081">
        <v>33786</v>
      </c>
      <c r="Z1081" t="s">
        <v>717</v>
      </c>
      <c r="AA1081" t="s">
        <v>710</v>
      </c>
    </row>
    <row r="1082" spans="25:27" x14ac:dyDescent="0.25">
      <c r="Y1082">
        <v>33801</v>
      </c>
      <c r="Z1082" t="s">
        <v>718</v>
      </c>
      <c r="AA1082" t="s">
        <v>719</v>
      </c>
    </row>
    <row r="1083" spans="25:27" x14ac:dyDescent="0.25">
      <c r="Y1083">
        <v>33802</v>
      </c>
      <c r="Z1083" t="s">
        <v>718</v>
      </c>
      <c r="AA1083" t="s">
        <v>719</v>
      </c>
    </row>
    <row r="1084" spans="25:27" x14ac:dyDescent="0.25">
      <c r="Y1084">
        <v>33803</v>
      </c>
      <c r="Z1084" t="s">
        <v>718</v>
      </c>
      <c r="AA1084" t="s">
        <v>719</v>
      </c>
    </row>
    <row r="1085" spans="25:27" x14ac:dyDescent="0.25">
      <c r="Y1085">
        <v>33804</v>
      </c>
      <c r="Z1085" t="s">
        <v>718</v>
      </c>
      <c r="AA1085" t="s">
        <v>719</v>
      </c>
    </row>
    <row r="1086" spans="25:27" x14ac:dyDescent="0.25">
      <c r="Y1086">
        <v>33805</v>
      </c>
      <c r="Z1086" t="s">
        <v>718</v>
      </c>
      <c r="AA1086" t="s">
        <v>719</v>
      </c>
    </row>
    <row r="1087" spans="25:27" x14ac:dyDescent="0.25">
      <c r="Y1087">
        <v>33806</v>
      </c>
      <c r="Z1087" t="s">
        <v>718</v>
      </c>
      <c r="AA1087" t="s">
        <v>719</v>
      </c>
    </row>
    <row r="1088" spans="25:27" x14ac:dyDescent="0.25">
      <c r="Y1088">
        <v>33807</v>
      </c>
      <c r="Z1088" t="s">
        <v>718</v>
      </c>
      <c r="AA1088" t="s">
        <v>719</v>
      </c>
    </row>
    <row r="1089" spans="25:27" x14ac:dyDescent="0.25">
      <c r="Y1089">
        <v>33809</v>
      </c>
      <c r="Z1089" t="s">
        <v>718</v>
      </c>
      <c r="AA1089" t="s">
        <v>719</v>
      </c>
    </row>
    <row r="1090" spans="25:27" x14ac:dyDescent="0.25">
      <c r="Y1090">
        <v>33810</v>
      </c>
      <c r="Z1090" t="s">
        <v>718</v>
      </c>
      <c r="AA1090" t="s">
        <v>719</v>
      </c>
    </row>
    <row r="1091" spans="25:27" x14ac:dyDescent="0.25">
      <c r="Y1091">
        <v>33811</v>
      </c>
      <c r="Z1091" t="s">
        <v>718</v>
      </c>
      <c r="AA1091" t="s">
        <v>719</v>
      </c>
    </row>
    <row r="1092" spans="25:27" x14ac:dyDescent="0.25">
      <c r="Y1092">
        <v>33812</v>
      </c>
      <c r="Z1092" t="s">
        <v>718</v>
      </c>
      <c r="AA1092" t="s">
        <v>719</v>
      </c>
    </row>
    <row r="1093" spans="25:27" x14ac:dyDescent="0.25">
      <c r="Y1093">
        <v>33813</v>
      </c>
      <c r="Z1093" t="s">
        <v>718</v>
      </c>
      <c r="AA1093" t="s">
        <v>719</v>
      </c>
    </row>
    <row r="1094" spans="25:27" x14ac:dyDescent="0.25">
      <c r="Y1094">
        <v>33815</v>
      </c>
      <c r="Z1094" t="s">
        <v>718</v>
      </c>
      <c r="AA1094" t="s">
        <v>719</v>
      </c>
    </row>
    <row r="1095" spans="25:27" x14ac:dyDescent="0.25">
      <c r="Y1095">
        <v>33820</v>
      </c>
      <c r="Z1095" t="s">
        <v>720</v>
      </c>
      <c r="AA1095" t="s">
        <v>719</v>
      </c>
    </row>
    <row r="1096" spans="25:27" x14ac:dyDescent="0.25">
      <c r="Y1096">
        <v>33823</v>
      </c>
      <c r="Z1096" t="s">
        <v>721</v>
      </c>
      <c r="AA1096" t="s">
        <v>719</v>
      </c>
    </row>
    <row r="1097" spans="25:27" x14ac:dyDescent="0.25">
      <c r="Y1097">
        <v>33825</v>
      </c>
      <c r="Z1097" t="s">
        <v>722</v>
      </c>
      <c r="AA1097" t="s">
        <v>723</v>
      </c>
    </row>
    <row r="1098" spans="25:27" x14ac:dyDescent="0.25">
      <c r="Y1098">
        <v>33826</v>
      </c>
      <c r="Z1098" t="s">
        <v>722</v>
      </c>
      <c r="AA1098" t="s">
        <v>723</v>
      </c>
    </row>
    <row r="1099" spans="25:27" x14ac:dyDescent="0.25">
      <c r="Y1099">
        <v>33827</v>
      </c>
      <c r="Z1099" t="s">
        <v>724</v>
      </c>
      <c r="AA1099" t="s">
        <v>719</v>
      </c>
    </row>
    <row r="1100" spans="25:27" x14ac:dyDescent="0.25">
      <c r="Y1100">
        <v>33830</v>
      </c>
      <c r="Z1100" t="s">
        <v>725</v>
      </c>
      <c r="AA1100" t="s">
        <v>719</v>
      </c>
    </row>
    <row r="1101" spans="25:27" x14ac:dyDescent="0.25">
      <c r="Y1101">
        <v>33831</v>
      </c>
      <c r="Z1101" t="s">
        <v>725</v>
      </c>
      <c r="AA1101" t="s">
        <v>719</v>
      </c>
    </row>
    <row r="1102" spans="25:27" x14ac:dyDescent="0.25">
      <c r="Y1102">
        <v>33834</v>
      </c>
      <c r="Z1102" t="s">
        <v>726</v>
      </c>
      <c r="AA1102" t="s">
        <v>727</v>
      </c>
    </row>
    <row r="1103" spans="25:27" x14ac:dyDescent="0.25">
      <c r="Y1103">
        <v>33835</v>
      </c>
      <c r="Z1103" t="s">
        <v>728</v>
      </c>
      <c r="AA1103" t="s">
        <v>719</v>
      </c>
    </row>
    <row r="1104" spans="25:27" x14ac:dyDescent="0.25">
      <c r="Y1104">
        <v>33836</v>
      </c>
      <c r="Z1104" t="s">
        <v>729</v>
      </c>
      <c r="AA1104" t="s">
        <v>719</v>
      </c>
    </row>
    <row r="1105" spans="25:27" x14ac:dyDescent="0.25">
      <c r="Y1105">
        <v>33837</v>
      </c>
      <c r="Z1105" t="s">
        <v>729</v>
      </c>
      <c r="AA1105" t="s">
        <v>719</v>
      </c>
    </row>
    <row r="1106" spans="25:27" x14ac:dyDescent="0.25">
      <c r="Y1106">
        <v>33838</v>
      </c>
      <c r="Z1106" t="s">
        <v>730</v>
      </c>
      <c r="AA1106" t="s">
        <v>719</v>
      </c>
    </row>
    <row r="1107" spans="25:27" x14ac:dyDescent="0.25">
      <c r="Y1107">
        <v>33839</v>
      </c>
      <c r="Z1107" t="s">
        <v>731</v>
      </c>
      <c r="AA1107" t="s">
        <v>719</v>
      </c>
    </row>
    <row r="1108" spans="25:27" x14ac:dyDescent="0.25">
      <c r="Y1108">
        <v>33840</v>
      </c>
      <c r="Z1108" t="s">
        <v>732</v>
      </c>
      <c r="AA1108" t="s">
        <v>719</v>
      </c>
    </row>
    <row r="1109" spans="25:27" x14ac:dyDescent="0.25">
      <c r="Y1109">
        <v>33841</v>
      </c>
      <c r="Z1109" t="s">
        <v>733</v>
      </c>
      <c r="AA1109" t="s">
        <v>719</v>
      </c>
    </row>
    <row r="1110" spans="25:27" x14ac:dyDescent="0.25">
      <c r="Y1110">
        <v>33843</v>
      </c>
      <c r="Z1110" t="s">
        <v>734</v>
      </c>
      <c r="AA1110" t="s">
        <v>719</v>
      </c>
    </row>
    <row r="1111" spans="25:27" x14ac:dyDescent="0.25">
      <c r="Y1111">
        <v>33844</v>
      </c>
      <c r="Z1111" t="s">
        <v>735</v>
      </c>
      <c r="AA1111" t="s">
        <v>719</v>
      </c>
    </row>
    <row r="1112" spans="25:27" x14ac:dyDescent="0.25">
      <c r="Y1112">
        <v>33845</v>
      </c>
      <c r="Z1112" t="s">
        <v>735</v>
      </c>
      <c r="AA1112" t="s">
        <v>719</v>
      </c>
    </row>
    <row r="1113" spans="25:27" x14ac:dyDescent="0.25">
      <c r="Y1113">
        <v>33846</v>
      </c>
      <c r="Z1113" t="s">
        <v>736</v>
      </c>
      <c r="AA1113" t="s">
        <v>719</v>
      </c>
    </row>
    <row r="1114" spans="25:27" x14ac:dyDescent="0.25">
      <c r="Y1114">
        <v>33847</v>
      </c>
      <c r="Z1114" t="s">
        <v>737</v>
      </c>
      <c r="AA1114" t="s">
        <v>719</v>
      </c>
    </row>
    <row r="1115" spans="25:27" x14ac:dyDescent="0.25">
      <c r="Y1115">
        <v>33848</v>
      </c>
      <c r="Z1115" t="s">
        <v>738</v>
      </c>
      <c r="AA1115" t="s">
        <v>739</v>
      </c>
    </row>
    <row r="1116" spans="25:27" x14ac:dyDescent="0.25">
      <c r="Y1116">
        <v>33849</v>
      </c>
      <c r="Z1116" t="s">
        <v>740</v>
      </c>
      <c r="AA1116" t="s">
        <v>719</v>
      </c>
    </row>
    <row r="1117" spans="25:27" x14ac:dyDescent="0.25">
      <c r="Y1117">
        <v>33850</v>
      </c>
      <c r="Z1117" t="s">
        <v>741</v>
      </c>
      <c r="AA1117" t="s">
        <v>719</v>
      </c>
    </row>
    <row r="1118" spans="25:27" x14ac:dyDescent="0.25">
      <c r="Y1118">
        <v>33851</v>
      </c>
      <c r="Z1118" t="s">
        <v>742</v>
      </c>
      <c r="AA1118" t="s">
        <v>719</v>
      </c>
    </row>
    <row r="1119" spans="25:27" x14ac:dyDescent="0.25">
      <c r="Y1119">
        <v>33852</v>
      </c>
      <c r="Z1119" t="s">
        <v>743</v>
      </c>
      <c r="AA1119" t="s">
        <v>723</v>
      </c>
    </row>
    <row r="1120" spans="25:27" x14ac:dyDescent="0.25">
      <c r="Y1120">
        <v>33853</v>
      </c>
      <c r="Z1120" t="s">
        <v>744</v>
      </c>
      <c r="AA1120" t="s">
        <v>719</v>
      </c>
    </row>
    <row r="1121" spans="25:27" x14ac:dyDescent="0.25">
      <c r="Y1121">
        <v>33854</v>
      </c>
      <c r="Z1121" t="s">
        <v>745</v>
      </c>
      <c r="AA1121" t="s">
        <v>719</v>
      </c>
    </row>
    <row r="1122" spans="25:27" x14ac:dyDescent="0.25">
      <c r="Y1122">
        <v>33855</v>
      </c>
      <c r="Z1122" t="s">
        <v>746</v>
      </c>
      <c r="AA1122" t="s">
        <v>719</v>
      </c>
    </row>
    <row r="1123" spans="25:27" x14ac:dyDescent="0.25">
      <c r="Y1123">
        <v>33856</v>
      </c>
      <c r="Z1123" t="s">
        <v>747</v>
      </c>
      <c r="AA1123" t="s">
        <v>719</v>
      </c>
    </row>
    <row r="1124" spans="25:27" x14ac:dyDescent="0.25">
      <c r="Y1124">
        <v>33857</v>
      </c>
      <c r="Z1124" t="s">
        <v>748</v>
      </c>
      <c r="AA1124" t="s">
        <v>723</v>
      </c>
    </row>
    <row r="1125" spans="25:27" x14ac:dyDescent="0.25">
      <c r="Y1125">
        <v>33858</v>
      </c>
      <c r="Z1125" t="s">
        <v>749</v>
      </c>
      <c r="AA1125" t="s">
        <v>719</v>
      </c>
    </row>
    <row r="1126" spans="25:27" x14ac:dyDescent="0.25">
      <c r="Y1126">
        <v>33859</v>
      </c>
      <c r="Z1126" t="s">
        <v>744</v>
      </c>
      <c r="AA1126" t="s">
        <v>719</v>
      </c>
    </row>
    <row r="1127" spans="25:27" x14ac:dyDescent="0.25">
      <c r="Y1127">
        <v>33860</v>
      </c>
      <c r="Z1127" t="s">
        <v>750</v>
      </c>
      <c r="AA1127" t="s">
        <v>719</v>
      </c>
    </row>
    <row r="1128" spans="25:27" x14ac:dyDescent="0.25">
      <c r="Y1128">
        <v>33862</v>
      </c>
      <c r="Z1128" t="s">
        <v>743</v>
      </c>
      <c r="AA1128" t="s">
        <v>723</v>
      </c>
    </row>
    <row r="1129" spans="25:27" x14ac:dyDescent="0.25">
      <c r="Y1129">
        <v>33863</v>
      </c>
      <c r="Z1129" t="s">
        <v>751</v>
      </c>
      <c r="AA1129" t="s">
        <v>719</v>
      </c>
    </row>
    <row r="1130" spans="25:27" x14ac:dyDescent="0.25">
      <c r="Y1130">
        <v>33865</v>
      </c>
      <c r="Z1130" t="s">
        <v>752</v>
      </c>
      <c r="AA1130" t="s">
        <v>727</v>
      </c>
    </row>
    <row r="1131" spans="25:27" x14ac:dyDescent="0.25">
      <c r="Y1131">
        <v>33867</v>
      </c>
      <c r="Z1131" t="s">
        <v>753</v>
      </c>
      <c r="AA1131" t="s">
        <v>719</v>
      </c>
    </row>
    <row r="1132" spans="25:27" x14ac:dyDescent="0.25">
      <c r="Y1132">
        <v>33868</v>
      </c>
      <c r="Z1132" t="s">
        <v>754</v>
      </c>
      <c r="AA1132" t="s">
        <v>719</v>
      </c>
    </row>
    <row r="1133" spans="25:27" x14ac:dyDescent="0.25">
      <c r="Y1133">
        <v>33870</v>
      </c>
      <c r="Z1133" t="s">
        <v>755</v>
      </c>
      <c r="AA1133" t="s">
        <v>723</v>
      </c>
    </row>
    <row r="1134" spans="25:27" x14ac:dyDescent="0.25">
      <c r="Y1134">
        <v>33871</v>
      </c>
      <c r="Z1134" t="s">
        <v>755</v>
      </c>
      <c r="AA1134" t="s">
        <v>723</v>
      </c>
    </row>
    <row r="1135" spans="25:27" x14ac:dyDescent="0.25">
      <c r="Y1135">
        <v>33872</v>
      </c>
      <c r="Z1135" t="s">
        <v>755</v>
      </c>
      <c r="AA1135" t="s">
        <v>723</v>
      </c>
    </row>
    <row r="1136" spans="25:27" x14ac:dyDescent="0.25">
      <c r="Y1136">
        <v>33873</v>
      </c>
      <c r="Z1136" t="s">
        <v>756</v>
      </c>
      <c r="AA1136" t="s">
        <v>727</v>
      </c>
    </row>
    <row r="1137" spans="25:27" x14ac:dyDescent="0.25">
      <c r="Y1137">
        <v>33875</v>
      </c>
      <c r="Z1137" t="s">
        <v>755</v>
      </c>
      <c r="AA1137" t="s">
        <v>723</v>
      </c>
    </row>
    <row r="1138" spans="25:27" x14ac:dyDescent="0.25">
      <c r="Y1138">
        <v>33876</v>
      </c>
      <c r="Z1138" t="s">
        <v>755</v>
      </c>
      <c r="AA1138" t="s">
        <v>723</v>
      </c>
    </row>
    <row r="1139" spans="25:27" x14ac:dyDescent="0.25">
      <c r="Y1139">
        <v>33877</v>
      </c>
      <c r="Z1139" t="s">
        <v>757</v>
      </c>
      <c r="AA1139" t="s">
        <v>719</v>
      </c>
    </row>
    <row r="1140" spans="25:27" x14ac:dyDescent="0.25">
      <c r="Y1140">
        <v>33880</v>
      </c>
      <c r="Z1140" t="s">
        <v>758</v>
      </c>
      <c r="AA1140" t="s">
        <v>719</v>
      </c>
    </row>
    <row r="1141" spans="25:27" x14ac:dyDescent="0.25">
      <c r="Y1141">
        <v>33881</v>
      </c>
      <c r="Z1141" t="s">
        <v>758</v>
      </c>
      <c r="AA1141" t="s">
        <v>719</v>
      </c>
    </row>
    <row r="1142" spans="25:27" x14ac:dyDescent="0.25">
      <c r="Y1142">
        <v>33882</v>
      </c>
      <c r="Z1142" t="s">
        <v>758</v>
      </c>
      <c r="AA1142" t="s">
        <v>719</v>
      </c>
    </row>
    <row r="1143" spans="25:27" x14ac:dyDescent="0.25">
      <c r="Y1143">
        <v>33883</v>
      </c>
      <c r="Z1143" t="s">
        <v>758</v>
      </c>
      <c r="AA1143" t="s">
        <v>719</v>
      </c>
    </row>
    <row r="1144" spans="25:27" x14ac:dyDescent="0.25">
      <c r="Y1144">
        <v>33884</v>
      </c>
      <c r="Z1144" t="s">
        <v>758</v>
      </c>
      <c r="AA1144" t="s">
        <v>719</v>
      </c>
    </row>
    <row r="1145" spans="25:27" x14ac:dyDescent="0.25">
      <c r="Y1145">
        <v>33885</v>
      </c>
      <c r="Z1145" t="s">
        <v>758</v>
      </c>
      <c r="AA1145" t="s">
        <v>719</v>
      </c>
    </row>
    <row r="1146" spans="25:27" x14ac:dyDescent="0.25">
      <c r="Y1146">
        <v>33888</v>
      </c>
      <c r="Z1146" t="s">
        <v>758</v>
      </c>
      <c r="AA1146" t="s">
        <v>719</v>
      </c>
    </row>
    <row r="1147" spans="25:27" x14ac:dyDescent="0.25">
      <c r="Y1147">
        <v>33890</v>
      </c>
      <c r="Z1147" t="s">
        <v>759</v>
      </c>
      <c r="AA1147" t="s">
        <v>727</v>
      </c>
    </row>
    <row r="1148" spans="25:27" x14ac:dyDescent="0.25">
      <c r="Y1148">
        <v>33896</v>
      </c>
      <c r="Z1148" t="s">
        <v>729</v>
      </c>
      <c r="AA1148" t="s">
        <v>719</v>
      </c>
    </row>
    <row r="1149" spans="25:27" x14ac:dyDescent="0.25">
      <c r="Y1149">
        <v>33897</v>
      </c>
      <c r="Z1149" t="s">
        <v>729</v>
      </c>
      <c r="AA1149" t="s">
        <v>719</v>
      </c>
    </row>
    <row r="1150" spans="25:27" x14ac:dyDescent="0.25">
      <c r="Y1150">
        <v>33898</v>
      </c>
      <c r="Z1150" t="s">
        <v>744</v>
      </c>
      <c r="AA1150" t="s">
        <v>719</v>
      </c>
    </row>
    <row r="1151" spans="25:27" x14ac:dyDescent="0.25">
      <c r="Y1151">
        <v>33901</v>
      </c>
      <c r="Z1151" t="s">
        <v>760</v>
      </c>
      <c r="AA1151" t="s">
        <v>346</v>
      </c>
    </row>
    <row r="1152" spans="25:27" x14ac:dyDescent="0.25">
      <c r="Y1152">
        <v>33902</v>
      </c>
      <c r="Z1152" t="s">
        <v>760</v>
      </c>
      <c r="AA1152" t="s">
        <v>346</v>
      </c>
    </row>
    <row r="1153" spans="25:27" x14ac:dyDescent="0.25">
      <c r="Y1153">
        <v>33903</v>
      </c>
      <c r="Z1153" t="s">
        <v>761</v>
      </c>
      <c r="AA1153" t="s">
        <v>346</v>
      </c>
    </row>
    <row r="1154" spans="25:27" x14ac:dyDescent="0.25">
      <c r="Y1154">
        <v>33904</v>
      </c>
      <c r="Z1154" t="s">
        <v>762</v>
      </c>
      <c r="AA1154" t="s">
        <v>346</v>
      </c>
    </row>
    <row r="1155" spans="25:27" x14ac:dyDescent="0.25">
      <c r="Y1155">
        <v>33905</v>
      </c>
      <c r="Z1155" t="s">
        <v>760</v>
      </c>
      <c r="AA1155" t="s">
        <v>346</v>
      </c>
    </row>
    <row r="1156" spans="25:27" x14ac:dyDescent="0.25">
      <c r="Y1156">
        <v>33906</v>
      </c>
      <c r="Z1156" t="s">
        <v>760</v>
      </c>
      <c r="AA1156" t="s">
        <v>346</v>
      </c>
    </row>
    <row r="1157" spans="25:27" x14ac:dyDescent="0.25">
      <c r="Y1157">
        <v>33907</v>
      </c>
      <c r="Z1157" t="s">
        <v>760</v>
      </c>
      <c r="AA1157" t="s">
        <v>346</v>
      </c>
    </row>
    <row r="1158" spans="25:27" x14ac:dyDescent="0.25">
      <c r="Y1158">
        <v>33908</v>
      </c>
      <c r="Z1158" t="s">
        <v>760</v>
      </c>
      <c r="AA1158" t="s">
        <v>346</v>
      </c>
    </row>
    <row r="1159" spans="25:27" x14ac:dyDescent="0.25">
      <c r="Y1159">
        <v>33909</v>
      </c>
      <c r="Z1159" t="s">
        <v>762</v>
      </c>
      <c r="AA1159" t="s">
        <v>346</v>
      </c>
    </row>
    <row r="1160" spans="25:27" x14ac:dyDescent="0.25">
      <c r="Y1160">
        <v>33910</v>
      </c>
      <c r="Z1160" t="s">
        <v>762</v>
      </c>
      <c r="AA1160" t="s">
        <v>346</v>
      </c>
    </row>
    <row r="1161" spans="25:27" x14ac:dyDescent="0.25">
      <c r="Y1161">
        <v>33911</v>
      </c>
      <c r="Z1161" t="s">
        <v>760</v>
      </c>
      <c r="AA1161" t="s">
        <v>346</v>
      </c>
    </row>
    <row r="1162" spans="25:27" x14ac:dyDescent="0.25">
      <c r="Y1162">
        <v>33912</v>
      </c>
      <c r="Z1162" t="s">
        <v>760</v>
      </c>
      <c r="AA1162" t="s">
        <v>346</v>
      </c>
    </row>
    <row r="1163" spans="25:27" x14ac:dyDescent="0.25">
      <c r="Y1163">
        <v>33913</v>
      </c>
      <c r="Z1163" t="s">
        <v>760</v>
      </c>
      <c r="AA1163" t="s">
        <v>346</v>
      </c>
    </row>
    <row r="1164" spans="25:27" x14ac:dyDescent="0.25">
      <c r="Y1164">
        <v>33914</v>
      </c>
      <c r="Z1164" t="s">
        <v>762</v>
      </c>
      <c r="AA1164" t="s">
        <v>346</v>
      </c>
    </row>
    <row r="1165" spans="25:27" x14ac:dyDescent="0.25">
      <c r="Y1165">
        <v>33915</v>
      </c>
      <c r="Z1165" t="s">
        <v>762</v>
      </c>
      <c r="AA1165" t="s">
        <v>346</v>
      </c>
    </row>
    <row r="1166" spans="25:27" x14ac:dyDescent="0.25">
      <c r="Y1166">
        <v>33916</v>
      </c>
      <c r="Z1166" t="s">
        <v>760</v>
      </c>
      <c r="AA1166" t="s">
        <v>346</v>
      </c>
    </row>
    <row r="1167" spans="25:27" x14ac:dyDescent="0.25">
      <c r="Y1167">
        <v>33917</v>
      </c>
      <c r="Z1167" t="s">
        <v>761</v>
      </c>
      <c r="AA1167" t="s">
        <v>346</v>
      </c>
    </row>
    <row r="1168" spans="25:27" x14ac:dyDescent="0.25">
      <c r="Y1168">
        <v>33918</v>
      </c>
      <c r="Z1168" t="s">
        <v>761</v>
      </c>
      <c r="AA1168" t="s">
        <v>346</v>
      </c>
    </row>
    <row r="1169" spans="25:27" x14ac:dyDescent="0.25">
      <c r="Y1169">
        <v>33919</v>
      </c>
      <c r="Z1169" t="s">
        <v>760</v>
      </c>
      <c r="AA1169" t="s">
        <v>346</v>
      </c>
    </row>
    <row r="1170" spans="25:27" x14ac:dyDescent="0.25">
      <c r="Y1170">
        <v>33920</v>
      </c>
      <c r="Z1170" t="s">
        <v>763</v>
      </c>
      <c r="AA1170" t="s">
        <v>346</v>
      </c>
    </row>
    <row r="1171" spans="25:27" x14ac:dyDescent="0.25">
      <c r="Y1171">
        <v>33921</v>
      </c>
      <c r="Z1171" t="s">
        <v>764</v>
      </c>
      <c r="AA1171" t="s">
        <v>346</v>
      </c>
    </row>
    <row r="1172" spans="25:27" x14ac:dyDescent="0.25">
      <c r="Y1172">
        <v>33922</v>
      </c>
      <c r="Z1172" t="s">
        <v>765</v>
      </c>
      <c r="AA1172" t="s">
        <v>346</v>
      </c>
    </row>
    <row r="1173" spans="25:27" x14ac:dyDescent="0.25">
      <c r="Y1173">
        <v>33924</v>
      </c>
      <c r="Z1173" t="s">
        <v>766</v>
      </c>
      <c r="AA1173" t="s">
        <v>346</v>
      </c>
    </row>
    <row r="1174" spans="25:27" x14ac:dyDescent="0.25">
      <c r="Y1174">
        <v>33927</v>
      </c>
      <c r="Z1174" t="s">
        <v>767</v>
      </c>
      <c r="AA1174" t="s">
        <v>768</v>
      </c>
    </row>
    <row r="1175" spans="25:27" x14ac:dyDescent="0.25">
      <c r="Y1175">
        <v>33928</v>
      </c>
      <c r="Z1175" t="s">
        <v>769</v>
      </c>
      <c r="AA1175" t="s">
        <v>346</v>
      </c>
    </row>
    <row r="1176" spans="25:27" x14ac:dyDescent="0.25">
      <c r="Y1176">
        <v>33930</v>
      </c>
      <c r="Z1176" t="s">
        <v>770</v>
      </c>
      <c r="AA1176" t="s">
        <v>659</v>
      </c>
    </row>
    <row r="1177" spans="25:27" x14ac:dyDescent="0.25">
      <c r="Y1177">
        <v>33931</v>
      </c>
      <c r="Z1177" t="s">
        <v>771</v>
      </c>
      <c r="AA1177" t="s">
        <v>346</v>
      </c>
    </row>
    <row r="1178" spans="25:27" x14ac:dyDescent="0.25">
      <c r="Y1178">
        <v>33932</v>
      </c>
      <c r="Z1178" t="s">
        <v>771</v>
      </c>
      <c r="AA1178" t="s">
        <v>346</v>
      </c>
    </row>
    <row r="1179" spans="25:27" x14ac:dyDescent="0.25">
      <c r="Y1179">
        <v>33935</v>
      </c>
      <c r="Z1179" t="s">
        <v>772</v>
      </c>
      <c r="AA1179" t="s">
        <v>659</v>
      </c>
    </row>
    <row r="1180" spans="25:27" x14ac:dyDescent="0.25">
      <c r="Y1180">
        <v>33936</v>
      </c>
      <c r="Z1180" t="s">
        <v>773</v>
      </c>
      <c r="AA1180" t="s">
        <v>346</v>
      </c>
    </row>
    <row r="1181" spans="25:27" x14ac:dyDescent="0.25">
      <c r="Y1181">
        <v>33938</v>
      </c>
      <c r="Z1181" t="s">
        <v>774</v>
      </c>
      <c r="AA1181" t="s">
        <v>768</v>
      </c>
    </row>
    <row r="1182" spans="25:27" x14ac:dyDescent="0.25">
      <c r="Y1182">
        <v>33944</v>
      </c>
      <c r="Z1182" t="s">
        <v>775</v>
      </c>
      <c r="AA1182" t="s">
        <v>669</v>
      </c>
    </row>
    <row r="1183" spans="25:27" x14ac:dyDescent="0.25">
      <c r="Y1183">
        <v>33945</v>
      </c>
      <c r="Z1183" t="s">
        <v>776</v>
      </c>
      <c r="AA1183" t="s">
        <v>346</v>
      </c>
    </row>
    <row r="1184" spans="25:27" x14ac:dyDescent="0.25">
      <c r="Y1184">
        <v>33946</v>
      </c>
      <c r="Z1184" t="s">
        <v>777</v>
      </c>
      <c r="AA1184" t="s">
        <v>768</v>
      </c>
    </row>
    <row r="1185" spans="25:27" x14ac:dyDescent="0.25">
      <c r="Y1185">
        <v>33947</v>
      </c>
      <c r="Z1185" t="s">
        <v>778</v>
      </c>
      <c r="AA1185" t="s">
        <v>768</v>
      </c>
    </row>
    <row r="1186" spans="25:27" x14ac:dyDescent="0.25">
      <c r="Y1186">
        <v>33948</v>
      </c>
      <c r="Z1186" t="s">
        <v>779</v>
      </c>
      <c r="AA1186" t="s">
        <v>768</v>
      </c>
    </row>
    <row r="1187" spans="25:27" x14ac:dyDescent="0.25">
      <c r="Y1187">
        <v>33949</v>
      </c>
      <c r="Z1187" t="s">
        <v>779</v>
      </c>
      <c r="AA1187" t="s">
        <v>768</v>
      </c>
    </row>
    <row r="1188" spans="25:27" x14ac:dyDescent="0.25">
      <c r="Y1188">
        <v>33950</v>
      </c>
      <c r="Z1188" t="s">
        <v>780</v>
      </c>
      <c r="AA1188" t="s">
        <v>768</v>
      </c>
    </row>
    <row r="1189" spans="25:27" x14ac:dyDescent="0.25">
      <c r="Y1189">
        <v>33951</v>
      </c>
      <c r="Z1189" t="s">
        <v>780</v>
      </c>
      <c r="AA1189" t="s">
        <v>768</v>
      </c>
    </row>
    <row r="1190" spans="25:27" x14ac:dyDescent="0.25">
      <c r="Y1190">
        <v>33952</v>
      </c>
      <c r="Z1190" t="s">
        <v>779</v>
      </c>
      <c r="AA1190" t="s">
        <v>768</v>
      </c>
    </row>
    <row r="1191" spans="25:27" x14ac:dyDescent="0.25">
      <c r="Y1191">
        <v>33953</v>
      </c>
      <c r="Z1191" t="s">
        <v>779</v>
      </c>
      <c r="AA1191" t="s">
        <v>768</v>
      </c>
    </row>
    <row r="1192" spans="25:27" x14ac:dyDescent="0.25">
      <c r="Y1192">
        <v>33954</v>
      </c>
      <c r="Z1192" t="s">
        <v>779</v>
      </c>
      <c r="AA1192" t="s">
        <v>768</v>
      </c>
    </row>
    <row r="1193" spans="25:27" x14ac:dyDescent="0.25">
      <c r="Y1193">
        <v>33955</v>
      </c>
      <c r="Z1193" t="s">
        <v>780</v>
      </c>
      <c r="AA1193" t="s">
        <v>768</v>
      </c>
    </row>
    <row r="1194" spans="25:27" x14ac:dyDescent="0.25">
      <c r="Y1194">
        <v>33956</v>
      </c>
      <c r="Z1194" t="s">
        <v>781</v>
      </c>
      <c r="AA1194" t="s">
        <v>346</v>
      </c>
    </row>
    <row r="1195" spans="25:27" x14ac:dyDescent="0.25">
      <c r="Y1195">
        <v>33957</v>
      </c>
      <c r="Z1195" t="s">
        <v>782</v>
      </c>
      <c r="AA1195" t="s">
        <v>346</v>
      </c>
    </row>
    <row r="1196" spans="25:27" x14ac:dyDescent="0.25">
      <c r="Y1196">
        <v>33960</v>
      </c>
      <c r="Z1196" t="s">
        <v>783</v>
      </c>
      <c r="AA1196" t="s">
        <v>723</v>
      </c>
    </row>
    <row r="1197" spans="25:27" x14ac:dyDescent="0.25">
      <c r="Y1197">
        <v>33965</v>
      </c>
      <c r="Z1197" t="s">
        <v>760</v>
      </c>
      <c r="AA1197" t="s">
        <v>346</v>
      </c>
    </row>
    <row r="1198" spans="25:27" x14ac:dyDescent="0.25">
      <c r="Y1198">
        <v>33966</v>
      </c>
      <c r="Z1198" t="s">
        <v>760</v>
      </c>
      <c r="AA1198" t="s">
        <v>346</v>
      </c>
    </row>
    <row r="1199" spans="25:27" x14ac:dyDescent="0.25">
      <c r="Y1199">
        <v>33967</v>
      </c>
      <c r="Z1199" t="s">
        <v>760</v>
      </c>
      <c r="AA1199" t="s">
        <v>346</v>
      </c>
    </row>
    <row r="1200" spans="25:27" x14ac:dyDescent="0.25">
      <c r="Y1200">
        <v>33970</v>
      </c>
      <c r="Z1200" t="s">
        <v>773</v>
      </c>
      <c r="AA1200" t="s">
        <v>346</v>
      </c>
    </row>
    <row r="1201" spans="25:27" x14ac:dyDescent="0.25">
      <c r="Y1201">
        <v>33971</v>
      </c>
      <c r="Z1201" t="s">
        <v>773</v>
      </c>
      <c r="AA1201" t="s">
        <v>346</v>
      </c>
    </row>
    <row r="1202" spans="25:27" x14ac:dyDescent="0.25">
      <c r="Y1202">
        <v>33972</v>
      </c>
      <c r="Z1202" t="s">
        <v>773</v>
      </c>
      <c r="AA1202" t="s">
        <v>346</v>
      </c>
    </row>
    <row r="1203" spans="25:27" x14ac:dyDescent="0.25">
      <c r="Y1203">
        <v>33975</v>
      </c>
      <c r="Z1203" t="s">
        <v>772</v>
      </c>
      <c r="AA1203" t="s">
        <v>659</v>
      </c>
    </row>
    <row r="1204" spans="25:27" x14ac:dyDescent="0.25">
      <c r="Y1204">
        <v>33980</v>
      </c>
      <c r="Z1204" t="s">
        <v>779</v>
      </c>
      <c r="AA1204" t="s">
        <v>768</v>
      </c>
    </row>
    <row r="1205" spans="25:27" x14ac:dyDescent="0.25">
      <c r="Y1205">
        <v>33981</v>
      </c>
      <c r="Z1205" t="s">
        <v>779</v>
      </c>
      <c r="AA1205" t="s">
        <v>768</v>
      </c>
    </row>
    <row r="1206" spans="25:27" x14ac:dyDescent="0.25">
      <c r="Y1206">
        <v>33982</v>
      </c>
      <c r="Z1206" t="s">
        <v>780</v>
      </c>
      <c r="AA1206" t="s">
        <v>768</v>
      </c>
    </row>
    <row r="1207" spans="25:27" x14ac:dyDescent="0.25">
      <c r="Y1207">
        <v>33983</v>
      </c>
      <c r="Z1207" t="s">
        <v>780</v>
      </c>
      <c r="AA1207" t="s">
        <v>768</v>
      </c>
    </row>
    <row r="1208" spans="25:27" x14ac:dyDescent="0.25">
      <c r="Y1208">
        <v>33990</v>
      </c>
      <c r="Z1208" t="s">
        <v>762</v>
      </c>
      <c r="AA1208" t="s">
        <v>346</v>
      </c>
    </row>
    <row r="1209" spans="25:27" x14ac:dyDescent="0.25">
      <c r="Y1209">
        <v>33991</v>
      </c>
      <c r="Z1209" t="s">
        <v>762</v>
      </c>
      <c r="AA1209" t="s">
        <v>346</v>
      </c>
    </row>
    <row r="1210" spans="25:27" x14ac:dyDescent="0.25">
      <c r="Y1210">
        <v>33993</v>
      </c>
      <c r="Z1210" t="s">
        <v>762</v>
      </c>
      <c r="AA1210" t="s">
        <v>346</v>
      </c>
    </row>
    <row r="1211" spans="25:27" x14ac:dyDescent="0.25">
      <c r="Y1211">
        <v>33994</v>
      </c>
      <c r="Z1211" t="s">
        <v>760</v>
      </c>
      <c r="AA1211" t="s">
        <v>346</v>
      </c>
    </row>
    <row r="1212" spans="25:27" x14ac:dyDescent="0.25">
      <c r="Y1212">
        <v>34101</v>
      </c>
      <c r="Z1212" t="s">
        <v>784</v>
      </c>
      <c r="AA1212" t="s">
        <v>785</v>
      </c>
    </row>
    <row r="1213" spans="25:27" x14ac:dyDescent="0.25">
      <c r="Y1213">
        <v>34102</v>
      </c>
      <c r="Z1213" t="s">
        <v>784</v>
      </c>
      <c r="AA1213" t="s">
        <v>785</v>
      </c>
    </row>
    <row r="1214" spans="25:27" x14ac:dyDescent="0.25">
      <c r="Y1214">
        <v>34103</v>
      </c>
      <c r="Z1214" t="s">
        <v>784</v>
      </c>
      <c r="AA1214" t="s">
        <v>785</v>
      </c>
    </row>
    <row r="1215" spans="25:27" x14ac:dyDescent="0.25">
      <c r="Y1215">
        <v>34104</v>
      </c>
      <c r="Z1215" t="s">
        <v>784</v>
      </c>
      <c r="AA1215" t="s">
        <v>785</v>
      </c>
    </row>
    <row r="1216" spans="25:27" x14ac:dyDescent="0.25">
      <c r="Y1216">
        <v>34105</v>
      </c>
      <c r="Z1216" t="s">
        <v>784</v>
      </c>
      <c r="AA1216" t="s">
        <v>785</v>
      </c>
    </row>
    <row r="1217" spans="25:27" x14ac:dyDescent="0.25">
      <c r="Y1217">
        <v>34106</v>
      </c>
      <c r="Z1217" t="s">
        <v>784</v>
      </c>
      <c r="AA1217" t="s">
        <v>785</v>
      </c>
    </row>
    <row r="1218" spans="25:27" x14ac:dyDescent="0.25">
      <c r="Y1218">
        <v>34107</v>
      </c>
      <c r="Z1218" t="s">
        <v>786</v>
      </c>
      <c r="AA1218" t="s">
        <v>785</v>
      </c>
    </row>
    <row r="1219" spans="25:27" x14ac:dyDescent="0.25">
      <c r="Y1219">
        <v>34108</v>
      </c>
      <c r="Z1219" t="s">
        <v>784</v>
      </c>
      <c r="AA1219" t="s">
        <v>785</v>
      </c>
    </row>
    <row r="1220" spans="25:27" x14ac:dyDescent="0.25">
      <c r="Y1220">
        <v>34109</v>
      </c>
      <c r="Z1220" t="s">
        <v>784</v>
      </c>
      <c r="AA1220" t="s">
        <v>785</v>
      </c>
    </row>
    <row r="1221" spans="25:27" x14ac:dyDescent="0.25">
      <c r="Y1221">
        <v>34110</v>
      </c>
      <c r="Z1221" t="s">
        <v>784</v>
      </c>
      <c r="AA1221" t="s">
        <v>785</v>
      </c>
    </row>
    <row r="1222" spans="25:27" x14ac:dyDescent="0.25">
      <c r="Y1222">
        <v>34112</v>
      </c>
      <c r="Z1222" t="s">
        <v>784</v>
      </c>
      <c r="AA1222" t="s">
        <v>785</v>
      </c>
    </row>
    <row r="1223" spans="25:27" x14ac:dyDescent="0.25">
      <c r="Y1223">
        <v>34113</v>
      </c>
      <c r="Z1223" t="s">
        <v>784</v>
      </c>
      <c r="AA1223" t="s">
        <v>785</v>
      </c>
    </row>
    <row r="1224" spans="25:27" x14ac:dyDescent="0.25">
      <c r="Y1224">
        <v>34114</v>
      </c>
      <c r="Z1224" t="s">
        <v>784</v>
      </c>
      <c r="AA1224" t="s">
        <v>785</v>
      </c>
    </row>
    <row r="1225" spans="25:27" x14ac:dyDescent="0.25">
      <c r="Y1225">
        <v>34116</v>
      </c>
      <c r="Z1225" t="s">
        <v>784</v>
      </c>
      <c r="AA1225" t="s">
        <v>785</v>
      </c>
    </row>
    <row r="1226" spans="25:27" x14ac:dyDescent="0.25">
      <c r="Y1226">
        <v>34117</v>
      </c>
      <c r="Z1226" t="s">
        <v>784</v>
      </c>
      <c r="AA1226" t="s">
        <v>785</v>
      </c>
    </row>
    <row r="1227" spans="25:27" x14ac:dyDescent="0.25">
      <c r="Y1227">
        <v>34119</v>
      </c>
      <c r="Z1227" t="s">
        <v>784</v>
      </c>
      <c r="AA1227" t="s">
        <v>785</v>
      </c>
    </row>
    <row r="1228" spans="25:27" x14ac:dyDescent="0.25">
      <c r="Y1228">
        <v>34120</v>
      </c>
      <c r="Z1228" t="s">
        <v>784</v>
      </c>
      <c r="AA1228" t="s">
        <v>785</v>
      </c>
    </row>
    <row r="1229" spans="25:27" x14ac:dyDescent="0.25">
      <c r="Y1229">
        <v>34133</v>
      </c>
      <c r="Z1229" t="s">
        <v>787</v>
      </c>
      <c r="AA1229" t="s">
        <v>346</v>
      </c>
    </row>
    <row r="1230" spans="25:27" x14ac:dyDescent="0.25">
      <c r="Y1230">
        <v>34134</v>
      </c>
      <c r="Z1230" t="s">
        <v>787</v>
      </c>
      <c r="AA1230" t="s">
        <v>346</v>
      </c>
    </row>
    <row r="1231" spans="25:27" x14ac:dyDescent="0.25">
      <c r="Y1231">
        <v>34135</v>
      </c>
      <c r="Z1231" t="s">
        <v>787</v>
      </c>
      <c r="AA1231" t="s">
        <v>346</v>
      </c>
    </row>
    <row r="1232" spans="25:27" x14ac:dyDescent="0.25">
      <c r="Y1232">
        <v>34136</v>
      </c>
      <c r="Z1232" t="s">
        <v>787</v>
      </c>
      <c r="AA1232" t="s">
        <v>346</v>
      </c>
    </row>
    <row r="1233" spans="25:27" x14ac:dyDescent="0.25">
      <c r="Y1233">
        <v>34137</v>
      </c>
      <c r="Z1233" t="s">
        <v>788</v>
      </c>
      <c r="AA1233" t="s">
        <v>785</v>
      </c>
    </row>
    <row r="1234" spans="25:27" x14ac:dyDescent="0.25">
      <c r="Y1234">
        <v>34138</v>
      </c>
      <c r="Z1234" t="s">
        <v>789</v>
      </c>
      <c r="AA1234" t="s">
        <v>785</v>
      </c>
    </row>
    <row r="1235" spans="25:27" x14ac:dyDescent="0.25">
      <c r="Y1235">
        <v>34139</v>
      </c>
      <c r="Z1235" t="s">
        <v>790</v>
      </c>
      <c r="AA1235" t="s">
        <v>785</v>
      </c>
    </row>
    <row r="1236" spans="25:27" x14ac:dyDescent="0.25">
      <c r="Y1236">
        <v>34140</v>
      </c>
      <c r="Z1236" t="s">
        <v>791</v>
      </c>
      <c r="AA1236" t="s">
        <v>785</v>
      </c>
    </row>
    <row r="1237" spans="25:27" x14ac:dyDescent="0.25">
      <c r="Y1237">
        <v>34141</v>
      </c>
      <c r="Z1237" t="s">
        <v>792</v>
      </c>
      <c r="AA1237" t="s">
        <v>625</v>
      </c>
    </row>
    <row r="1238" spans="25:27" x14ac:dyDescent="0.25">
      <c r="Y1238">
        <v>34142</v>
      </c>
      <c r="Z1238" t="s">
        <v>793</v>
      </c>
      <c r="AA1238" t="s">
        <v>785</v>
      </c>
    </row>
    <row r="1239" spans="25:27" x14ac:dyDescent="0.25">
      <c r="Y1239">
        <v>34143</v>
      </c>
      <c r="Z1239" t="s">
        <v>793</v>
      </c>
      <c r="AA1239" t="s">
        <v>785</v>
      </c>
    </row>
    <row r="1240" spans="25:27" x14ac:dyDescent="0.25">
      <c r="Y1240">
        <v>34145</v>
      </c>
      <c r="Z1240" t="s">
        <v>794</v>
      </c>
      <c r="AA1240" t="s">
        <v>785</v>
      </c>
    </row>
    <row r="1241" spans="25:27" x14ac:dyDescent="0.25">
      <c r="Y1241">
        <v>34146</v>
      </c>
      <c r="Z1241" t="s">
        <v>794</v>
      </c>
      <c r="AA1241" t="s">
        <v>785</v>
      </c>
    </row>
    <row r="1242" spans="25:27" x14ac:dyDescent="0.25">
      <c r="Y1242">
        <v>34201</v>
      </c>
      <c r="Z1242" t="s">
        <v>795</v>
      </c>
      <c r="AA1242" t="s">
        <v>796</v>
      </c>
    </row>
    <row r="1243" spans="25:27" x14ac:dyDescent="0.25">
      <c r="Y1243">
        <v>34202</v>
      </c>
      <c r="Z1243" t="s">
        <v>795</v>
      </c>
      <c r="AA1243" t="s">
        <v>796</v>
      </c>
    </row>
    <row r="1244" spans="25:27" x14ac:dyDescent="0.25">
      <c r="Y1244">
        <v>34203</v>
      </c>
      <c r="Z1244" t="s">
        <v>795</v>
      </c>
      <c r="AA1244" t="s">
        <v>796</v>
      </c>
    </row>
    <row r="1245" spans="25:27" x14ac:dyDescent="0.25">
      <c r="Y1245">
        <v>34204</v>
      </c>
      <c r="Z1245" t="s">
        <v>795</v>
      </c>
      <c r="AA1245" t="s">
        <v>796</v>
      </c>
    </row>
    <row r="1246" spans="25:27" x14ac:dyDescent="0.25">
      <c r="Y1246">
        <v>34205</v>
      </c>
      <c r="Z1246" t="s">
        <v>795</v>
      </c>
      <c r="AA1246" t="s">
        <v>796</v>
      </c>
    </row>
    <row r="1247" spans="25:27" x14ac:dyDescent="0.25">
      <c r="Y1247">
        <v>34206</v>
      </c>
      <c r="Z1247" t="s">
        <v>795</v>
      </c>
      <c r="AA1247" t="s">
        <v>796</v>
      </c>
    </row>
    <row r="1248" spans="25:27" x14ac:dyDescent="0.25">
      <c r="Y1248">
        <v>34207</v>
      </c>
      <c r="Z1248" t="s">
        <v>795</v>
      </c>
      <c r="AA1248" t="s">
        <v>796</v>
      </c>
    </row>
    <row r="1249" spans="25:27" x14ac:dyDescent="0.25">
      <c r="Y1249">
        <v>34208</v>
      </c>
      <c r="Z1249" t="s">
        <v>795</v>
      </c>
      <c r="AA1249" t="s">
        <v>796</v>
      </c>
    </row>
    <row r="1250" spans="25:27" x14ac:dyDescent="0.25">
      <c r="Y1250">
        <v>34209</v>
      </c>
      <c r="Z1250" t="s">
        <v>795</v>
      </c>
      <c r="AA1250" t="s">
        <v>796</v>
      </c>
    </row>
    <row r="1251" spans="25:27" x14ac:dyDescent="0.25">
      <c r="Y1251">
        <v>34210</v>
      </c>
      <c r="Z1251" t="s">
        <v>795</v>
      </c>
      <c r="AA1251" t="s">
        <v>796</v>
      </c>
    </row>
    <row r="1252" spans="25:27" x14ac:dyDescent="0.25">
      <c r="Y1252">
        <v>34211</v>
      </c>
      <c r="Z1252" t="s">
        <v>795</v>
      </c>
      <c r="AA1252" t="s">
        <v>796</v>
      </c>
    </row>
    <row r="1253" spans="25:27" x14ac:dyDescent="0.25">
      <c r="Y1253">
        <v>34212</v>
      </c>
      <c r="Z1253" t="s">
        <v>795</v>
      </c>
      <c r="AA1253" t="s">
        <v>796</v>
      </c>
    </row>
    <row r="1254" spans="25:27" x14ac:dyDescent="0.25">
      <c r="Y1254">
        <v>34215</v>
      </c>
      <c r="Z1254" t="s">
        <v>797</v>
      </c>
      <c r="AA1254" t="s">
        <v>796</v>
      </c>
    </row>
    <row r="1255" spans="25:27" x14ac:dyDescent="0.25">
      <c r="Y1255">
        <v>34216</v>
      </c>
      <c r="Z1255" t="s">
        <v>798</v>
      </c>
      <c r="AA1255" t="s">
        <v>796</v>
      </c>
    </row>
    <row r="1256" spans="25:27" x14ac:dyDescent="0.25">
      <c r="Y1256">
        <v>34217</v>
      </c>
      <c r="Z1256" t="s">
        <v>799</v>
      </c>
      <c r="AA1256" t="s">
        <v>796</v>
      </c>
    </row>
    <row r="1257" spans="25:27" x14ac:dyDescent="0.25">
      <c r="Y1257">
        <v>34218</v>
      </c>
      <c r="Z1257" t="s">
        <v>800</v>
      </c>
      <c r="AA1257" t="s">
        <v>796</v>
      </c>
    </row>
    <row r="1258" spans="25:27" x14ac:dyDescent="0.25">
      <c r="Y1258">
        <v>34219</v>
      </c>
      <c r="Z1258" t="s">
        <v>801</v>
      </c>
      <c r="AA1258" t="s">
        <v>796</v>
      </c>
    </row>
    <row r="1259" spans="25:27" x14ac:dyDescent="0.25">
      <c r="Y1259">
        <v>34220</v>
      </c>
      <c r="Z1259" t="s">
        <v>802</v>
      </c>
      <c r="AA1259" t="s">
        <v>796</v>
      </c>
    </row>
    <row r="1260" spans="25:27" x14ac:dyDescent="0.25">
      <c r="Y1260">
        <v>34221</v>
      </c>
      <c r="Z1260" t="s">
        <v>802</v>
      </c>
      <c r="AA1260" t="s">
        <v>796</v>
      </c>
    </row>
    <row r="1261" spans="25:27" x14ac:dyDescent="0.25">
      <c r="Y1261">
        <v>34222</v>
      </c>
      <c r="Z1261" t="s">
        <v>803</v>
      </c>
      <c r="AA1261" t="s">
        <v>796</v>
      </c>
    </row>
    <row r="1262" spans="25:27" x14ac:dyDescent="0.25">
      <c r="Y1262">
        <v>34223</v>
      </c>
      <c r="Z1262" t="s">
        <v>804</v>
      </c>
      <c r="AA1262" t="s">
        <v>805</v>
      </c>
    </row>
    <row r="1263" spans="25:27" x14ac:dyDescent="0.25">
      <c r="Y1263">
        <v>34224</v>
      </c>
      <c r="Z1263" t="s">
        <v>804</v>
      </c>
      <c r="AA1263" t="s">
        <v>768</v>
      </c>
    </row>
    <row r="1264" spans="25:27" x14ac:dyDescent="0.25">
      <c r="Y1264">
        <v>34228</v>
      </c>
      <c r="Z1264" t="s">
        <v>806</v>
      </c>
      <c r="AA1264" t="s">
        <v>796</v>
      </c>
    </row>
    <row r="1265" spans="25:27" x14ac:dyDescent="0.25">
      <c r="Y1265">
        <v>34229</v>
      </c>
      <c r="Z1265" t="s">
        <v>807</v>
      </c>
      <c r="AA1265" t="s">
        <v>805</v>
      </c>
    </row>
    <row r="1266" spans="25:27" x14ac:dyDescent="0.25">
      <c r="Y1266">
        <v>34230</v>
      </c>
      <c r="Z1266" t="s">
        <v>805</v>
      </c>
      <c r="AA1266" t="s">
        <v>805</v>
      </c>
    </row>
    <row r="1267" spans="25:27" x14ac:dyDescent="0.25">
      <c r="Y1267">
        <v>34231</v>
      </c>
      <c r="Z1267" t="s">
        <v>805</v>
      </c>
      <c r="AA1267" t="s">
        <v>805</v>
      </c>
    </row>
    <row r="1268" spans="25:27" x14ac:dyDescent="0.25">
      <c r="Y1268">
        <v>34232</v>
      </c>
      <c r="Z1268" t="s">
        <v>805</v>
      </c>
      <c r="AA1268" t="s">
        <v>805</v>
      </c>
    </row>
    <row r="1269" spans="25:27" x14ac:dyDescent="0.25">
      <c r="Y1269">
        <v>34233</v>
      </c>
      <c r="Z1269" t="s">
        <v>805</v>
      </c>
      <c r="AA1269" t="s">
        <v>805</v>
      </c>
    </row>
    <row r="1270" spans="25:27" x14ac:dyDescent="0.25">
      <c r="Y1270">
        <v>34234</v>
      </c>
      <c r="Z1270" t="s">
        <v>805</v>
      </c>
      <c r="AA1270" t="s">
        <v>805</v>
      </c>
    </row>
    <row r="1271" spans="25:27" x14ac:dyDescent="0.25">
      <c r="Y1271">
        <v>34235</v>
      </c>
      <c r="Z1271" t="s">
        <v>805</v>
      </c>
      <c r="AA1271" t="s">
        <v>805</v>
      </c>
    </row>
    <row r="1272" spans="25:27" x14ac:dyDescent="0.25">
      <c r="Y1272">
        <v>34236</v>
      </c>
      <c r="Z1272" t="s">
        <v>805</v>
      </c>
      <c r="AA1272" t="s">
        <v>805</v>
      </c>
    </row>
    <row r="1273" spans="25:27" x14ac:dyDescent="0.25">
      <c r="Y1273">
        <v>34237</v>
      </c>
      <c r="Z1273" t="s">
        <v>805</v>
      </c>
      <c r="AA1273" t="s">
        <v>805</v>
      </c>
    </row>
    <row r="1274" spans="25:27" x14ac:dyDescent="0.25">
      <c r="Y1274">
        <v>34238</v>
      </c>
      <c r="Z1274" t="s">
        <v>805</v>
      </c>
      <c r="AA1274" t="s">
        <v>805</v>
      </c>
    </row>
    <row r="1275" spans="25:27" x14ac:dyDescent="0.25">
      <c r="Y1275">
        <v>34239</v>
      </c>
      <c r="Z1275" t="s">
        <v>805</v>
      </c>
      <c r="AA1275" t="s">
        <v>805</v>
      </c>
    </row>
    <row r="1276" spans="25:27" x14ac:dyDescent="0.25">
      <c r="Y1276">
        <v>34240</v>
      </c>
      <c r="Z1276" t="s">
        <v>805</v>
      </c>
      <c r="AA1276" t="s">
        <v>805</v>
      </c>
    </row>
    <row r="1277" spans="25:27" x14ac:dyDescent="0.25">
      <c r="Y1277">
        <v>34241</v>
      </c>
      <c r="Z1277" t="s">
        <v>805</v>
      </c>
      <c r="AA1277" t="s">
        <v>805</v>
      </c>
    </row>
    <row r="1278" spans="25:27" x14ac:dyDescent="0.25">
      <c r="Y1278">
        <v>34242</v>
      </c>
      <c r="Z1278" t="s">
        <v>805</v>
      </c>
      <c r="AA1278" t="s">
        <v>805</v>
      </c>
    </row>
    <row r="1279" spans="25:27" x14ac:dyDescent="0.25">
      <c r="Y1279">
        <v>34243</v>
      </c>
      <c r="Z1279" t="s">
        <v>805</v>
      </c>
      <c r="AA1279" t="s">
        <v>796</v>
      </c>
    </row>
    <row r="1280" spans="25:27" x14ac:dyDescent="0.25">
      <c r="Y1280">
        <v>34250</v>
      </c>
      <c r="Z1280" t="s">
        <v>808</v>
      </c>
      <c r="AA1280" t="s">
        <v>796</v>
      </c>
    </row>
    <row r="1281" spans="25:27" x14ac:dyDescent="0.25">
      <c r="Y1281">
        <v>34251</v>
      </c>
      <c r="Z1281" t="s">
        <v>809</v>
      </c>
      <c r="AA1281" t="s">
        <v>796</v>
      </c>
    </row>
    <row r="1282" spans="25:27" x14ac:dyDescent="0.25">
      <c r="Y1282">
        <v>34260</v>
      </c>
      <c r="Z1282" t="s">
        <v>805</v>
      </c>
      <c r="AA1282" t="s">
        <v>796</v>
      </c>
    </row>
    <row r="1283" spans="25:27" x14ac:dyDescent="0.25">
      <c r="Y1283">
        <v>34264</v>
      </c>
      <c r="Z1283" t="s">
        <v>810</v>
      </c>
      <c r="AA1283" t="s">
        <v>796</v>
      </c>
    </row>
    <row r="1284" spans="25:27" x14ac:dyDescent="0.25">
      <c r="Y1284">
        <v>34265</v>
      </c>
      <c r="Z1284" t="s">
        <v>811</v>
      </c>
      <c r="AA1284" t="s">
        <v>812</v>
      </c>
    </row>
    <row r="1285" spans="25:27" x14ac:dyDescent="0.25">
      <c r="Y1285">
        <v>34266</v>
      </c>
      <c r="Z1285" t="s">
        <v>811</v>
      </c>
      <c r="AA1285" t="s">
        <v>812</v>
      </c>
    </row>
    <row r="1286" spans="25:27" x14ac:dyDescent="0.25">
      <c r="Y1286">
        <v>34267</v>
      </c>
      <c r="Z1286" t="s">
        <v>813</v>
      </c>
      <c r="AA1286" t="s">
        <v>812</v>
      </c>
    </row>
    <row r="1287" spans="25:27" x14ac:dyDescent="0.25">
      <c r="Y1287">
        <v>34268</v>
      </c>
      <c r="Z1287" t="s">
        <v>814</v>
      </c>
      <c r="AA1287" t="s">
        <v>812</v>
      </c>
    </row>
    <row r="1288" spans="25:27" x14ac:dyDescent="0.25">
      <c r="Y1288">
        <v>34269</v>
      </c>
      <c r="Z1288" t="s">
        <v>811</v>
      </c>
      <c r="AA1288" t="s">
        <v>812</v>
      </c>
    </row>
    <row r="1289" spans="25:27" x14ac:dyDescent="0.25">
      <c r="Y1289">
        <v>34270</v>
      </c>
      <c r="Z1289" t="s">
        <v>815</v>
      </c>
      <c r="AA1289" t="s">
        <v>796</v>
      </c>
    </row>
    <row r="1290" spans="25:27" x14ac:dyDescent="0.25">
      <c r="Y1290">
        <v>34272</v>
      </c>
      <c r="Z1290" t="s">
        <v>816</v>
      </c>
      <c r="AA1290" t="s">
        <v>805</v>
      </c>
    </row>
    <row r="1291" spans="25:27" x14ac:dyDescent="0.25">
      <c r="Y1291">
        <v>34274</v>
      </c>
      <c r="Z1291" t="s">
        <v>817</v>
      </c>
      <c r="AA1291" t="s">
        <v>805</v>
      </c>
    </row>
    <row r="1292" spans="25:27" x14ac:dyDescent="0.25">
      <c r="Y1292">
        <v>34275</v>
      </c>
      <c r="Z1292" t="s">
        <v>817</v>
      </c>
      <c r="AA1292" t="s">
        <v>805</v>
      </c>
    </row>
    <row r="1293" spans="25:27" x14ac:dyDescent="0.25">
      <c r="Y1293">
        <v>34276</v>
      </c>
      <c r="Z1293" t="s">
        <v>805</v>
      </c>
      <c r="AA1293" t="s">
        <v>805</v>
      </c>
    </row>
    <row r="1294" spans="25:27" x14ac:dyDescent="0.25">
      <c r="Y1294">
        <v>34277</v>
      </c>
      <c r="Z1294" t="s">
        <v>805</v>
      </c>
      <c r="AA1294" t="s">
        <v>805</v>
      </c>
    </row>
    <row r="1295" spans="25:27" x14ac:dyDescent="0.25">
      <c r="Y1295">
        <v>34278</v>
      </c>
      <c r="Z1295" t="s">
        <v>805</v>
      </c>
      <c r="AA1295" t="s">
        <v>805</v>
      </c>
    </row>
    <row r="1296" spans="25:27" x14ac:dyDescent="0.25">
      <c r="Y1296">
        <v>34280</v>
      </c>
      <c r="Z1296" t="s">
        <v>795</v>
      </c>
      <c r="AA1296" t="s">
        <v>796</v>
      </c>
    </row>
    <row r="1297" spans="25:27" x14ac:dyDescent="0.25">
      <c r="Y1297">
        <v>34281</v>
      </c>
      <c r="Z1297" t="s">
        <v>795</v>
      </c>
      <c r="AA1297" t="s">
        <v>796</v>
      </c>
    </row>
    <row r="1298" spans="25:27" x14ac:dyDescent="0.25">
      <c r="Y1298">
        <v>34282</v>
      </c>
      <c r="Z1298" t="s">
        <v>795</v>
      </c>
      <c r="AA1298" t="s">
        <v>796</v>
      </c>
    </row>
    <row r="1299" spans="25:27" x14ac:dyDescent="0.25">
      <c r="Y1299">
        <v>34284</v>
      </c>
      <c r="Z1299" t="s">
        <v>818</v>
      </c>
      <c r="AA1299" t="s">
        <v>805</v>
      </c>
    </row>
    <row r="1300" spans="25:27" x14ac:dyDescent="0.25">
      <c r="Y1300">
        <v>34285</v>
      </c>
      <c r="Z1300" t="s">
        <v>818</v>
      </c>
      <c r="AA1300" t="s">
        <v>805</v>
      </c>
    </row>
    <row r="1301" spans="25:27" x14ac:dyDescent="0.25">
      <c r="Y1301">
        <v>34286</v>
      </c>
      <c r="Z1301" t="s">
        <v>819</v>
      </c>
      <c r="AA1301" t="s">
        <v>805</v>
      </c>
    </row>
    <row r="1302" spans="25:27" x14ac:dyDescent="0.25">
      <c r="Y1302">
        <v>34287</v>
      </c>
      <c r="Z1302" t="s">
        <v>819</v>
      </c>
      <c r="AA1302" t="s">
        <v>805</v>
      </c>
    </row>
    <row r="1303" spans="25:27" x14ac:dyDescent="0.25">
      <c r="Y1303">
        <v>34288</v>
      </c>
      <c r="Z1303" t="s">
        <v>819</v>
      </c>
      <c r="AA1303" t="s">
        <v>805</v>
      </c>
    </row>
    <row r="1304" spans="25:27" x14ac:dyDescent="0.25">
      <c r="Y1304">
        <v>34289</v>
      </c>
      <c r="Z1304" t="s">
        <v>819</v>
      </c>
      <c r="AA1304" t="s">
        <v>805</v>
      </c>
    </row>
    <row r="1305" spans="25:27" x14ac:dyDescent="0.25">
      <c r="Y1305">
        <v>34292</v>
      </c>
      <c r="Z1305" t="s">
        <v>818</v>
      </c>
      <c r="AA1305" t="s">
        <v>805</v>
      </c>
    </row>
    <row r="1306" spans="25:27" x14ac:dyDescent="0.25">
      <c r="Y1306">
        <v>34293</v>
      </c>
      <c r="Z1306" t="s">
        <v>818</v>
      </c>
      <c r="AA1306" t="s">
        <v>805</v>
      </c>
    </row>
    <row r="1307" spans="25:27" x14ac:dyDescent="0.25">
      <c r="Y1307">
        <v>34295</v>
      </c>
      <c r="Z1307" t="s">
        <v>804</v>
      </c>
      <c r="AA1307" t="s">
        <v>805</v>
      </c>
    </row>
    <row r="1308" spans="25:27" x14ac:dyDescent="0.25">
      <c r="Y1308">
        <v>34420</v>
      </c>
      <c r="Z1308" t="s">
        <v>820</v>
      </c>
      <c r="AA1308" t="s">
        <v>371</v>
      </c>
    </row>
    <row r="1309" spans="25:27" x14ac:dyDescent="0.25">
      <c r="Y1309">
        <v>34421</v>
      </c>
      <c r="Z1309" t="s">
        <v>820</v>
      </c>
      <c r="AA1309" t="s">
        <v>371</v>
      </c>
    </row>
    <row r="1310" spans="25:27" x14ac:dyDescent="0.25">
      <c r="Y1310">
        <v>34423</v>
      </c>
      <c r="Z1310" t="s">
        <v>821</v>
      </c>
      <c r="AA1310" t="s">
        <v>104</v>
      </c>
    </row>
    <row r="1311" spans="25:27" x14ac:dyDescent="0.25">
      <c r="Y1311">
        <v>34428</v>
      </c>
      <c r="Z1311" t="s">
        <v>821</v>
      </c>
      <c r="AA1311" t="s">
        <v>104</v>
      </c>
    </row>
    <row r="1312" spans="25:27" x14ac:dyDescent="0.25">
      <c r="Y1312">
        <v>34429</v>
      </c>
      <c r="Z1312" t="s">
        <v>821</v>
      </c>
      <c r="AA1312" t="s">
        <v>104</v>
      </c>
    </row>
    <row r="1313" spans="25:27" x14ac:dyDescent="0.25">
      <c r="Y1313">
        <v>34430</v>
      </c>
      <c r="Z1313" t="s">
        <v>822</v>
      </c>
      <c r="AA1313" t="s">
        <v>371</v>
      </c>
    </row>
    <row r="1314" spans="25:27" x14ac:dyDescent="0.25">
      <c r="Y1314">
        <v>34431</v>
      </c>
      <c r="Z1314" t="s">
        <v>822</v>
      </c>
      <c r="AA1314" t="s">
        <v>371</v>
      </c>
    </row>
    <row r="1315" spans="25:27" x14ac:dyDescent="0.25">
      <c r="Y1315">
        <v>34432</v>
      </c>
      <c r="Z1315" t="s">
        <v>822</v>
      </c>
      <c r="AA1315" t="s">
        <v>371</v>
      </c>
    </row>
    <row r="1316" spans="25:27" x14ac:dyDescent="0.25">
      <c r="Y1316">
        <v>34433</v>
      </c>
      <c r="Z1316" t="s">
        <v>822</v>
      </c>
      <c r="AA1316" t="s">
        <v>104</v>
      </c>
    </row>
    <row r="1317" spans="25:27" x14ac:dyDescent="0.25">
      <c r="Y1317">
        <v>34434</v>
      </c>
      <c r="Z1317" t="s">
        <v>822</v>
      </c>
      <c r="AA1317" t="s">
        <v>104</v>
      </c>
    </row>
    <row r="1318" spans="25:27" x14ac:dyDescent="0.25">
      <c r="Y1318">
        <v>34436</v>
      </c>
      <c r="Z1318" t="s">
        <v>823</v>
      </c>
      <c r="AA1318" t="s">
        <v>104</v>
      </c>
    </row>
    <row r="1319" spans="25:27" x14ac:dyDescent="0.25">
      <c r="Y1319">
        <v>34442</v>
      </c>
      <c r="Z1319" t="s">
        <v>824</v>
      </c>
      <c r="AA1319" t="s">
        <v>104</v>
      </c>
    </row>
    <row r="1320" spans="25:27" x14ac:dyDescent="0.25">
      <c r="Y1320">
        <v>34445</v>
      </c>
      <c r="Z1320" t="s">
        <v>825</v>
      </c>
      <c r="AA1320" t="s">
        <v>104</v>
      </c>
    </row>
    <row r="1321" spans="25:27" x14ac:dyDescent="0.25">
      <c r="Y1321">
        <v>34446</v>
      </c>
      <c r="Z1321" t="s">
        <v>826</v>
      </c>
      <c r="AA1321" t="s">
        <v>104</v>
      </c>
    </row>
    <row r="1322" spans="25:27" x14ac:dyDescent="0.25">
      <c r="Y1322">
        <v>34447</v>
      </c>
      <c r="Z1322" t="s">
        <v>827</v>
      </c>
      <c r="AA1322" t="s">
        <v>104</v>
      </c>
    </row>
    <row r="1323" spans="25:27" x14ac:dyDescent="0.25">
      <c r="Y1323">
        <v>34448</v>
      </c>
      <c r="Z1323" t="s">
        <v>826</v>
      </c>
      <c r="AA1323" t="s">
        <v>104</v>
      </c>
    </row>
    <row r="1324" spans="25:27" x14ac:dyDescent="0.25">
      <c r="Y1324">
        <v>34449</v>
      </c>
      <c r="Z1324" t="s">
        <v>828</v>
      </c>
      <c r="AA1324" t="s">
        <v>527</v>
      </c>
    </row>
    <row r="1325" spans="25:27" x14ac:dyDescent="0.25">
      <c r="Y1325">
        <v>34450</v>
      </c>
      <c r="Z1325" t="s">
        <v>829</v>
      </c>
      <c r="AA1325" t="s">
        <v>104</v>
      </c>
    </row>
    <row r="1326" spans="25:27" x14ac:dyDescent="0.25">
      <c r="Y1326">
        <v>34451</v>
      </c>
      <c r="Z1326" t="s">
        <v>829</v>
      </c>
      <c r="AA1326" t="s">
        <v>104</v>
      </c>
    </row>
    <row r="1327" spans="25:27" x14ac:dyDescent="0.25">
      <c r="Y1327">
        <v>34452</v>
      </c>
      <c r="Z1327" t="s">
        <v>829</v>
      </c>
      <c r="AA1327" t="s">
        <v>104</v>
      </c>
    </row>
    <row r="1328" spans="25:27" x14ac:dyDescent="0.25">
      <c r="Y1328">
        <v>34453</v>
      </c>
      <c r="Z1328" t="s">
        <v>829</v>
      </c>
      <c r="AA1328" t="s">
        <v>104</v>
      </c>
    </row>
    <row r="1329" spans="25:27" x14ac:dyDescent="0.25">
      <c r="Y1329">
        <v>34460</v>
      </c>
      <c r="Z1329" t="s">
        <v>830</v>
      </c>
      <c r="AA1329" t="s">
        <v>104</v>
      </c>
    </row>
    <row r="1330" spans="25:27" x14ac:dyDescent="0.25">
      <c r="Y1330">
        <v>34461</v>
      </c>
      <c r="Z1330" t="s">
        <v>830</v>
      </c>
      <c r="AA1330" t="s">
        <v>104</v>
      </c>
    </row>
    <row r="1331" spans="25:27" x14ac:dyDescent="0.25">
      <c r="Y1331">
        <v>34464</v>
      </c>
      <c r="Z1331" t="s">
        <v>831</v>
      </c>
      <c r="AA1331" t="s">
        <v>104</v>
      </c>
    </row>
    <row r="1332" spans="25:27" x14ac:dyDescent="0.25">
      <c r="Y1332">
        <v>34465</v>
      </c>
      <c r="Z1332" t="s">
        <v>831</v>
      </c>
      <c r="AA1332" t="s">
        <v>104</v>
      </c>
    </row>
    <row r="1333" spans="25:27" x14ac:dyDescent="0.25">
      <c r="Y1333">
        <v>34470</v>
      </c>
      <c r="Z1333" t="s">
        <v>832</v>
      </c>
      <c r="AA1333" t="s">
        <v>371</v>
      </c>
    </row>
    <row r="1334" spans="25:27" x14ac:dyDescent="0.25">
      <c r="Y1334">
        <v>34471</v>
      </c>
      <c r="Z1334" t="s">
        <v>832</v>
      </c>
      <c r="AA1334" t="s">
        <v>371</v>
      </c>
    </row>
    <row r="1335" spans="25:27" x14ac:dyDescent="0.25">
      <c r="Y1335">
        <v>34472</v>
      </c>
      <c r="Z1335" t="s">
        <v>832</v>
      </c>
      <c r="AA1335" t="s">
        <v>371</v>
      </c>
    </row>
    <row r="1336" spans="25:27" x14ac:dyDescent="0.25">
      <c r="Y1336">
        <v>34473</v>
      </c>
      <c r="Z1336" t="s">
        <v>832</v>
      </c>
      <c r="AA1336" t="s">
        <v>371</v>
      </c>
    </row>
    <row r="1337" spans="25:27" x14ac:dyDescent="0.25">
      <c r="Y1337">
        <v>34474</v>
      </c>
      <c r="Z1337" t="s">
        <v>832</v>
      </c>
      <c r="AA1337" t="s">
        <v>371</v>
      </c>
    </row>
    <row r="1338" spans="25:27" x14ac:dyDescent="0.25">
      <c r="Y1338">
        <v>34475</v>
      </c>
      <c r="Z1338" t="s">
        <v>832</v>
      </c>
      <c r="AA1338" t="s">
        <v>371</v>
      </c>
    </row>
    <row r="1339" spans="25:27" x14ac:dyDescent="0.25">
      <c r="Y1339">
        <v>34476</v>
      </c>
      <c r="Z1339" t="s">
        <v>832</v>
      </c>
      <c r="AA1339" t="s">
        <v>371</v>
      </c>
    </row>
    <row r="1340" spans="25:27" x14ac:dyDescent="0.25">
      <c r="Y1340">
        <v>34477</v>
      </c>
      <c r="Z1340" t="s">
        <v>832</v>
      </c>
      <c r="AA1340" t="s">
        <v>371</v>
      </c>
    </row>
    <row r="1341" spans="25:27" x14ac:dyDescent="0.25">
      <c r="Y1341">
        <v>34478</v>
      </c>
      <c r="Z1341" t="s">
        <v>832</v>
      </c>
      <c r="AA1341" t="s">
        <v>371</v>
      </c>
    </row>
    <row r="1342" spans="25:27" x14ac:dyDescent="0.25">
      <c r="Y1342">
        <v>34479</v>
      </c>
      <c r="Z1342" t="s">
        <v>832</v>
      </c>
      <c r="AA1342" t="s">
        <v>371</v>
      </c>
    </row>
    <row r="1343" spans="25:27" x14ac:dyDescent="0.25">
      <c r="Y1343">
        <v>34480</v>
      </c>
      <c r="Z1343" t="s">
        <v>832</v>
      </c>
      <c r="AA1343" t="s">
        <v>371</v>
      </c>
    </row>
    <row r="1344" spans="25:27" x14ac:dyDescent="0.25">
      <c r="Y1344">
        <v>34481</v>
      </c>
      <c r="Z1344" t="s">
        <v>832</v>
      </c>
      <c r="AA1344" t="s">
        <v>371</v>
      </c>
    </row>
    <row r="1345" spans="25:27" x14ac:dyDescent="0.25">
      <c r="Y1345">
        <v>34482</v>
      </c>
      <c r="Z1345" t="s">
        <v>832</v>
      </c>
      <c r="AA1345" t="s">
        <v>371</v>
      </c>
    </row>
    <row r="1346" spans="25:27" x14ac:dyDescent="0.25">
      <c r="Y1346">
        <v>34483</v>
      </c>
      <c r="Z1346" t="s">
        <v>832</v>
      </c>
      <c r="AA1346" t="s">
        <v>371</v>
      </c>
    </row>
    <row r="1347" spans="25:27" x14ac:dyDescent="0.25">
      <c r="Y1347">
        <v>34484</v>
      </c>
      <c r="Z1347" t="s">
        <v>833</v>
      </c>
      <c r="AA1347" t="s">
        <v>393</v>
      </c>
    </row>
    <row r="1348" spans="25:27" x14ac:dyDescent="0.25">
      <c r="Y1348">
        <v>34487</v>
      </c>
      <c r="Z1348" t="s">
        <v>826</v>
      </c>
      <c r="AA1348" t="s">
        <v>104</v>
      </c>
    </row>
    <row r="1349" spans="25:27" x14ac:dyDescent="0.25">
      <c r="Y1349">
        <v>34488</v>
      </c>
      <c r="Z1349" t="s">
        <v>834</v>
      </c>
      <c r="AA1349" t="s">
        <v>371</v>
      </c>
    </row>
    <row r="1350" spans="25:27" x14ac:dyDescent="0.25">
      <c r="Y1350">
        <v>34489</v>
      </c>
      <c r="Z1350" t="s">
        <v>834</v>
      </c>
      <c r="AA1350" t="s">
        <v>371</v>
      </c>
    </row>
    <row r="1351" spans="25:27" x14ac:dyDescent="0.25">
      <c r="Y1351">
        <v>34491</v>
      </c>
      <c r="Z1351" t="s">
        <v>835</v>
      </c>
      <c r="AA1351" t="s">
        <v>371</v>
      </c>
    </row>
    <row r="1352" spans="25:27" x14ac:dyDescent="0.25">
      <c r="Y1352">
        <v>34492</v>
      </c>
      <c r="Z1352" t="s">
        <v>835</v>
      </c>
      <c r="AA1352" t="s">
        <v>371</v>
      </c>
    </row>
    <row r="1353" spans="25:27" x14ac:dyDescent="0.25">
      <c r="Y1353">
        <v>34498</v>
      </c>
      <c r="Z1353" t="s">
        <v>836</v>
      </c>
      <c r="AA1353" t="s">
        <v>527</v>
      </c>
    </row>
    <row r="1354" spans="25:27" x14ac:dyDescent="0.25">
      <c r="Y1354">
        <v>34601</v>
      </c>
      <c r="Z1354" t="s">
        <v>837</v>
      </c>
      <c r="AA1354" t="s">
        <v>824</v>
      </c>
    </row>
    <row r="1355" spans="25:27" x14ac:dyDescent="0.25">
      <c r="Y1355">
        <v>34602</v>
      </c>
      <c r="Z1355" t="s">
        <v>837</v>
      </c>
      <c r="AA1355" t="s">
        <v>824</v>
      </c>
    </row>
    <row r="1356" spans="25:27" x14ac:dyDescent="0.25">
      <c r="Y1356">
        <v>34603</v>
      </c>
      <c r="Z1356" t="s">
        <v>837</v>
      </c>
      <c r="AA1356" t="s">
        <v>824</v>
      </c>
    </row>
    <row r="1357" spans="25:27" x14ac:dyDescent="0.25">
      <c r="Y1357">
        <v>34604</v>
      </c>
      <c r="Z1357" t="s">
        <v>837</v>
      </c>
      <c r="AA1357" t="s">
        <v>824</v>
      </c>
    </row>
    <row r="1358" spans="25:27" x14ac:dyDescent="0.25">
      <c r="Y1358">
        <v>34605</v>
      </c>
      <c r="Z1358" t="s">
        <v>837</v>
      </c>
      <c r="AA1358" t="s">
        <v>824</v>
      </c>
    </row>
    <row r="1359" spans="25:27" x14ac:dyDescent="0.25">
      <c r="Y1359">
        <v>34606</v>
      </c>
      <c r="Z1359" t="s">
        <v>838</v>
      </c>
      <c r="AA1359" t="s">
        <v>824</v>
      </c>
    </row>
    <row r="1360" spans="25:27" x14ac:dyDescent="0.25">
      <c r="Y1360">
        <v>34607</v>
      </c>
      <c r="Z1360" t="s">
        <v>838</v>
      </c>
      <c r="AA1360" t="s">
        <v>824</v>
      </c>
    </row>
    <row r="1361" spans="25:27" x14ac:dyDescent="0.25">
      <c r="Y1361">
        <v>34608</v>
      </c>
      <c r="Z1361" t="s">
        <v>838</v>
      </c>
      <c r="AA1361" t="s">
        <v>824</v>
      </c>
    </row>
    <row r="1362" spans="25:27" x14ac:dyDescent="0.25">
      <c r="Y1362">
        <v>34609</v>
      </c>
      <c r="Z1362" t="s">
        <v>838</v>
      </c>
      <c r="AA1362" t="s">
        <v>824</v>
      </c>
    </row>
    <row r="1363" spans="25:27" x14ac:dyDescent="0.25">
      <c r="Y1363">
        <v>34610</v>
      </c>
      <c r="Z1363" t="s">
        <v>838</v>
      </c>
      <c r="AA1363" t="s">
        <v>679</v>
      </c>
    </row>
    <row r="1364" spans="25:27" x14ac:dyDescent="0.25">
      <c r="Y1364">
        <v>34611</v>
      </c>
      <c r="Z1364" t="s">
        <v>838</v>
      </c>
      <c r="AA1364" t="s">
        <v>824</v>
      </c>
    </row>
    <row r="1365" spans="25:27" x14ac:dyDescent="0.25">
      <c r="Y1365">
        <v>34613</v>
      </c>
      <c r="Z1365" t="s">
        <v>837</v>
      </c>
      <c r="AA1365" t="s">
        <v>824</v>
      </c>
    </row>
    <row r="1366" spans="25:27" x14ac:dyDescent="0.25">
      <c r="Y1366">
        <v>34614</v>
      </c>
      <c r="Z1366" t="s">
        <v>837</v>
      </c>
      <c r="AA1366" t="s">
        <v>824</v>
      </c>
    </row>
    <row r="1367" spans="25:27" x14ac:dyDescent="0.25">
      <c r="Y1367">
        <v>34636</v>
      </c>
      <c r="Z1367" t="s">
        <v>839</v>
      </c>
      <c r="AA1367" t="s">
        <v>824</v>
      </c>
    </row>
    <row r="1368" spans="25:27" x14ac:dyDescent="0.25">
      <c r="Y1368">
        <v>34637</v>
      </c>
      <c r="Z1368" t="s">
        <v>840</v>
      </c>
      <c r="AA1368" t="s">
        <v>679</v>
      </c>
    </row>
    <row r="1369" spans="25:27" x14ac:dyDescent="0.25">
      <c r="Y1369">
        <v>34638</v>
      </c>
      <c r="Z1369" t="s">
        <v>840</v>
      </c>
      <c r="AA1369" t="s">
        <v>679</v>
      </c>
    </row>
    <row r="1370" spans="25:27" x14ac:dyDescent="0.25">
      <c r="Y1370">
        <v>34639</v>
      </c>
      <c r="Z1370" t="s">
        <v>840</v>
      </c>
      <c r="AA1370" t="s">
        <v>679</v>
      </c>
    </row>
    <row r="1371" spans="25:27" x14ac:dyDescent="0.25">
      <c r="Y1371">
        <v>34652</v>
      </c>
      <c r="Z1371" t="s">
        <v>841</v>
      </c>
      <c r="AA1371" t="s">
        <v>679</v>
      </c>
    </row>
    <row r="1372" spans="25:27" x14ac:dyDescent="0.25">
      <c r="Y1372">
        <v>34653</v>
      </c>
      <c r="Z1372" t="s">
        <v>841</v>
      </c>
      <c r="AA1372" t="s">
        <v>679</v>
      </c>
    </row>
    <row r="1373" spans="25:27" x14ac:dyDescent="0.25">
      <c r="Y1373">
        <v>34654</v>
      </c>
      <c r="Z1373" t="s">
        <v>841</v>
      </c>
      <c r="AA1373" t="s">
        <v>679</v>
      </c>
    </row>
    <row r="1374" spans="25:27" x14ac:dyDescent="0.25">
      <c r="Y1374">
        <v>34655</v>
      </c>
      <c r="Z1374" t="s">
        <v>841</v>
      </c>
      <c r="AA1374" t="s">
        <v>679</v>
      </c>
    </row>
    <row r="1375" spans="25:27" x14ac:dyDescent="0.25">
      <c r="Y1375">
        <v>34656</v>
      </c>
      <c r="Z1375" t="s">
        <v>841</v>
      </c>
      <c r="AA1375" t="s">
        <v>679</v>
      </c>
    </row>
    <row r="1376" spans="25:27" x14ac:dyDescent="0.25">
      <c r="Y1376">
        <v>34660</v>
      </c>
      <c r="Z1376" t="s">
        <v>842</v>
      </c>
      <c r="AA1376" t="s">
        <v>710</v>
      </c>
    </row>
    <row r="1377" spans="25:27" x14ac:dyDescent="0.25">
      <c r="Y1377">
        <v>34661</v>
      </c>
      <c r="Z1377" t="s">
        <v>843</v>
      </c>
      <c r="AA1377" t="s">
        <v>824</v>
      </c>
    </row>
    <row r="1378" spans="25:27" x14ac:dyDescent="0.25">
      <c r="Y1378">
        <v>34667</v>
      </c>
      <c r="Z1378" t="s">
        <v>844</v>
      </c>
      <c r="AA1378" t="s">
        <v>679</v>
      </c>
    </row>
    <row r="1379" spans="25:27" x14ac:dyDescent="0.25">
      <c r="Y1379">
        <v>34668</v>
      </c>
      <c r="Z1379" t="s">
        <v>845</v>
      </c>
      <c r="AA1379" t="s">
        <v>679</v>
      </c>
    </row>
    <row r="1380" spans="25:27" x14ac:dyDescent="0.25">
      <c r="Y1380">
        <v>34669</v>
      </c>
      <c r="Z1380" t="s">
        <v>844</v>
      </c>
      <c r="AA1380" t="s">
        <v>679</v>
      </c>
    </row>
    <row r="1381" spans="25:27" x14ac:dyDescent="0.25">
      <c r="Y1381">
        <v>34673</v>
      </c>
      <c r="Z1381" t="s">
        <v>845</v>
      </c>
      <c r="AA1381" t="s">
        <v>679</v>
      </c>
    </row>
    <row r="1382" spans="25:27" x14ac:dyDescent="0.25">
      <c r="Y1382">
        <v>34674</v>
      </c>
      <c r="Z1382" t="s">
        <v>844</v>
      </c>
      <c r="AA1382" t="s">
        <v>679</v>
      </c>
    </row>
    <row r="1383" spans="25:27" x14ac:dyDescent="0.25">
      <c r="Y1383">
        <v>34677</v>
      </c>
      <c r="Z1383" t="s">
        <v>846</v>
      </c>
      <c r="AA1383" t="s">
        <v>710</v>
      </c>
    </row>
    <row r="1384" spans="25:27" x14ac:dyDescent="0.25">
      <c r="Y1384">
        <v>34679</v>
      </c>
      <c r="Z1384" t="s">
        <v>847</v>
      </c>
      <c r="AA1384" t="s">
        <v>679</v>
      </c>
    </row>
    <row r="1385" spans="25:27" x14ac:dyDescent="0.25">
      <c r="Y1385">
        <v>34680</v>
      </c>
      <c r="Z1385" t="s">
        <v>848</v>
      </c>
      <c r="AA1385" t="s">
        <v>679</v>
      </c>
    </row>
    <row r="1386" spans="25:27" x14ac:dyDescent="0.25">
      <c r="Y1386">
        <v>34681</v>
      </c>
      <c r="Z1386" t="s">
        <v>849</v>
      </c>
      <c r="AA1386" t="s">
        <v>710</v>
      </c>
    </row>
    <row r="1387" spans="25:27" x14ac:dyDescent="0.25">
      <c r="Y1387">
        <v>34682</v>
      </c>
      <c r="Z1387" t="s">
        <v>850</v>
      </c>
      <c r="AA1387" t="s">
        <v>710</v>
      </c>
    </row>
    <row r="1388" spans="25:27" x14ac:dyDescent="0.25">
      <c r="Y1388">
        <v>34683</v>
      </c>
      <c r="Z1388" t="s">
        <v>850</v>
      </c>
      <c r="AA1388" t="s">
        <v>710</v>
      </c>
    </row>
    <row r="1389" spans="25:27" x14ac:dyDescent="0.25">
      <c r="Y1389">
        <v>34684</v>
      </c>
      <c r="Z1389" t="s">
        <v>850</v>
      </c>
      <c r="AA1389" t="s">
        <v>710</v>
      </c>
    </row>
    <row r="1390" spans="25:27" x14ac:dyDescent="0.25">
      <c r="Y1390">
        <v>34685</v>
      </c>
      <c r="Z1390" t="s">
        <v>850</v>
      </c>
      <c r="AA1390" t="s">
        <v>710</v>
      </c>
    </row>
    <row r="1391" spans="25:27" x14ac:dyDescent="0.25">
      <c r="Y1391">
        <v>34688</v>
      </c>
      <c r="Z1391" t="s">
        <v>851</v>
      </c>
      <c r="AA1391" t="s">
        <v>710</v>
      </c>
    </row>
    <row r="1392" spans="25:27" x14ac:dyDescent="0.25">
      <c r="Y1392">
        <v>34689</v>
      </c>
      <c r="Z1392" t="s">
        <v>851</v>
      </c>
      <c r="AA1392" t="s">
        <v>710</v>
      </c>
    </row>
    <row r="1393" spans="25:27" x14ac:dyDescent="0.25">
      <c r="Y1393">
        <v>34690</v>
      </c>
      <c r="Z1393" t="s">
        <v>852</v>
      </c>
      <c r="AA1393" t="s">
        <v>679</v>
      </c>
    </row>
    <row r="1394" spans="25:27" x14ac:dyDescent="0.25">
      <c r="Y1394">
        <v>34691</v>
      </c>
      <c r="Z1394" t="s">
        <v>852</v>
      </c>
      <c r="AA1394" t="s">
        <v>679</v>
      </c>
    </row>
    <row r="1395" spans="25:27" x14ac:dyDescent="0.25">
      <c r="Y1395">
        <v>34692</v>
      </c>
      <c r="Z1395" t="s">
        <v>852</v>
      </c>
      <c r="AA1395" t="s">
        <v>679</v>
      </c>
    </row>
    <row r="1396" spans="25:27" x14ac:dyDescent="0.25">
      <c r="Y1396">
        <v>34695</v>
      </c>
      <c r="Z1396" t="s">
        <v>853</v>
      </c>
      <c r="AA1396" t="s">
        <v>710</v>
      </c>
    </row>
    <row r="1397" spans="25:27" x14ac:dyDescent="0.25">
      <c r="Y1397">
        <v>34697</v>
      </c>
      <c r="Z1397" t="s">
        <v>854</v>
      </c>
      <c r="AA1397" t="s">
        <v>710</v>
      </c>
    </row>
    <row r="1398" spans="25:27" x14ac:dyDescent="0.25">
      <c r="Y1398">
        <v>34698</v>
      </c>
      <c r="Z1398" t="s">
        <v>854</v>
      </c>
      <c r="AA1398" t="s">
        <v>710</v>
      </c>
    </row>
    <row r="1399" spans="25:27" x14ac:dyDescent="0.25">
      <c r="Y1399">
        <v>34705</v>
      </c>
      <c r="Z1399" t="s">
        <v>855</v>
      </c>
      <c r="AA1399" t="s">
        <v>365</v>
      </c>
    </row>
    <row r="1400" spans="25:27" x14ac:dyDescent="0.25">
      <c r="Y1400">
        <v>34711</v>
      </c>
      <c r="Z1400" t="s">
        <v>856</v>
      </c>
      <c r="AA1400" t="s">
        <v>365</v>
      </c>
    </row>
    <row r="1401" spans="25:27" x14ac:dyDescent="0.25">
      <c r="Y1401">
        <v>34712</v>
      </c>
      <c r="Z1401" t="s">
        <v>856</v>
      </c>
      <c r="AA1401" t="s">
        <v>365</v>
      </c>
    </row>
    <row r="1402" spans="25:27" x14ac:dyDescent="0.25">
      <c r="Y1402">
        <v>34713</v>
      </c>
      <c r="Z1402" t="s">
        <v>856</v>
      </c>
      <c r="AA1402" t="s">
        <v>365</v>
      </c>
    </row>
    <row r="1403" spans="25:27" x14ac:dyDescent="0.25">
      <c r="Y1403">
        <v>34714</v>
      </c>
      <c r="Z1403" t="s">
        <v>856</v>
      </c>
      <c r="AA1403" t="s">
        <v>365</v>
      </c>
    </row>
    <row r="1404" spans="25:27" x14ac:dyDescent="0.25">
      <c r="Y1404">
        <v>34715</v>
      </c>
      <c r="Z1404" t="s">
        <v>856</v>
      </c>
      <c r="AA1404" t="s">
        <v>365</v>
      </c>
    </row>
    <row r="1405" spans="25:27" x14ac:dyDescent="0.25">
      <c r="Y1405">
        <v>34729</v>
      </c>
      <c r="Z1405" t="s">
        <v>857</v>
      </c>
      <c r="AA1405" t="s">
        <v>365</v>
      </c>
    </row>
    <row r="1406" spans="25:27" x14ac:dyDescent="0.25">
      <c r="Y1406">
        <v>34731</v>
      </c>
      <c r="Z1406" t="s">
        <v>858</v>
      </c>
      <c r="AA1406" t="s">
        <v>365</v>
      </c>
    </row>
    <row r="1407" spans="25:27" x14ac:dyDescent="0.25">
      <c r="Y1407">
        <v>34734</v>
      </c>
      <c r="Z1407" t="s">
        <v>859</v>
      </c>
      <c r="AA1407" t="s">
        <v>562</v>
      </c>
    </row>
    <row r="1408" spans="25:27" x14ac:dyDescent="0.25">
      <c r="Y1408">
        <v>34736</v>
      </c>
      <c r="Z1408" t="s">
        <v>860</v>
      </c>
      <c r="AA1408" t="s">
        <v>365</v>
      </c>
    </row>
    <row r="1409" spans="25:27" x14ac:dyDescent="0.25">
      <c r="Y1409">
        <v>34737</v>
      </c>
      <c r="Z1409" t="s">
        <v>861</v>
      </c>
      <c r="AA1409" t="s">
        <v>365</v>
      </c>
    </row>
    <row r="1410" spans="25:27" x14ac:dyDescent="0.25">
      <c r="Y1410">
        <v>34739</v>
      </c>
      <c r="Z1410" t="s">
        <v>862</v>
      </c>
      <c r="AA1410" t="s">
        <v>739</v>
      </c>
    </row>
    <row r="1411" spans="25:27" x14ac:dyDescent="0.25">
      <c r="Y1411">
        <v>34740</v>
      </c>
      <c r="Z1411" t="s">
        <v>863</v>
      </c>
      <c r="AA1411" t="s">
        <v>562</v>
      </c>
    </row>
    <row r="1412" spans="25:27" x14ac:dyDescent="0.25">
      <c r="Y1412">
        <v>34741</v>
      </c>
      <c r="Z1412" t="s">
        <v>864</v>
      </c>
      <c r="AA1412" t="s">
        <v>739</v>
      </c>
    </row>
    <row r="1413" spans="25:27" x14ac:dyDescent="0.25">
      <c r="Y1413">
        <v>34742</v>
      </c>
      <c r="Z1413" t="s">
        <v>864</v>
      </c>
      <c r="AA1413" t="s">
        <v>739</v>
      </c>
    </row>
    <row r="1414" spans="25:27" x14ac:dyDescent="0.25">
      <c r="Y1414">
        <v>34743</v>
      </c>
      <c r="Z1414" t="s">
        <v>864</v>
      </c>
      <c r="AA1414" t="s">
        <v>739</v>
      </c>
    </row>
    <row r="1415" spans="25:27" x14ac:dyDescent="0.25">
      <c r="Y1415">
        <v>34744</v>
      </c>
      <c r="Z1415" t="s">
        <v>864</v>
      </c>
      <c r="AA1415" t="s">
        <v>739</v>
      </c>
    </row>
    <row r="1416" spans="25:27" x14ac:dyDescent="0.25">
      <c r="Y1416">
        <v>34745</v>
      </c>
      <c r="Z1416" t="s">
        <v>864</v>
      </c>
      <c r="AA1416" t="s">
        <v>739</v>
      </c>
    </row>
    <row r="1417" spans="25:27" x14ac:dyDescent="0.25">
      <c r="Y1417">
        <v>34746</v>
      </c>
      <c r="Z1417" t="s">
        <v>864</v>
      </c>
      <c r="AA1417" t="s">
        <v>739</v>
      </c>
    </row>
    <row r="1418" spans="25:27" x14ac:dyDescent="0.25">
      <c r="Y1418">
        <v>34747</v>
      </c>
      <c r="Z1418" t="s">
        <v>864</v>
      </c>
      <c r="AA1418" t="s">
        <v>739</v>
      </c>
    </row>
    <row r="1419" spans="25:27" x14ac:dyDescent="0.25">
      <c r="Y1419">
        <v>34748</v>
      </c>
      <c r="Z1419" t="s">
        <v>865</v>
      </c>
      <c r="AA1419" t="s">
        <v>365</v>
      </c>
    </row>
    <row r="1420" spans="25:27" x14ac:dyDescent="0.25">
      <c r="Y1420">
        <v>34749</v>
      </c>
      <c r="Z1420" t="s">
        <v>865</v>
      </c>
      <c r="AA1420" t="s">
        <v>365</v>
      </c>
    </row>
    <row r="1421" spans="25:27" x14ac:dyDescent="0.25">
      <c r="Y1421">
        <v>34753</v>
      </c>
      <c r="Z1421" t="s">
        <v>866</v>
      </c>
      <c r="AA1421" t="s">
        <v>365</v>
      </c>
    </row>
    <row r="1422" spans="25:27" x14ac:dyDescent="0.25">
      <c r="Y1422">
        <v>34755</v>
      </c>
      <c r="Z1422" t="s">
        <v>867</v>
      </c>
      <c r="AA1422" t="s">
        <v>365</v>
      </c>
    </row>
    <row r="1423" spans="25:27" x14ac:dyDescent="0.25">
      <c r="Y1423">
        <v>34756</v>
      </c>
      <c r="Z1423" t="s">
        <v>868</v>
      </c>
      <c r="AA1423" t="s">
        <v>365</v>
      </c>
    </row>
    <row r="1424" spans="25:27" x14ac:dyDescent="0.25">
      <c r="Y1424">
        <v>34758</v>
      </c>
      <c r="Z1424" t="s">
        <v>864</v>
      </c>
      <c r="AA1424" t="s">
        <v>739</v>
      </c>
    </row>
    <row r="1425" spans="25:27" x14ac:dyDescent="0.25">
      <c r="Y1425">
        <v>34759</v>
      </c>
      <c r="Z1425" t="s">
        <v>864</v>
      </c>
      <c r="AA1425" t="s">
        <v>719</v>
      </c>
    </row>
    <row r="1426" spans="25:27" x14ac:dyDescent="0.25">
      <c r="Y1426">
        <v>34760</v>
      </c>
      <c r="Z1426" t="s">
        <v>869</v>
      </c>
      <c r="AA1426" t="s">
        <v>562</v>
      </c>
    </row>
    <row r="1427" spans="25:27" x14ac:dyDescent="0.25">
      <c r="Y1427">
        <v>34761</v>
      </c>
      <c r="Z1427" t="s">
        <v>870</v>
      </c>
      <c r="AA1427" t="s">
        <v>562</v>
      </c>
    </row>
    <row r="1428" spans="25:27" x14ac:dyDescent="0.25">
      <c r="Y1428">
        <v>34762</v>
      </c>
      <c r="Z1428" t="s">
        <v>871</v>
      </c>
      <c r="AA1428" t="s">
        <v>365</v>
      </c>
    </row>
    <row r="1429" spans="25:27" x14ac:dyDescent="0.25">
      <c r="Y1429">
        <v>34769</v>
      </c>
      <c r="Z1429" t="s">
        <v>872</v>
      </c>
      <c r="AA1429" t="s">
        <v>739</v>
      </c>
    </row>
    <row r="1430" spans="25:27" x14ac:dyDescent="0.25">
      <c r="Y1430">
        <v>34770</v>
      </c>
      <c r="Z1430" t="s">
        <v>872</v>
      </c>
      <c r="AA1430" t="s">
        <v>739</v>
      </c>
    </row>
    <row r="1431" spans="25:27" x14ac:dyDescent="0.25">
      <c r="Y1431">
        <v>34771</v>
      </c>
      <c r="Z1431" t="s">
        <v>872</v>
      </c>
      <c r="AA1431" t="s">
        <v>739</v>
      </c>
    </row>
    <row r="1432" spans="25:27" x14ac:dyDescent="0.25">
      <c r="Y1432">
        <v>34772</v>
      </c>
      <c r="Z1432" t="s">
        <v>872</v>
      </c>
      <c r="AA1432" t="s">
        <v>739</v>
      </c>
    </row>
    <row r="1433" spans="25:27" x14ac:dyDescent="0.25">
      <c r="Y1433">
        <v>34773</v>
      </c>
      <c r="Z1433" t="s">
        <v>872</v>
      </c>
      <c r="AA1433" t="s">
        <v>739</v>
      </c>
    </row>
    <row r="1434" spans="25:27" x14ac:dyDescent="0.25">
      <c r="Y1434">
        <v>34777</v>
      </c>
      <c r="Z1434" t="s">
        <v>873</v>
      </c>
      <c r="AA1434" t="s">
        <v>562</v>
      </c>
    </row>
    <row r="1435" spans="25:27" x14ac:dyDescent="0.25">
      <c r="Y1435">
        <v>34778</v>
      </c>
      <c r="Z1435" t="s">
        <v>873</v>
      </c>
      <c r="AA1435" t="s">
        <v>562</v>
      </c>
    </row>
    <row r="1436" spans="25:27" x14ac:dyDescent="0.25">
      <c r="Y1436">
        <v>34785</v>
      </c>
      <c r="Z1436" t="s">
        <v>874</v>
      </c>
      <c r="AA1436" t="s">
        <v>393</v>
      </c>
    </row>
    <row r="1437" spans="25:27" x14ac:dyDescent="0.25">
      <c r="Y1437">
        <v>34786</v>
      </c>
      <c r="Z1437" t="s">
        <v>875</v>
      </c>
      <c r="AA1437" t="s">
        <v>562</v>
      </c>
    </row>
    <row r="1438" spans="25:27" x14ac:dyDescent="0.25">
      <c r="Y1438">
        <v>34787</v>
      </c>
      <c r="Z1438" t="s">
        <v>873</v>
      </c>
      <c r="AA1438" t="s">
        <v>562</v>
      </c>
    </row>
    <row r="1439" spans="25:27" x14ac:dyDescent="0.25">
      <c r="Y1439">
        <v>34788</v>
      </c>
      <c r="Z1439" t="s">
        <v>865</v>
      </c>
      <c r="AA1439" t="s">
        <v>365</v>
      </c>
    </row>
    <row r="1440" spans="25:27" x14ac:dyDescent="0.25">
      <c r="Y1440">
        <v>34789</v>
      </c>
      <c r="Z1440" t="s">
        <v>865</v>
      </c>
      <c r="AA1440" t="s">
        <v>365</v>
      </c>
    </row>
    <row r="1441" spans="25:27" x14ac:dyDescent="0.25">
      <c r="Y1441">
        <v>34797</v>
      </c>
      <c r="Z1441" t="s">
        <v>876</v>
      </c>
      <c r="AA1441" t="s">
        <v>365</v>
      </c>
    </row>
    <row r="1442" spans="25:27" x14ac:dyDescent="0.25">
      <c r="Y1442">
        <v>34945</v>
      </c>
      <c r="Z1442" t="s">
        <v>877</v>
      </c>
      <c r="AA1442" t="s">
        <v>878</v>
      </c>
    </row>
    <row r="1443" spans="25:27" x14ac:dyDescent="0.25">
      <c r="Y1443">
        <v>34946</v>
      </c>
      <c r="Z1443" t="s">
        <v>877</v>
      </c>
      <c r="AA1443" t="s">
        <v>878</v>
      </c>
    </row>
    <row r="1444" spans="25:27" x14ac:dyDescent="0.25">
      <c r="Y1444">
        <v>34947</v>
      </c>
      <c r="Z1444" t="s">
        <v>877</v>
      </c>
      <c r="AA1444" t="s">
        <v>878</v>
      </c>
    </row>
    <row r="1445" spans="25:27" x14ac:dyDescent="0.25">
      <c r="Y1445">
        <v>34948</v>
      </c>
      <c r="Z1445" t="s">
        <v>877</v>
      </c>
      <c r="AA1445" t="s">
        <v>878</v>
      </c>
    </row>
    <row r="1446" spans="25:27" x14ac:dyDescent="0.25">
      <c r="Y1446">
        <v>34949</v>
      </c>
      <c r="Z1446" t="s">
        <v>877</v>
      </c>
      <c r="AA1446" t="s">
        <v>878</v>
      </c>
    </row>
    <row r="1447" spans="25:27" x14ac:dyDescent="0.25">
      <c r="Y1447">
        <v>34950</v>
      </c>
      <c r="Z1447" t="s">
        <v>877</v>
      </c>
      <c r="AA1447" t="s">
        <v>878</v>
      </c>
    </row>
    <row r="1448" spans="25:27" x14ac:dyDescent="0.25">
      <c r="Y1448">
        <v>34951</v>
      </c>
      <c r="Z1448" t="s">
        <v>877</v>
      </c>
      <c r="AA1448" t="s">
        <v>878</v>
      </c>
    </row>
    <row r="1449" spans="25:27" x14ac:dyDescent="0.25">
      <c r="Y1449">
        <v>34952</v>
      </c>
      <c r="Z1449" t="s">
        <v>879</v>
      </c>
      <c r="AA1449" t="s">
        <v>878</v>
      </c>
    </row>
    <row r="1450" spans="25:27" x14ac:dyDescent="0.25">
      <c r="Y1450">
        <v>34953</v>
      </c>
      <c r="Z1450" t="s">
        <v>879</v>
      </c>
      <c r="AA1450" t="s">
        <v>878</v>
      </c>
    </row>
    <row r="1451" spans="25:27" x14ac:dyDescent="0.25">
      <c r="Y1451">
        <v>34954</v>
      </c>
      <c r="Z1451" t="s">
        <v>877</v>
      </c>
      <c r="AA1451" t="s">
        <v>878</v>
      </c>
    </row>
    <row r="1452" spans="25:27" x14ac:dyDescent="0.25">
      <c r="Y1452">
        <v>34956</v>
      </c>
      <c r="Z1452" t="s">
        <v>880</v>
      </c>
      <c r="AA1452" t="s">
        <v>664</v>
      </c>
    </row>
    <row r="1453" spans="25:27" x14ac:dyDescent="0.25">
      <c r="Y1453">
        <v>34957</v>
      </c>
      <c r="Z1453" t="s">
        <v>881</v>
      </c>
      <c r="AA1453" t="s">
        <v>664</v>
      </c>
    </row>
    <row r="1454" spans="25:27" x14ac:dyDescent="0.25">
      <c r="Y1454">
        <v>34958</v>
      </c>
      <c r="Z1454" t="s">
        <v>881</v>
      </c>
      <c r="AA1454" t="s">
        <v>664</v>
      </c>
    </row>
    <row r="1455" spans="25:27" x14ac:dyDescent="0.25">
      <c r="Y1455">
        <v>34972</v>
      </c>
      <c r="Z1455" t="s">
        <v>882</v>
      </c>
      <c r="AA1455" t="s">
        <v>882</v>
      </c>
    </row>
    <row r="1456" spans="25:27" x14ac:dyDescent="0.25">
      <c r="Y1456">
        <v>34973</v>
      </c>
      <c r="Z1456" t="s">
        <v>882</v>
      </c>
      <c r="AA1456" t="s">
        <v>882</v>
      </c>
    </row>
    <row r="1457" spans="1:27" x14ac:dyDescent="0.25">
      <c r="Y1457">
        <v>34974</v>
      </c>
      <c r="Z1457" t="s">
        <v>882</v>
      </c>
      <c r="AA1457" t="s">
        <v>882</v>
      </c>
    </row>
    <row r="1458" spans="1:27" x14ac:dyDescent="0.25">
      <c r="Y1458">
        <v>34979</v>
      </c>
      <c r="Z1458" t="s">
        <v>877</v>
      </c>
      <c r="AA1458" t="s">
        <v>878</v>
      </c>
    </row>
    <row r="1459" spans="1:27" x14ac:dyDescent="0.25">
      <c r="Y1459">
        <v>34981</v>
      </c>
      <c r="Z1459" t="s">
        <v>877</v>
      </c>
      <c r="AA1459" t="s">
        <v>878</v>
      </c>
    </row>
    <row r="1460" spans="1:27" x14ac:dyDescent="0.25">
      <c r="Y1460">
        <v>34982</v>
      </c>
      <c r="Z1460" t="s">
        <v>877</v>
      </c>
      <c r="AA1460" t="s">
        <v>878</v>
      </c>
    </row>
    <row r="1461" spans="1:27" x14ac:dyDescent="0.25">
      <c r="Y1461">
        <v>34983</v>
      </c>
      <c r="Z1461" t="s">
        <v>879</v>
      </c>
      <c r="AA1461" t="s">
        <v>878</v>
      </c>
    </row>
    <row r="1462" spans="1:27" x14ac:dyDescent="0.25">
      <c r="Y1462">
        <v>34984</v>
      </c>
      <c r="Z1462" t="s">
        <v>879</v>
      </c>
      <c r="AA1462" t="s">
        <v>878</v>
      </c>
    </row>
    <row r="1463" spans="1:27" x14ac:dyDescent="0.25">
      <c r="Y1463">
        <v>34985</v>
      </c>
      <c r="Z1463" t="s">
        <v>879</v>
      </c>
      <c r="AA1463" t="s">
        <v>878</v>
      </c>
    </row>
    <row r="1464" spans="1:27" x14ac:dyDescent="0.25">
      <c r="Y1464">
        <v>34986</v>
      </c>
      <c r="Z1464" t="s">
        <v>879</v>
      </c>
      <c r="AA1464" t="s">
        <v>878</v>
      </c>
    </row>
    <row r="1465" spans="1:27" x14ac:dyDescent="0.25">
      <c r="Y1465">
        <v>34987</v>
      </c>
      <c r="Z1465" t="s">
        <v>879</v>
      </c>
      <c r="AA1465" t="s">
        <v>878</v>
      </c>
    </row>
    <row r="1466" spans="1:27" x14ac:dyDescent="0.25">
      <c r="Y1466">
        <v>34988</v>
      </c>
      <c r="Z1466" t="s">
        <v>879</v>
      </c>
      <c r="AA1466" t="s">
        <v>878</v>
      </c>
    </row>
    <row r="1467" spans="1:27" x14ac:dyDescent="0.25">
      <c r="Y1467">
        <v>34990</v>
      </c>
      <c r="Z1467" t="s">
        <v>883</v>
      </c>
      <c r="AA1467" t="s">
        <v>664</v>
      </c>
    </row>
    <row r="1468" spans="1:27" x14ac:dyDescent="0.25">
      <c r="Y1468">
        <v>34991</v>
      </c>
      <c r="Z1468" t="s">
        <v>883</v>
      </c>
      <c r="AA1468" t="s">
        <v>664</v>
      </c>
    </row>
    <row r="1469" spans="1:27" x14ac:dyDescent="0.25">
      <c r="Y1469">
        <v>34992</v>
      </c>
      <c r="Z1469" t="s">
        <v>884</v>
      </c>
      <c r="AA1469" t="s">
        <v>664</v>
      </c>
    </row>
    <row r="1470" spans="1:27" x14ac:dyDescent="0.25">
      <c r="A1470" t="s">
        <v>925</v>
      </c>
      <c r="Y1470">
        <v>34994</v>
      </c>
      <c r="Z1470" t="s">
        <v>885</v>
      </c>
      <c r="AA1470" t="s">
        <v>664</v>
      </c>
    </row>
    <row r="1471" spans="1:27" x14ac:dyDescent="0.25">
      <c r="A1471" t="s">
        <v>926</v>
      </c>
      <c r="Y1471">
        <v>34995</v>
      </c>
      <c r="Z1471" t="s">
        <v>885</v>
      </c>
      <c r="AA1471" t="s">
        <v>664</v>
      </c>
    </row>
    <row r="1472" spans="1:27" x14ac:dyDescent="0.25">
      <c r="Y1472">
        <v>34996</v>
      </c>
      <c r="Z1472" t="s">
        <v>885</v>
      </c>
      <c r="AA1472" t="s">
        <v>664</v>
      </c>
    </row>
    <row r="1473" spans="25:27" x14ac:dyDescent="0.25">
      <c r="Y1473">
        <v>34997</v>
      </c>
      <c r="Z1473" t="s">
        <v>885</v>
      </c>
      <c r="AA1473" t="s">
        <v>664</v>
      </c>
    </row>
  </sheetData>
  <pageMargins left="0.7" right="0.7" top="0.75" bottom="0.75" header="0.3" footer="0.3"/>
  <tableParts count="24">
    <tablePart r:id="rId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5BC694-A619-47F5-B155-646B0EB9CF04}">
  <dimension ref="A1:O13"/>
  <sheetViews>
    <sheetView workbookViewId="0">
      <selection activeCell="A13" sqref="A1:A13"/>
    </sheetView>
  </sheetViews>
  <sheetFormatPr defaultRowHeight="15" x14ac:dyDescent="0.25"/>
  <cols>
    <col min="1" max="1" width="12.42578125" bestFit="1" customWidth="1"/>
    <col min="2" max="2" width="16.42578125" bestFit="1" customWidth="1"/>
    <col min="3" max="3" width="6.85546875" bestFit="1" customWidth="1"/>
    <col min="4" max="4" width="28.28515625" bestFit="1" customWidth="1"/>
    <col min="15" max="15" width="28" bestFit="1" customWidth="1"/>
  </cols>
  <sheetData>
    <row r="1" spans="1:15" x14ac:dyDescent="0.25">
      <c r="A1" t="s">
        <v>192</v>
      </c>
      <c r="B1" t="s">
        <v>73</v>
      </c>
      <c r="C1" t="s">
        <v>84</v>
      </c>
      <c r="D1" t="s">
        <v>248</v>
      </c>
      <c r="O1" s="36" t="s">
        <v>899</v>
      </c>
    </row>
    <row r="2" spans="1:15" ht="16.5" x14ac:dyDescent="0.3">
      <c r="A2" s="34">
        <f>DATE(Instructions!B10-1,7,1)</f>
        <v>44378</v>
      </c>
      <c r="B2">
        <f>COUNTIFS(Table1[Type of Outreach],"&lt;&gt;",Table1[Date of Outreach],"&lt;="&amp;EOMONTH($A2,0),Table1[Date of Outreach],"&gt;="&amp;$A2,Table1[Type of Entity Where Outreach was Provided],'G - Outreach by Month'!B$1)</f>
        <v>0</v>
      </c>
      <c r="C2">
        <f>COUNTIFS(Table1[Type of Outreach],"&lt;&gt;",Table1[Date of Outreach],"&lt;="&amp;EOMONTH($A2,0),Table1[Date of Outreach],"&gt;="&amp;$A2,Table1[Type of Entity Where Outreach was Provided],'G - Outreach by Month'!C$1)</f>
        <v>0</v>
      </c>
      <c r="D2">
        <f>COUNTIFS(Table1[Type of Outreach],"&lt;&gt;",Table1[Date of Outreach],"&lt;="&amp;EOMONTH($A2,0),Table1[Date of Outreach],"&gt;="&amp;$A2,Table1[Type of Entity Where Outreach was Provided],'G - Outreach by Month'!D$1)</f>
        <v>0</v>
      </c>
    </row>
    <row r="3" spans="1:15" ht="16.5" x14ac:dyDescent="0.3">
      <c r="A3" s="34">
        <f>DATE(Instructions!B10-1,8,1)</f>
        <v>44409</v>
      </c>
      <c r="B3">
        <f>COUNTIFS(Table1[Type of Outreach],"&lt;&gt;",Table1[Date of Outreach],"&lt;="&amp;EOMONTH($A3,0),Table1[Date of Outreach],"&gt;="&amp;$A3,Table1[Type of Entity Where Outreach was Provided],'G - Outreach by Month'!B$1)</f>
        <v>0</v>
      </c>
      <c r="C3">
        <f>COUNTIFS(Table1[Type of Outreach],"&lt;&gt;",Table1[Date of Outreach],"&lt;="&amp;EOMONTH($A3,0),Table1[Date of Outreach],"&gt;="&amp;$A3,Table1[Type of Entity Where Outreach was Provided],'G - Outreach by Month'!C$1)</f>
        <v>0</v>
      </c>
      <c r="D3">
        <f>COUNTIFS(Table1[Type of Outreach],"&lt;&gt;",Table1[Date of Outreach],"&lt;="&amp;EOMONTH($A3,0),Table1[Date of Outreach],"&gt;="&amp;$A3,Table1[Type of Entity Where Outreach was Provided],'G - Outreach by Month'!D$1)</f>
        <v>0</v>
      </c>
    </row>
    <row r="4" spans="1:15" ht="16.5" x14ac:dyDescent="0.3">
      <c r="A4" s="34">
        <f>DATE(Instructions!B10-1,9,1)</f>
        <v>44440</v>
      </c>
      <c r="B4">
        <f>COUNTIFS(Table1[Type of Outreach],"&lt;&gt;",Table1[Date of Outreach],"&lt;="&amp;EOMONTH($A4,0),Table1[Date of Outreach],"&gt;="&amp;$A4,Table1[Type of Entity Where Outreach was Provided],'G - Outreach by Month'!B$1)</f>
        <v>0</v>
      </c>
      <c r="C4">
        <f>COUNTIFS(Table1[Type of Outreach],"&lt;&gt;",Table1[Date of Outreach],"&lt;="&amp;EOMONTH($A4,0),Table1[Date of Outreach],"&gt;="&amp;$A4,Table1[Type of Entity Where Outreach was Provided],'G - Outreach by Month'!C$1)</f>
        <v>0</v>
      </c>
      <c r="D4">
        <f>COUNTIFS(Table1[Type of Outreach],"&lt;&gt;",Table1[Date of Outreach],"&lt;="&amp;EOMONTH($A4,0),Table1[Date of Outreach],"&gt;="&amp;$A4,Table1[Type of Entity Where Outreach was Provided],'G - Outreach by Month'!D$1)</f>
        <v>0</v>
      </c>
    </row>
    <row r="5" spans="1:15" ht="16.5" x14ac:dyDescent="0.3">
      <c r="A5" s="34">
        <f>DATE(Instructions!B10-1,10,1)</f>
        <v>44470</v>
      </c>
      <c r="B5">
        <f>COUNTIFS(Table1[Type of Outreach],"&lt;&gt;",Table1[Date of Outreach],"&lt;="&amp;EOMONTH($A5,0),Table1[Date of Outreach],"&gt;="&amp;$A5,Table1[Type of Entity Where Outreach was Provided],'G - Outreach by Month'!B$1)</f>
        <v>0</v>
      </c>
      <c r="C5">
        <f>COUNTIFS(Table1[Type of Outreach],"&lt;&gt;",Table1[Date of Outreach],"&lt;="&amp;EOMONTH($A5,0),Table1[Date of Outreach],"&gt;="&amp;$A5,Table1[Type of Entity Where Outreach was Provided],'G - Outreach by Month'!C$1)</f>
        <v>0</v>
      </c>
      <c r="D5">
        <f>COUNTIFS(Table1[Type of Outreach],"&lt;&gt;",Table1[Date of Outreach],"&lt;="&amp;EOMONTH($A5,0),Table1[Date of Outreach],"&gt;="&amp;$A5,Table1[Type of Entity Where Outreach was Provided],'G - Outreach by Month'!D$1)</f>
        <v>0</v>
      </c>
    </row>
    <row r="6" spans="1:15" ht="16.5" x14ac:dyDescent="0.3">
      <c r="A6" s="34">
        <f>DATE(Instructions!B10-1,11,1)</f>
        <v>44501</v>
      </c>
      <c r="B6">
        <f>COUNTIFS(Table1[Type of Outreach],"&lt;&gt;",Table1[Date of Outreach],"&lt;="&amp;EOMONTH($A6,0),Table1[Date of Outreach],"&gt;="&amp;$A6,Table1[Type of Entity Where Outreach was Provided],'G - Outreach by Month'!B$1)</f>
        <v>0</v>
      </c>
      <c r="C6">
        <f>COUNTIFS(Table1[Type of Outreach],"&lt;&gt;",Table1[Date of Outreach],"&lt;="&amp;EOMONTH($A6,0),Table1[Date of Outreach],"&gt;="&amp;$A6,Table1[Type of Entity Where Outreach was Provided],'G - Outreach by Month'!C$1)</f>
        <v>0</v>
      </c>
      <c r="D6">
        <f>COUNTIFS(Table1[Type of Outreach],"&lt;&gt;",Table1[Date of Outreach],"&lt;="&amp;EOMONTH($A6,0),Table1[Date of Outreach],"&gt;="&amp;$A6,Table1[Type of Entity Where Outreach was Provided],'G - Outreach by Month'!D$1)</f>
        <v>0</v>
      </c>
    </row>
    <row r="7" spans="1:15" ht="16.5" x14ac:dyDescent="0.3">
      <c r="A7" s="34">
        <f>DATE(Instructions!B10-1,12,1)</f>
        <v>44531</v>
      </c>
      <c r="B7">
        <f>COUNTIFS(Table1[Type of Outreach],"&lt;&gt;",Table1[Date of Outreach],"&lt;="&amp;EOMONTH($A7,0),Table1[Date of Outreach],"&gt;="&amp;$A7,Table1[Type of Entity Where Outreach was Provided],'G - Outreach by Month'!B$1)</f>
        <v>0</v>
      </c>
      <c r="C7">
        <f>COUNTIFS(Table1[Type of Outreach],"&lt;&gt;",Table1[Date of Outreach],"&lt;="&amp;EOMONTH($A7,0),Table1[Date of Outreach],"&gt;="&amp;$A7,Table1[Type of Entity Where Outreach was Provided],'G - Outreach by Month'!C$1)</f>
        <v>0</v>
      </c>
      <c r="D7">
        <f>COUNTIFS(Table1[Type of Outreach],"&lt;&gt;",Table1[Date of Outreach],"&lt;="&amp;EOMONTH($A7,0),Table1[Date of Outreach],"&gt;="&amp;$A7,Table1[Type of Entity Where Outreach was Provided],'G - Outreach by Month'!D$1)</f>
        <v>0</v>
      </c>
    </row>
    <row r="8" spans="1:15" ht="16.5" x14ac:dyDescent="0.3">
      <c r="A8" s="34">
        <f>DATE(Instructions!B10,1,1)</f>
        <v>44562</v>
      </c>
      <c r="B8">
        <f>COUNTIFS(Table1[Type of Outreach],"&lt;&gt;",Table1[Date of Outreach],"&lt;="&amp;EOMONTH($A8,0),Table1[Date of Outreach],"&gt;="&amp;$A8,Table1[Type of Entity Where Outreach was Provided],'G - Outreach by Month'!B$1)</f>
        <v>0</v>
      </c>
      <c r="C8">
        <f>COUNTIFS(Table1[Type of Outreach],"&lt;&gt;",Table1[Date of Outreach],"&lt;="&amp;EOMONTH($A8,0),Table1[Date of Outreach],"&gt;="&amp;$A8,Table1[Type of Entity Where Outreach was Provided],'G - Outreach by Month'!C$1)</f>
        <v>0</v>
      </c>
      <c r="D8">
        <f>COUNTIFS(Table1[Type of Outreach],"&lt;&gt;",Table1[Date of Outreach],"&lt;="&amp;EOMONTH($A8,0),Table1[Date of Outreach],"&gt;="&amp;$A8,Table1[Type of Entity Where Outreach was Provided],'G - Outreach by Month'!D$1)</f>
        <v>0</v>
      </c>
    </row>
    <row r="9" spans="1:15" ht="16.5" x14ac:dyDescent="0.3">
      <c r="A9" s="34">
        <f>DATE(Instructions!B10,2,1)</f>
        <v>44593</v>
      </c>
      <c r="B9">
        <f>COUNTIFS(Table1[Type of Outreach],"&lt;&gt;",Table1[Date of Outreach],"&lt;="&amp;EOMONTH($A9,0),Table1[Date of Outreach],"&gt;="&amp;$A9,Table1[Type of Entity Where Outreach was Provided],'G - Outreach by Month'!B$1)</f>
        <v>0</v>
      </c>
      <c r="C9">
        <f>COUNTIFS(Table1[Type of Outreach],"&lt;&gt;",Table1[Date of Outreach],"&lt;="&amp;EOMONTH($A9,0),Table1[Date of Outreach],"&gt;="&amp;$A9,Table1[Type of Entity Where Outreach was Provided],'G - Outreach by Month'!C$1)</f>
        <v>0</v>
      </c>
      <c r="D9">
        <f>COUNTIFS(Table1[Type of Outreach],"&lt;&gt;",Table1[Date of Outreach],"&lt;="&amp;EOMONTH($A9,0),Table1[Date of Outreach],"&gt;="&amp;$A9,Table1[Type of Entity Where Outreach was Provided],'G - Outreach by Month'!D$1)</f>
        <v>0</v>
      </c>
    </row>
    <row r="10" spans="1:15" ht="16.5" x14ac:dyDescent="0.3">
      <c r="A10" s="34">
        <f>DATE(Instructions!B10,3,1)</f>
        <v>44621</v>
      </c>
      <c r="B10">
        <f>COUNTIFS(Table1[Type of Outreach],"&lt;&gt;",Table1[Date of Outreach],"&lt;="&amp;EOMONTH($A10,0),Table1[Date of Outreach],"&gt;="&amp;$A10,Table1[Type of Entity Where Outreach was Provided],'G - Outreach by Month'!B$1)</f>
        <v>0</v>
      </c>
      <c r="C10">
        <f>COUNTIFS(Table1[Type of Outreach],"&lt;&gt;",Table1[Date of Outreach],"&lt;="&amp;EOMONTH($A10,0),Table1[Date of Outreach],"&gt;="&amp;$A10,Table1[Type of Entity Where Outreach was Provided],'G - Outreach by Month'!C$1)</f>
        <v>0</v>
      </c>
      <c r="D10">
        <f>COUNTIFS(Table1[Type of Outreach],"&lt;&gt;",Table1[Date of Outreach],"&lt;="&amp;EOMONTH($A10,0),Table1[Date of Outreach],"&gt;="&amp;$A10,Table1[Type of Entity Where Outreach was Provided],'G - Outreach by Month'!D$1)</f>
        <v>0</v>
      </c>
    </row>
    <row r="11" spans="1:15" ht="16.5" x14ac:dyDescent="0.3">
      <c r="A11" s="34">
        <f>DATE(Instructions!B10,4,1)</f>
        <v>44652</v>
      </c>
      <c r="B11">
        <f>COUNTIFS(Table1[Type of Outreach],"&lt;&gt;",Table1[Date of Outreach],"&lt;="&amp;EOMONTH($A11,0),Table1[Date of Outreach],"&gt;="&amp;$A11,Table1[Type of Entity Where Outreach was Provided],'G - Outreach by Month'!B$1)</f>
        <v>0</v>
      </c>
      <c r="C11">
        <f>COUNTIFS(Table1[Type of Outreach],"&lt;&gt;",Table1[Date of Outreach],"&lt;="&amp;EOMONTH($A11,0),Table1[Date of Outreach],"&gt;="&amp;$A11,Table1[Type of Entity Where Outreach was Provided],'G - Outreach by Month'!C$1)</f>
        <v>0</v>
      </c>
      <c r="D11">
        <f>COUNTIFS(Table1[Type of Outreach],"&lt;&gt;",Table1[Date of Outreach],"&lt;="&amp;EOMONTH($A11,0),Table1[Date of Outreach],"&gt;="&amp;$A11,Table1[Type of Entity Where Outreach was Provided],'G - Outreach by Month'!D$1)</f>
        <v>0</v>
      </c>
    </row>
    <row r="12" spans="1:15" ht="16.5" x14ac:dyDescent="0.3">
      <c r="A12" s="34">
        <f>DATE(Instructions!B10,5,1)</f>
        <v>44682</v>
      </c>
      <c r="B12">
        <f>COUNTIFS(Table1[Type of Outreach],"&lt;&gt;",Table1[Date of Outreach],"&lt;="&amp;EOMONTH($A12,0),Table1[Date of Outreach],"&gt;="&amp;$A12,Table1[Type of Entity Where Outreach was Provided],'G - Outreach by Month'!B$1)</f>
        <v>0</v>
      </c>
      <c r="C12">
        <f>COUNTIFS(Table1[Type of Outreach],"&lt;&gt;",Table1[Date of Outreach],"&lt;="&amp;EOMONTH($A12,0),Table1[Date of Outreach],"&gt;="&amp;$A12,Table1[Type of Entity Where Outreach was Provided],'G - Outreach by Month'!C$1)</f>
        <v>0</v>
      </c>
      <c r="D12">
        <f>COUNTIFS(Table1[Type of Outreach],"&lt;&gt;",Table1[Date of Outreach],"&lt;="&amp;EOMONTH($A12,0),Table1[Date of Outreach],"&gt;="&amp;$A12,Table1[Type of Entity Where Outreach was Provided],'G - Outreach by Month'!D$1)</f>
        <v>0</v>
      </c>
    </row>
    <row r="13" spans="1:15" ht="16.5" x14ac:dyDescent="0.3">
      <c r="A13" s="34">
        <f>DATE(Instructions!B10,6,1)</f>
        <v>44713</v>
      </c>
      <c r="B13">
        <f>COUNTIFS(Table1[Type of Outreach],"&lt;&gt;",Table1[Date of Outreach],"&lt;="&amp;EOMONTH($A13,0),Table1[Date of Outreach],"&gt;="&amp;$A13,Table1[Type of Entity Where Outreach was Provided],'G - Outreach by Month'!B$1)</f>
        <v>0</v>
      </c>
      <c r="C13">
        <f>COUNTIFS(Table1[Type of Outreach],"&lt;&gt;",Table1[Date of Outreach],"&lt;="&amp;EOMONTH($A13,0),Table1[Date of Outreach],"&gt;="&amp;$A13,Table1[Type of Entity Where Outreach was Provided],'G - Outreach by Month'!C$1)</f>
        <v>0</v>
      </c>
      <c r="D13">
        <f>COUNTIFS(Table1[Type of Outreach],"&lt;&gt;",Table1[Date of Outreach],"&lt;="&amp;EOMONTH($A13,0),Table1[Date of Outreach],"&gt;="&amp;$A13,Table1[Type of Entity Where Outreach was Provided],'G - Outreach by Month'!D$1)</f>
        <v>0</v>
      </c>
    </row>
  </sheetData>
  <hyperlinks>
    <hyperlink ref="O1" location="'Field Definitions'!A1" display="Return to Field Definition tab." xr:uid="{76849C61-D03B-47E8-91BF-F861B3EEE93C}"/>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8AE790-329E-47FB-9D2C-21EAA35FD2C8}">
  <dimension ref="A1:O10"/>
  <sheetViews>
    <sheetView workbookViewId="0">
      <selection activeCell="A4" sqref="A4"/>
    </sheetView>
  </sheetViews>
  <sheetFormatPr defaultRowHeight="15" x14ac:dyDescent="0.25"/>
  <cols>
    <col min="1" max="1" width="38" bestFit="1" customWidth="1"/>
    <col min="15" max="15" width="28" bestFit="1" customWidth="1"/>
  </cols>
  <sheetData>
    <row r="1" spans="1:15" x14ac:dyDescent="0.25">
      <c r="A1" t="s">
        <v>22</v>
      </c>
      <c r="B1" t="s">
        <v>281</v>
      </c>
      <c r="C1" t="s">
        <v>282</v>
      </c>
      <c r="O1" s="36" t="s">
        <v>899</v>
      </c>
    </row>
    <row r="2" spans="1:15" x14ac:dyDescent="0.25">
      <c r="A2" t="s">
        <v>61</v>
      </c>
      <c r="B2">
        <f>COUNTIFS(Table24[Race],'G - % of Calls by Race'!A2)</f>
        <v>0</v>
      </c>
      <c r="C2" s="55" t="str">
        <f>IFERROR(B2/SUM($B$2:$B$10),"")</f>
        <v/>
      </c>
    </row>
    <row r="3" spans="1:15" x14ac:dyDescent="0.25">
      <c r="A3" t="s">
        <v>59</v>
      </c>
      <c r="B3">
        <f>COUNTIFS(Table24[Race],'G - % of Calls by Race'!A3)</f>
        <v>0</v>
      </c>
      <c r="C3" s="55" t="str">
        <f t="shared" ref="C3:C10" si="0">IFERROR(B3/SUM($B$2:$B$10),"")</f>
        <v/>
      </c>
    </row>
    <row r="4" spans="1:15" x14ac:dyDescent="0.25">
      <c r="A4" t="s">
        <v>83</v>
      </c>
      <c r="B4">
        <f>COUNTIFS(Table24[Race],'G - % of Calls by Race'!A4)</f>
        <v>0</v>
      </c>
      <c r="C4" s="55" t="str">
        <f t="shared" si="0"/>
        <v/>
      </c>
    </row>
    <row r="5" spans="1:15" x14ac:dyDescent="0.25">
      <c r="A5" t="s">
        <v>58</v>
      </c>
      <c r="B5">
        <f>COUNTIFS(Table24[Race],'G - % of Calls by Race'!A5)</f>
        <v>0</v>
      </c>
      <c r="C5" s="55" t="str">
        <f t="shared" si="0"/>
        <v/>
      </c>
    </row>
    <row r="6" spans="1:15" x14ac:dyDescent="0.25">
      <c r="A6" t="s">
        <v>63</v>
      </c>
      <c r="B6">
        <f>COUNTIFS(Table24[Race],'G - % of Calls by Race'!A6)</f>
        <v>0</v>
      </c>
      <c r="C6" s="55" t="str">
        <f t="shared" si="0"/>
        <v/>
      </c>
    </row>
    <row r="7" spans="1:15" x14ac:dyDescent="0.25">
      <c r="A7" t="s">
        <v>62</v>
      </c>
      <c r="B7">
        <f>COUNTIFS(Table24[Race],'G - % of Calls by Race'!A7)</f>
        <v>0</v>
      </c>
      <c r="C7" s="55" t="str">
        <f t="shared" si="0"/>
        <v/>
      </c>
    </row>
    <row r="8" spans="1:15" x14ac:dyDescent="0.25">
      <c r="A8" t="s">
        <v>72</v>
      </c>
      <c r="B8">
        <f>COUNTIFS(Table24[Race],'G - % of Calls by Race'!A8)</f>
        <v>0</v>
      </c>
      <c r="C8" s="55" t="str">
        <f t="shared" si="0"/>
        <v/>
      </c>
    </row>
    <row r="9" spans="1:15" x14ac:dyDescent="0.25">
      <c r="A9" t="s">
        <v>60</v>
      </c>
      <c r="B9">
        <f>COUNTIFS(Table24[Race],'G - % of Calls by Race'!A9)</f>
        <v>0</v>
      </c>
      <c r="C9" s="55" t="str">
        <f t="shared" si="0"/>
        <v/>
      </c>
    </row>
    <row r="10" spans="1:15" x14ac:dyDescent="0.25">
      <c r="A10" t="s">
        <v>57</v>
      </c>
      <c r="B10">
        <f>COUNTIFS(Table24[Race],'G - % of Calls by Race'!A10)</f>
        <v>0</v>
      </c>
      <c r="C10" s="55" t="str">
        <f t="shared" si="0"/>
        <v/>
      </c>
    </row>
  </sheetData>
  <hyperlinks>
    <hyperlink ref="O1" location="'Field Definitions'!A1" display="Return to Field Definition tab." xr:uid="{C73BB4AA-1982-4DE7-A09B-0D6FD334F2BC}"/>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9BD66-62B5-4311-BFDD-A52120DF5DD3}">
  <dimension ref="A1:Q10"/>
  <sheetViews>
    <sheetView workbookViewId="0">
      <selection activeCell="C10" sqref="C10"/>
    </sheetView>
  </sheetViews>
  <sheetFormatPr defaultRowHeight="15" x14ac:dyDescent="0.25"/>
  <cols>
    <col min="1" max="1" width="18" bestFit="1" customWidth="1"/>
    <col min="17" max="17" width="28" bestFit="1" customWidth="1"/>
  </cols>
  <sheetData>
    <row r="1" spans="1:17" x14ac:dyDescent="0.25">
      <c r="A1" t="s">
        <v>21</v>
      </c>
      <c r="B1" t="s">
        <v>281</v>
      </c>
      <c r="C1" t="s">
        <v>282</v>
      </c>
      <c r="Q1" s="36" t="s">
        <v>899</v>
      </c>
    </row>
    <row r="2" spans="1:17" x14ac:dyDescent="0.25">
      <c r="A2" t="s">
        <v>66</v>
      </c>
      <c r="B2">
        <f>COUNTIFS(Table24[Ethnicity],A2)</f>
        <v>0</v>
      </c>
      <c r="C2" s="55" t="str">
        <f t="shared" ref="C2:C10" si="0">IFERROR(B2/SUM($B$2:$B$10),"")</f>
        <v/>
      </c>
    </row>
    <row r="3" spans="1:17" x14ac:dyDescent="0.25">
      <c r="A3" t="s">
        <v>68</v>
      </c>
      <c r="B3">
        <f>COUNTIFS(Table24[Ethnicity],A3)</f>
        <v>0</v>
      </c>
      <c r="C3" s="55" t="str">
        <f t="shared" si="0"/>
        <v/>
      </c>
    </row>
    <row r="4" spans="1:17" x14ac:dyDescent="0.25">
      <c r="A4" t="s">
        <v>65</v>
      </c>
      <c r="B4">
        <f>COUNTIFS(Table24[Ethnicity],A4)</f>
        <v>0</v>
      </c>
      <c r="C4" s="55" t="str">
        <f t="shared" si="0"/>
        <v/>
      </c>
    </row>
    <row r="5" spans="1:17" x14ac:dyDescent="0.25">
      <c r="A5" t="s">
        <v>70</v>
      </c>
      <c r="B5">
        <f>COUNTIFS(Table24[Ethnicity],A5)</f>
        <v>0</v>
      </c>
      <c r="C5" s="55" t="str">
        <f t="shared" si="0"/>
        <v/>
      </c>
    </row>
    <row r="6" spans="1:17" x14ac:dyDescent="0.25">
      <c r="A6" t="s">
        <v>69</v>
      </c>
      <c r="B6">
        <f>COUNTIFS(Table24[Ethnicity],A6)</f>
        <v>0</v>
      </c>
      <c r="C6" s="55" t="str">
        <f t="shared" si="0"/>
        <v/>
      </c>
    </row>
    <row r="7" spans="1:17" x14ac:dyDescent="0.25">
      <c r="A7" t="s">
        <v>72</v>
      </c>
      <c r="B7">
        <f>COUNTIFS(Table24[Ethnicity],A7)</f>
        <v>0</v>
      </c>
      <c r="C7" s="55" t="str">
        <f t="shared" si="0"/>
        <v/>
      </c>
    </row>
    <row r="8" spans="1:17" x14ac:dyDescent="0.25">
      <c r="A8" t="s">
        <v>67</v>
      </c>
      <c r="B8">
        <f>COUNTIFS(Table24[Ethnicity],A8)</f>
        <v>0</v>
      </c>
      <c r="C8" s="55" t="str">
        <f t="shared" si="0"/>
        <v/>
      </c>
    </row>
    <row r="9" spans="1:17" x14ac:dyDescent="0.25">
      <c r="A9" t="s">
        <v>64</v>
      </c>
      <c r="B9">
        <f>COUNTIFS(Table24[Ethnicity],A9)</f>
        <v>0</v>
      </c>
      <c r="C9" s="55" t="str">
        <f t="shared" si="0"/>
        <v/>
      </c>
    </row>
    <row r="10" spans="1:17" x14ac:dyDescent="0.25">
      <c r="A10" t="s">
        <v>71</v>
      </c>
      <c r="B10">
        <f>COUNTIFS(Table24[Ethnicity],A10)</f>
        <v>0</v>
      </c>
      <c r="C10" s="55" t="str">
        <f t="shared" si="0"/>
        <v/>
      </c>
    </row>
  </sheetData>
  <hyperlinks>
    <hyperlink ref="Q1" location="'Field Definitions'!A1" display="Return to Field Definition tab." xr:uid="{B3FA8446-FF3F-4C86-B159-7CCAB04ED11E}"/>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44D2BE-762D-4F87-B774-7C4576B80180}">
  <dimension ref="A1:N13"/>
  <sheetViews>
    <sheetView workbookViewId="0">
      <selection activeCell="M4" sqref="M4"/>
    </sheetView>
  </sheetViews>
  <sheetFormatPr defaultRowHeight="15" x14ac:dyDescent="0.25"/>
  <cols>
    <col min="1" max="1" width="12.42578125" bestFit="1" customWidth="1"/>
    <col min="10" max="10" width="27" bestFit="1" customWidth="1"/>
    <col min="14" max="14" width="15" bestFit="1" customWidth="1"/>
  </cols>
  <sheetData>
    <row r="1" spans="1:14" x14ac:dyDescent="0.25">
      <c r="A1" t="s">
        <v>192</v>
      </c>
      <c r="B1" t="s">
        <v>55</v>
      </c>
      <c r="C1" t="s">
        <v>78</v>
      </c>
      <c r="D1" t="s">
        <v>79</v>
      </c>
      <c r="E1" t="s">
        <v>920</v>
      </c>
      <c r="F1" t="s">
        <v>921</v>
      </c>
      <c r="G1" t="s">
        <v>922</v>
      </c>
      <c r="H1" t="s">
        <v>923</v>
      </c>
      <c r="J1" t="s">
        <v>924</v>
      </c>
      <c r="K1" t="s">
        <v>55</v>
      </c>
      <c r="L1" t="s">
        <v>78</v>
      </c>
      <c r="M1" t="s">
        <v>79</v>
      </c>
      <c r="N1" t="s">
        <v>920</v>
      </c>
    </row>
    <row r="2" spans="1:14" ht="16.5" x14ac:dyDescent="0.3">
      <c r="A2" s="34">
        <f>DATE(Instructions!B10-1,7,1)</f>
        <v>44378</v>
      </c>
      <c r="B2">
        <f>COUNTIFS(Table24[Under 18],"Yes",Table24[Date of Call],"&lt;="&amp;EOMONTH(A2,0),Table24[Date of Call],"&gt;="&amp;A2,Table24[If client is under 18, is the client involved in child welfare?],'G - Child Welfare Involvement'!B$1)</f>
        <v>0</v>
      </c>
      <c r="C2">
        <f>COUNTIFS(Table24[Under 18],"Yes",Table24[Date of Call],"&lt;="&amp;EOMONTH(A2,0),Table24[Date of Call],"&gt;="&amp;A2,Table24[If client is under 18, is the client involved in child welfare?],'G - Child Welfare Involvement'!C$1)</f>
        <v>0</v>
      </c>
      <c r="D2">
        <f>COUNTIFS(Table24[Under 18],"Yes",Table24[Date of Call],"&lt;="&amp;EOMONTH(A2,0),Table24[Date of Call],"&gt;="&amp;A2,Table24[If client is under 18, is the client involved in child welfare?],'G - Child Welfare Involvement'!D$1)</f>
        <v>0</v>
      </c>
      <c r="E2">
        <f>COUNTIFS(Table24[Under 18],"Yes",Table24[Date of Call],"&lt;="&amp;EOMONTH(A2,0),Table24[Date of Call],"&gt;="&amp;A2)</f>
        <v>0</v>
      </c>
      <c r="F2" s="55" t="str">
        <f>IFERROR(B2/$E2,"")</f>
        <v/>
      </c>
      <c r="G2" s="55" t="str">
        <f t="shared" ref="G2:H3" si="0">IFERROR(C2/$E2,"")</f>
        <v/>
      </c>
      <c r="H2" s="55" t="str">
        <f t="shared" si="0"/>
        <v/>
      </c>
      <c r="J2" t="s">
        <v>90</v>
      </c>
      <c r="K2" s="55" t="str">
        <f>IFERROR(COUNTIFS(Table24[Under 18],"Yes",Table24[Referred to Treatment?],'G - Child Welfare Involvement'!$J2,Table24[If client is under 18, is the client involved in child welfare?],'G - Child Welfare Involvement'!K$1)/N2,"")</f>
        <v/>
      </c>
      <c r="L2" s="55" t="str">
        <f>IFERROR(COUNTIFS(Table24[Under 18],"Yes",Table24[Referred to Treatment?],'G - Child Welfare Involvement'!$J2,Table24[If client is under 18, is the client involved in child welfare?],'G - Child Welfare Involvement'!L$1)/N2,"")</f>
        <v/>
      </c>
      <c r="M2" s="55" t="str">
        <f>IFERROR(COUNTIFS(Table24[Under 18],"Yes",Table24[Referred to Treatment?],'G - Child Welfare Involvement'!$J2,Table24[If client is under 18, is the client involved in child welfare?],'G - Child Welfare Involvement'!M$1)/N2,"")</f>
        <v/>
      </c>
      <c r="N2">
        <f>COUNTIFS(Table24[Under 18],"Yes",Table24[Referred to Treatment?],'G - Child Welfare Involvement'!$J2)</f>
        <v>0</v>
      </c>
    </row>
    <row r="3" spans="1:14" ht="16.5" x14ac:dyDescent="0.3">
      <c r="A3" s="34">
        <f>DATE(Instructions!B10-1,8,1)</f>
        <v>44409</v>
      </c>
      <c r="B3">
        <f>COUNTIFS(Table24[Under 18],"Yes",Table24[Date of Call],"&lt;="&amp;EOMONTH(A3,0),Table24[Date of Call],"&gt;="&amp;A3,Table24[If client is under 18, is the client involved in child welfare?],'G - Child Welfare Involvement'!B$1)</f>
        <v>0</v>
      </c>
      <c r="C3">
        <f>COUNTIFS(Table24[Under 18],"Yes",Table24[Date of Call],"&lt;="&amp;EOMONTH(A3,0),Table24[Date of Call],"&gt;="&amp;A3,Table24[If client is under 18, is the client involved in child welfare?],'G - Child Welfare Involvement'!C$1)</f>
        <v>0</v>
      </c>
      <c r="D3">
        <f>COUNTIFS(Table24[Under 18],"Yes",Table24[Date of Call],"&lt;="&amp;EOMONTH(A3,0),Table24[Date of Call],"&gt;="&amp;A3,Table24[If client is under 18, is the client involved in child welfare?],'G - Child Welfare Involvement'!D$1)</f>
        <v>0</v>
      </c>
      <c r="E3">
        <f>COUNTIFS(Table24[Under 18],"Yes",Table24[Date of Call],"&lt;="&amp;EOMONTH(A3,0),Table24[Date of Call],"&gt;="&amp;A3)</f>
        <v>0</v>
      </c>
      <c r="F3" s="55" t="str">
        <f>IFERROR(B3/$E3,"")</f>
        <v/>
      </c>
      <c r="G3" s="55" t="str">
        <f t="shared" si="0"/>
        <v/>
      </c>
      <c r="H3" s="55" t="str">
        <f t="shared" si="0"/>
        <v/>
      </c>
      <c r="J3" t="s">
        <v>77</v>
      </c>
      <c r="K3" s="55" t="str">
        <f>IFERROR(COUNTIFS(Table24[Under 18],"Yes",Table24[Referred to Treatment?],'G - Child Welfare Involvement'!$J3,Table24[If client is under 18, is the client involved in child welfare?],'G - Child Welfare Involvement'!K$1)/N3,"")</f>
        <v/>
      </c>
      <c r="L3" s="55" t="str">
        <f>IFERROR(COUNTIFS(Table24[Under 18],"Yes",Table24[Referred to Treatment?],'G - Child Welfare Involvement'!$J3,Table24[If client is under 18, is the client involved in child welfare?],'G - Child Welfare Involvement'!L$1)/N3,"")</f>
        <v/>
      </c>
      <c r="M3" s="55" t="str">
        <f>IFERROR(COUNTIFS(Table24[Under 18],"Yes",Table24[Referred to Treatment?],'G - Child Welfare Involvement'!$J3,Table24[If client is under 18, is the client involved in child welfare?],'G - Child Welfare Involvement'!M$1)/N3,"")</f>
        <v/>
      </c>
      <c r="N3">
        <f>COUNTIFS(Table24[Under 18],"Yes",Table24[Referred to Treatment?],'G - Child Welfare Involvement'!$J3)</f>
        <v>0</v>
      </c>
    </row>
    <row r="4" spans="1:14" ht="16.5" x14ac:dyDescent="0.3">
      <c r="A4" s="34">
        <f>DATE(Instructions!B10-1,9,1)</f>
        <v>44440</v>
      </c>
      <c r="B4">
        <f>COUNTIFS(Table24[Under 18],"Yes",Table24[Date of Call],"&lt;="&amp;EOMONTH(A4,0),Table24[Date of Call],"&gt;="&amp;A4,Table24[If client is under 18, is the client involved in child welfare?],'G - Child Welfare Involvement'!B$1)</f>
        <v>0</v>
      </c>
      <c r="C4">
        <f>COUNTIFS(Table24[Under 18],"Yes",Table24[Date of Call],"&lt;="&amp;EOMONTH(A4,0),Table24[Date of Call],"&gt;="&amp;A4,Table24[If client is under 18, is the client involved in child welfare?],'G - Child Welfare Involvement'!C$1)</f>
        <v>0</v>
      </c>
      <c r="D4">
        <f>COUNTIFS(Table24[Under 18],"Yes",Table24[Date of Call],"&lt;="&amp;EOMONTH(A4,0),Table24[Date of Call],"&gt;="&amp;A4,Table24[If client is under 18, is the client involved in child welfare?],'G - Child Welfare Involvement'!D$1)</f>
        <v>0</v>
      </c>
      <c r="E4">
        <f>COUNTIFS(Table24[Under 18],"Yes",Table24[Date of Call],"&lt;="&amp;EOMONTH(A4,0),Table24[Date of Call],"&gt;="&amp;A4)</f>
        <v>0</v>
      </c>
      <c r="F4" s="55" t="str">
        <f t="shared" ref="F4:F13" si="1">IFERROR(B4/SUM($B4:$D4),"")</f>
        <v/>
      </c>
      <c r="G4" s="55" t="str">
        <f t="shared" ref="G4:G13" si="2">IFERROR(C4/SUM($B4:$D4),"")</f>
        <v/>
      </c>
      <c r="H4" s="55" t="str">
        <f t="shared" ref="H4:H13" si="3">IFERROR(D4/SUM($B4:$D4),"")</f>
        <v/>
      </c>
      <c r="J4" t="s">
        <v>91</v>
      </c>
      <c r="K4" s="55" t="str">
        <f>IFERROR(COUNTIFS(Table24[Under 18],"Yes",Table24[Referred to Treatment?],'G - Child Welfare Involvement'!$J4,Table24[If client is under 18, is the client involved in child welfare?],'G - Child Welfare Involvement'!K$1)/N4,"")</f>
        <v/>
      </c>
      <c r="L4" s="55" t="str">
        <f>IFERROR(COUNTIFS(Table24[Under 18],"Yes",Table24[Referred to Treatment?],'G - Child Welfare Involvement'!$J4,Table24[If client is under 18, is the client involved in child welfare?],'G - Child Welfare Involvement'!L$1)/N4,"")</f>
        <v/>
      </c>
      <c r="M4" s="55" t="str">
        <f>IFERROR(COUNTIFS(Table24[Under 18],"Yes",Table24[Referred to Treatment?],'G - Child Welfare Involvement'!$J4,Table24[If client is under 18, is the client involved in child welfare?],'G - Child Welfare Involvement'!M$1)/N4,"")</f>
        <v/>
      </c>
      <c r="N4">
        <f>COUNTIFS(Table24[Under 18],"Yes",Table24[Referred to Treatment?],'G - Child Welfare Involvement'!$J4)</f>
        <v>0</v>
      </c>
    </row>
    <row r="5" spans="1:14" ht="16.5" x14ac:dyDescent="0.3">
      <c r="A5" s="34">
        <f>DATE(Instructions!B10-1,10,1)</f>
        <v>44470</v>
      </c>
      <c r="B5">
        <f>COUNTIFS(Table24[Under 18],"Yes",Table24[Date of Call],"&lt;="&amp;EOMONTH(A5,0),Table24[Date of Call],"&gt;="&amp;A5,Table24[If client is under 18, is the client involved in child welfare?],'G - Child Welfare Involvement'!B$1)</f>
        <v>0</v>
      </c>
      <c r="C5">
        <f>COUNTIFS(Table24[Under 18],"Yes",Table24[Date of Call],"&lt;="&amp;EOMONTH(A5,0),Table24[Date of Call],"&gt;="&amp;A5,Table24[If client is under 18, is the client involved in child welfare?],'G - Child Welfare Involvement'!C$1)</f>
        <v>0</v>
      </c>
      <c r="D5">
        <f>COUNTIFS(Table24[Under 18],"Yes",Table24[Date of Call],"&lt;="&amp;EOMONTH(A5,0),Table24[Date of Call],"&gt;="&amp;A5,Table24[If client is under 18, is the client involved in child welfare?],'G - Child Welfare Involvement'!D$1)</f>
        <v>0</v>
      </c>
      <c r="E5">
        <f>COUNTIFS(Table24[Under 18],"Yes",Table24[Date of Call],"&lt;="&amp;EOMONTH(A5,0),Table24[Date of Call],"&gt;="&amp;A5)</f>
        <v>0</v>
      </c>
      <c r="F5" s="55" t="str">
        <f t="shared" si="1"/>
        <v/>
      </c>
      <c r="G5" s="55" t="str">
        <f t="shared" si="2"/>
        <v/>
      </c>
      <c r="H5" s="55" t="str">
        <f t="shared" si="3"/>
        <v/>
      </c>
      <c r="J5" t="s">
        <v>78</v>
      </c>
      <c r="K5" s="55" t="str">
        <f>IFERROR(COUNTIFS(Table24[Under 18],"Yes",Table24[Referred to Treatment?],'G - Child Welfare Involvement'!$J5,Table24[If client is under 18, is the client involved in child welfare?],'G - Child Welfare Involvement'!K$1)/N5,"")</f>
        <v/>
      </c>
      <c r="L5" s="55" t="str">
        <f>IFERROR(COUNTIFS(Table24[Under 18],"Yes",Table24[Referred to Treatment?],'G - Child Welfare Involvement'!$J5,Table24[If client is under 18, is the client involved in child welfare?],'G - Child Welfare Involvement'!L$1)/N5,"")</f>
        <v/>
      </c>
      <c r="M5" s="55" t="str">
        <f>IFERROR(COUNTIFS(Table24[Under 18],"Yes",Table24[Referred to Treatment?],'G - Child Welfare Involvement'!$J5,Table24[If client is under 18, is the client involved in child welfare?],'G - Child Welfare Involvement'!M$1)/N5,"")</f>
        <v/>
      </c>
      <c r="N5">
        <f>COUNTIFS(Table24[Under 18],"Yes",Table24[Referred to Treatment?],'G - Child Welfare Involvement'!$J5)</f>
        <v>0</v>
      </c>
    </row>
    <row r="6" spans="1:14" ht="16.5" x14ac:dyDescent="0.3">
      <c r="A6" s="34">
        <f>DATE(Instructions!B10-1,11,1)</f>
        <v>44501</v>
      </c>
      <c r="B6">
        <f>COUNTIFS(Table24[Under 18],"Yes",Table24[Date of Call],"&lt;="&amp;EOMONTH(A6,0),Table24[Date of Call],"&gt;="&amp;A6,Table24[If client is under 18, is the client involved in child welfare?],'G - Child Welfare Involvement'!B$1)</f>
        <v>0</v>
      </c>
      <c r="C6">
        <f>COUNTIFS(Table24[Under 18],"Yes",Table24[Date of Call],"&lt;="&amp;EOMONTH(A6,0),Table24[Date of Call],"&gt;="&amp;A6,Table24[If client is under 18, is the client involved in child welfare?],'G - Child Welfare Involvement'!C$1)</f>
        <v>0</v>
      </c>
      <c r="D6">
        <f>COUNTIFS(Table24[Under 18],"Yes",Table24[Date of Call],"&lt;="&amp;EOMONTH(A6,0),Table24[Date of Call],"&gt;="&amp;A6,Table24[If client is under 18, is the client involved in child welfare?],'G - Child Welfare Involvement'!D$1)</f>
        <v>0</v>
      </c>
      <c r="E6">
        <f>COUNTIFS(Table24[Under 18],"Yes",Table24[Date of Call],"&lt;="&amp;EOMONTH(A6,0),Table24[Date of Call],"&gt;="&amp;A6)</f>
        <v>0</v>
      </c>
      <c r="F6" s="55" t="str">
        <f t="shared" si="1"/>
        <v/>
      </c>
      <c r="G6" s="55" t="str">
        <f t="shared" si="2"/>
        <v/>
      </c>
      <c r="H6" s="55" t="str">
        <f t="shared" si="3"/>
        <v/>
      </c>
      <c r="J6" s="36" t="s">
        <v>899</v>
      </c>
    </row>
    <row r="7" spans="1:14" ht="16.5" x14ac:dyDescent="0.3">
      <c r="A7" s="34">
        <f>DATE(Instructions!B10-1,12,1)</f>
        <v>44531</v>
      </c>
      <c r="B7">
        <f>COUNTIFS(Table24[Under 18],"Yes",Table24[Date of Call],"&lt;="&amp;EOMONTH(A7,0),Table24[Date of Call],"&gt;="&amp;A7,Table24[If client is under 18, is the client involved in child welfare?],'G - Child Welfare Involvement'!B$1)</f>
        <v>0</v>
      </c>
      <c r="C7">
        <f>COUNTIFS(Table24[Under 18],"Yes",Table24[Date of Call],"&lt;="&amp;EOMONTH(A7,0),Table24[Date of Call],"&gt;="&amp;A7,Table24[If client is under 18, is the client involved in child welfare?],'G - Child Welfare Involvement'!C$1)</f>
        <v>0</v>
      </c>
      <c r="D7">
        <f>COUNTIFS(Table24[Under 18],"Yes",Table24[Date of Call],"&lt;="&amp;EOMONTH(A7,0),Table24[Date of Call],"&gt;="&amp;A7,Table24[If client is under 18, is the client involved in child welfare?],'G - Child Welfare Involvement'!D$1)</f>
        <v>0</v>
      </c>
      <c r="E7">
        <f>COUNTIFS(Table24[Under 18],"Yes",Table24[Date of Call],"&lt;="&amp;EOMONTH(A7,0),Table24[Date of Call],"&gt;="&amp;A7)</f>
        <v>0</v>
      </c>
      <c r="F7" s="55" t="str">
        <f t="shared" si="1"/>
        <v/>
      </c>
      <c r="G7" s="55" t="str">
        <f t="shared" si="2"/>
        <v/>
      </c>
      <c r="H7" s="55" t="str">
        <f t="shared" si="3"/>
        <v/>
      </c>
      <c r="J7" t="s">
        <v>927</v>
      </c>
    </row>
    <row r="8" spans="1:14" ht="16.5" x14ac:dyDescent="0.3">
      <c r="A8" s="34">
        <f>DATE(Instructions!B10,1,1)</f>
        <v>44562</v>
      </c>
      <c r="B8">
        <f>COUNTIFS(Table24[Under 18],"Yes",Table24[Date of Call],"&lt;="&amp;EOMONTH(A8,0),Table24[Date of Call],"&gt;="&amp;A8,Table24[If client is under 18, is the client involved in child welfare?],'G - Child Welfare Involvement'!B$1)</f>
        <v>0</v>
      </c>
      <c r="C8">
        <f>COUNTIFS(Table24[Under 18],"Yes",Table24[Date of Call],"&lt;="&amp;EOMONTH(A8,0),Table24[Date of Call],"&gt;="&amp;A8,Table24[If client is under 18, is the client involved in child welfare?],'G - Child Welfare Involvement'!C$1)</f>
        <v>0</v>
      </c>
      <c r="D8">
        <f>COUNTIFS(Table24[Under 18],"Yes",Table24[Date of Call],"&lt;="&amp;EOMONTH(A8,0),Table24[Date of Call],"&gt;="&amp;A8,Table24[If client is under 18, is the client involved in child welfare?],'G - Child Welfare Involvement'!D$1)</f>
        <v>0</v>
      </c>
      <c r="E8">
        <f>COUNTIFS(Table24[Under 18],"Yes",Table24[Date of Call],"&lt;="&amp;EOMONTH(A8,0),Table24[Date of Call],"&gt;="&amp;A8)</f>
        <v>0</v>
      </c>
      <c r="F8" s="55" t="str">
        <f t="shared" si="1"/>
        <v/>
      </c>
      <c r="G8" s="55" t="str">
        <f t="shared" si="2"/>
        <v/>
      </c>
      <c r="H8" s="55" t="str">
        <f t="shared" si="3"/>
        <v/>
      </c>
    </row>
    <row r="9" spans="1:14" ht="16.5" x14ac:dyDescent="0.3">
      <c r="A9" s="34">
        <f>DATE(Instructions!B10,2,1)</f>
        <v>44593</v>
      </c>
      <c r="B9">
        <f>COUNTIFS(Table24[Under 18],"Yes",Table24[Date of Call],"&lt;="&amp;EOMONTH(A9,0),Table24[Date of Call],"&gt;="&amp;A9,Table24[If client is under 18, is the client involved in child welfare?],'G - Child Welfare Involvement'!B$1)</f>
        <v>0</v>
      </c>
      <c r="C9">
        <f>COUNTIFS(Table24[Under 18],"Yes",Table24[Date of Call],"&lt;="&amp;EOMONTH(A9,0),Table24[Date of Call],"&gt;="&amp;A9,Table24[If client is under 18, is the client involved in child welfare?],'G - Child Welfare Involvement'!C$1)</f>
        <v>0</v>
      </c>
      <c r="D9">
        <f>COUNTIFS(Table24[Under 18],"Yes",Table24[Date of Call],"&lt;="&amp;EOMONTH(A9,0),Table24[Date of Call],"&gt;="&amp;A9,Table24[If client is under 18, is the client involved in child welfare?],'G - Child Welfare Involvement'!D$1)</f>
        <v>0</v>
      </c>
      <c r="E9">
        <f>COUNTIFS(Table24[Under 18],"Yes",Table24[Date of Call],"&lt;="&amp;EOMONTH(A9,0),Table24[Date of Call],"&gt;="&amp;A9)</f>
        <v>0</v>
      </c>
      <c r="F9" s="55" t="str">
        <f t="shared" si="1"/>
        <v/>
      </c>
      <c r="G9" s="55" t="str">
        <f t="shared" si="2"/>
        <v/>
      </c>
      <c r="H9" s="55" t="str">
        <f t="shared" si="3"/>
        <v/>
      </c>
      <c r="J9" t="s">
        <v>925</v>
      </c>
    </row>
    <row r="10" spans="1:14" ht="16.5" x14ac:dyDescent="0.3">
      <c r="A10" s="34">
        <f>DATE(Instructions!B10,3,1)</f>
        <v>44621</v>
      </c>
      <c r="B10">
        <f>COUNTIFS(Table24[Under 18],"Yes",Table24[Date of Call],"&lt;="&amp;EOMONTH(A10,0),Table24[Date of Call],"&gt;="&amp;A10,Table24[If client is under 18, is the client involved in child welfare?],'G - Child Welfare Involvement'!B$1)</f>
        <v>0</v>
      </c>
      <c r="C10">
        <f>COUNTIFS(Table24[Under 18],"Yes",Table24[Date of Call],"&lt;="&amp;EOMONTH(A10,0),Table24[Date of Call],"&gt;="&amp;A10,Table24[If client is under 18, is the client involved in child welfare?],'G - Child Welfare Involvement'!C$1)</f>
        <v>0</v>
      </c>
      <c r="D10">
        <f>COUNTIFS(Table24[Under 18],"Yes",Table24[Date of Call],"&lt;="&amp;EOMONTH(A10,0),Table24[Date of Call],"&gt;="&amp;A10,Table24[If client is under 18, is the client involved in child welfare?],'G - Child Welfare Involvement'!D$1)</f>
        <v>0</v>
      </c>
      <c r="E10">
        <f>COUNTIFS(Table24[Under 18],"Yes",Table24[Date of Call],"&lt;="&amp;EOMONTH(A10,0),Table24[Date of Call],"&gt;="&amp;A10)</f>
        <v>0</v>
      </c>
      <c r="F10" s="55" t="str">
        <f t="shared" si="1"/>
        <v/>
      </c>
      <c r="G10" s="55" t="str">
        <f t="shared" si="2"/>
        <v/>
      </c>
      <c r="H10" s="55" t="str">
        <f t="shared" si="3"/>
        <v/>
      </c>
      <c r="J10" t="s">
        <v>926</v>
      </c>
    </row>
    <row r="11" spans="1:14" ht="16.5" x14ac:dyDescent="0.3">
      <c r="A11" s="34">
        <f>DATE(Instructions!B10,4,1)</f>
        <v>44652</v>
      </c>
      <c r="B11">
        <f>COUNTIFS(Table24[Under 18],"Yes",Table24[Date of Call],"&lt;="&amp;EOMONTH(A11,0),Table24[Date of Call],"&gt;="&amp;A11,Table24[If client is under 18, is the client involved in child welfare?],'G - Child Welfare Involvement'!B$1)</f>
        <v>0</v>
      </c>
      <c r="C11">
        <f>COUNTIFS(Table24[Under 18],"Yes",Table24[Date of Call],"&lt;="&amp;EOMONTH(A11,0),Table24[Date of Call],"&gt;="&amp;A11,Table24[If client is under 18, is the client involved in child welfare?],'G - Child Welfare Involvement'!C$1)</f>
        <v>0</v>
      </c>
      <c r="D11">
        <f>COUNTIFS(Table24[Under 18],"Yes",Table24[Date of Call],"&lt;="&amp;EOMONTH(A11,0),Table24[Date of Call],"&gt;="&amp;A11,Table24[If client is under 18, is the client involved in child welfare?],'G - Child Welfare Involvement'!D$1)</f>
        <v>0</v>
      </c>
      <c r="E11">
        <f>COUNTIFS(Table24[Under 18],"Yes",Table24[Date of Call],"&lt;="&amp;EOMONTH(A11,0),Table24[Date of Call],"&gt;="&amp;A11)</f>
        <v>0</v>
      </c>
      <c r="F11" s="55" t="str">
        <f t="shared" si="1"/>
        <v/>
      </c>
      <c r="G11" s="55" t="str">
        <f t="shared" si="2"/>
        <v/>
      </c>
      <c r="H11" s="55" t="str">
        <f t="shared" si="3"/>
        <v/>
      </c>
    </row>
    <row r="12" spans="1:14" ht="16.5" x14ac:dyDescent="0.3">
      <c r="A12" s="34">
        <f>DATE(Instructions!B10,5,1)</f>
        <v>44682</v>
      </c>
      <c r="B12">
        <f>COUNTIFS(Table24[Under 18],"Yes",Table24[Date of Call],"&lt;="&amp;EOMONTH(A12,0),Table24[Date of Call],"&gt;="&amp;A12,Table24[If client is under 18, is the client involved in child welfare?],'G - Child Welfare Involvement'!B$1)</f>
        <v>0</v>
      </c>
      <c r="C12">
        <f>COUNTIFS(Table24[Under 18],"Yes",Table24[Date of Call],"&lt;="&amp;EOMONTH(A12,0),Table24[Date of Call],"&gt;="&amp;A12,Table24[If client is under 18, is the client involved in child welfare?],'G - Child Welfare Involvement'!C$1)</f>
        <v>0</v>
      </c>
      <c r="D12">
        <f>COUNTIFS(Table24[Under 18],"Yes",Table24[Date of Call],"&lt;="&amp;EOMONTH(A12,0),Table24[Date of Call],"&gt;="&amp;A12,Table24[If client is under 18, is the client involved in child welfare?],'G - Child Welfare Involvement'!D$1)</f>
        <v>0</v>
      </c>
      <c r="E12">
        <f>COUNTIFS(Table24[Under 18],"Yes",Table24[Date of Call],"&lt;="&amp;EOMONTH(A12,0),Table24[Date of Call],"&gt;="&amp;A12)</f>
        <v>0</v>
      </c>
      <c r="F12" s="55" t="str">
        <f t="shared" si="1"/>
        <v/>
      </c>
      <c r="G12" s="55" t="str">
        <f t="shared" si="2"/>
        <v/>
      </c>
      <c r="H12" s="55" t="str">
        <f t="shared" si="3"/>
        <v/>
      </c>
    </row>
    <row r="13" spans="1:14" ht="16.5" x14ac:dyDescent="0.3">
      <c r="A13" s="34">
        <f>DATE(Instructions!B10,6,1)</f>
        <v>44713</v>
      </c>
      <c r="B13">
        <f>COUNTIFS(Table24[Under 18],"Yes",Table24[Date of Call],"&lt;="&amp;EOMONTH(A13,0),Table24[Date of Call],"&gt;="&amp;A13,Table24[If client is under 18, is the client involved in child welfare?],'G - Child Welfare Involvement'!B$1)</f>
        <v>0</v>
      </c>
      <c r="C13">
        <f>COUNTIFS(Table24[Under 18],"Yes",Table24[Date of Call],"&lt;="&amp;EOMONTH(A13,0),Table24[Date of Call],"&gt;="&amp;A13,Table24[If client is under 18, is the client involved in child welfare?],'G - Child Welfare Involvement'!C$1)</f>
        <v>0</v>
      </c>
      <c r="D13">
        <f>COUNTIFS(Table24[Under 18],"Yes",Table24[Date of Call],"&lt;="&amp;EOMONTH(A13,0),Table24[Date of Call],"&gt;="&amp;A13,Table24[If client is under 18, is the client involved in child welfare?],'G - Child Welfare Involvement'!D$1)</f>
        <v>0</v>
      </c>
      <c r="E13">
        <f>COUNTIFS(Table24[Under 18],"Yes",Table24[Date of Call],"&lt;="&amp;EOMONTH(A13,0),Table24[Date of Call],"&gt;="&amp;A13)</f>
        <v>0</v>
      </c>
      <c r="F13" s="55" t="str">
        <f t="shared" si="1"/>
        <v/>
      </c>
      <c r="G13" s="55" t="str">
        <f t="shared" si="2"/>
        <v/>
      </c>
      <c r="H13" s="55" t="str">
        <f t="shared" si="3"/>
        <v/>
      </c>
    </row>
  </sheetData>
  <hyperlinks>
    <hyperlink ref="J6" location="'Field Definitions'!A1" display="Return to Field Definition tab." xr:uid="{FCD34F9B-94C6-4C37-B665-55EBB787B4B5}"/>
  </hyperlink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64F081-82D9-47D9-94F0-66E52A9C1973}">
  <dimension ref="A1:L13"/>
  <sheetViews>
    <sheetView workbookViewId="0">
      <selection activeCell="L5" sqref="L5"/>
    </sheetView>
  </sheetViews>
  <sheetFormatPr defaultRowHeight="15" x14ac:dyDescent="0.25"/>
  <cols>
    <col min="1" max="1" width="12.42578125" bestFit="1" customWidth="1"/>
    <col min="2" max="2" width="5" bestFit="1" customWidth="1"/>
    <col min="3" max="3" width="14.7109375" bestFit="1" customWidth="1"/>
    <col min="4" max="4" width="22" bestFit="1" customWidth="1"/>
    <col min="5" max="5" width="15" bestFit="1" customWidth="1"/>
    <col min="7" max="7" width="19.5703125" bestFit="1" customWidth="1"/>
    <col min="9" max="9" width="19.5703125" bestFit="1" customWidth="1"/>
    <col min="10" max="10" width="22" bestFit="1" customWidth="1"/>
    <col min="11" max="11" width="14.7109375" bestFit="1" customWidth="1"/>
    <col min="12" max="12" width="22" bestFit="1" customWidth="1"/>
    <col min="13" max="13" width="28" bestFit="1" customWidth="1"/>
  </cols>
  <sheetData>
    <row r="1" spans="1:12" x14ac:dyDescent="0.25">
      <c r="A1" t="s">
        <v>192</v>
      </c>
      <c r="B1" t="s">
        <v>55</v>
      </c>
      <c r="C1" t="s">
        <v>80</v>
      </c>
      <c r="D1" t="s">
        <v>81</v>
      </c>
      <c r="E1" t="s">
        <v>920</v>
      </c>
      <c r="H1" t="s">
        <v>55</v>
      </c>
      <c r="I1" t="s">
        <v>80</v>
      </c>
      <c r="J1" t="s">
        <v>81</v>
      </c>
      <c r="K1" t="s">
        <v>920</v>
      </c>
    </row>
    <row r="2" spans="1:12" ht="16.5" x14ac:dyDescent="0.3">
      <c r="A2" s="34">
        <f>DATE(Instructions!B10-1,7,1)</f>
        <v>44378</v>
      </c>
      <c r="B2" s="55" t="str">
        <f>IFERROR(COUNTIFS(Table24[Under 18],"Yes",Table24[Date of Call],"&lt;="&amp;EOMONTH(A2,0),Table24[Date of Call],"&gt;="&amp;A2,Table24[If client is under 18, was parental consent obtained?],B$1)/E2,"")</f>
        <v/>
      </c>
      <c r="C2" s="55" t="str">
        <f>IFERROR(COUNTIFS(Table24[Under 18],"Yes",Table24[Date of Call],"&lt;="&amp;EOMONTH(A2,0),Table24[Date of Call],"&gt;="&amp;A2,Table24[If client is under 18, was parental consent obtained?],C$1)/E2,"")</f>
        <v/>
      </c>
      <c r="D2" s="55" t="str">
        <f>IFERROR(COUNTIFS(Table24[Under 18],"Yes",Table24[Date of Call],"&lt;="&amp;EOMONTH(A2,0),Table24[Date of Call],"&gt;="&amp;A2,Table24[If client is under 18, was parental consent obtained?],D$1)/E2,"")</f>
        <v/>
      </c>
      <c r="E2">
        <f>COUNTIFS(Table24[Under 18],"Yes",Table24[Date of Call],"&lt;="&amp;EOMONTH(A2,0),Table24[Date of Call],"&gt;="&amp;A2)</f>
        <v>0</v>
      </c>
      <c r="G2" t="s">
        <v>291</v>
      </c>
      <c r="H2" s="55" t="str">
        <f>IFERROR(COUNTIFS(Table24[Under 18],"Yes",Table24[Admission to CSU?],"Yes",Table24[If client is under 18, was parental consent obtained?],'G - Parental Consent'!H$1)/K2,"")</f>
        <v/>
      </c>
      <c r="I2" s="55" t="str">
        <f>IFERROR(COUNTIFS(Table24[Under 18],"Yes",Table24[Admission to CSU?],"Yes",Table24[If client is under 18, was parental consent obtained?],'G - Parental Consent'!I$1)/K2,"")</f>
        <v/>
      </c>
      <c r="J2" s="55" t="str">
        <f>IFERROR(COUNTIFS(Table24[Under 18],"Yes",Table24[Admission to CSU?],"Yes",Table24[If client is under 18, was parental consent obtained?],'G - Parental Consent'!J$1)/K2,"")</f>
        <v/>
      </c>
      <c r="K2">
        <f>COUNTIFS(Table24[Under 18],"Yes",Table24[Admission to CSU?],"Yes")</f>
        <v>0</v>
      </c>
    </row>
    <row r="3" spans="1:12" ht="16.5" x14ac:dyDescent="0.3">
      <c r="A3" s="34">
        <f>DATE(Instructions!B10-1,8,1)</f>
        <v>44409</v>
      </c>
      <c r="B3" s="55" t="str">
        <f>IFERROR(COUNTIFS(Table24[Under 18],"Yes",Table24[Date of Call],"&lt;="&amp;EOMONTH(A3,0),Table24[Date of Call],"&gt;="&amp;A3,Table24[If client is under 18, was parental consent obtained?],B$1)/E3,"")</f>
        <v/>
      </c>
      <c r="C3" s="55" t="str">
        <f>IFERROR(COUNTIFS(Table24[Under 18],"Yes",Table24[Date of Call],"&lt;="&amp;EOMONTH(A3,0),Table24[Date of Call],"&gt;="&amp;A3,Table24[If client is under 18, was parental consent obtained?],C$1)/E3,"")</f>
        <v/>
      </c>
      <c r="D3" s="55" t="str">
        <f>IFERROR(COUNTIFS(Table24[Under 18],"Yes",Table24[Date of Call],"&lt;="&amp;EOMONTH(A3,0),Table24[Date of Call],"&gt;="&amp;A3,Table24[If client is under 18, was parental consent obtained?],D$1)/E3,"")</f>
        <v/>
      </c>
      <c r="E3">
        <f>COUNTIFS(Table24[Under 18],"Yes",Table24[Date of Call],"&lt;="&amp;EOMONTH(A3,0),Table24[Date of Call],"&gt;="&amp;A3)</f>
        <v>0</v>
      </c>
      <c r="G3" t="s">
        <v>292</v>
      </c>
      <c r="H3" s="55" t="str">
        <f>IFERROR(COUNTIFS(Table24[Under 18],"Yes",Table24[Admission to CSU?],"No",Table24[If client is under 18, was parental consent obtained?],'G - Parental Consent'!H$1)/K3,"")</f>
        <v/>
      </c>
      <c r="I3" s="55" t="str">
        <f>IFERROR(COUNTIFS(Table24[Under 18],"Yes",Table24[Admission to CSU?],"No",Table24[If client is under 18, was parental consent obtained?],'G - Parental Consent'!I$1)/K3,"")</f>
        <v/>
      </c>
      <c r="J3" s="55" t="str">
        <f>IFERROR(COUNTIFS(Table24[Under 18],"Yes",Table24[Admission to CSU?],"No",Table24[If client is under 18, was parental consent obtained?],'G - Parental Consent'!J$1)/K3,"")</f>
        <v/>
      </c>
      <c r="K3">
        <f>COUNTIFS(Table24[Under 18],"Yes",Table24[Admission to CSU?],"No")</f>
        <v>0</v>
      </c>
    </row>
    <row r="4" spans="1:12" ht="16.5" x14ac:dyDescent="0.3">
      <c r="A4" s="34">
        <f>DATE(Instructions!B10-1,9,1)</f>
        <v>44440</v>
      </c>
      <c r="B4" s="55" t="str">
        <f>IFERROR(COUNTIFS(Table24[Under 18],"Yes",Table24[Date of Call],"&lt;="&amp;EOMONTH(A4,0),Table24[Date of Call],"&gt;="&amp;A4,Table24[If client is under 18, was parental consent obtained?],B$1)/E4,"")</f>
        <v/>
      </c>
      <c r="C4" s="55" t="str">
        <f>IFERROR(COUNTIFS(Table24[Under 18],"Yes",Table24[Date of Call],"&lt;="&amp;EOMONTH(A4,0),Table24[Date of Call],"&gt;="&amp;A4,Table24[If client is under 18, was parental consent obtained?],C$1)/E4,"")</f>
        <v/>
      </c>
      <c r="D4" s="55" t="str">
        <f>IFERROR(COUNTIFS(Table24[Under 18],"Yes",Table24[Date of Call],"&lt;="&amp;EOMONTH(A4,0),Table24[Date of Call],"&gt;="&amp;A4,Table24[If client is under 18, was parental consent obtained?],D$1)/E4,"")</f>
        <v/>
      </c>
      <c r="E4">
        <f>COUNTIFS(Table24[Under 18],"Yes",Table24[Date of Call],"&lt;="&amp;EOMONTH(A4,0),Table24[Date of Call],"&gt;="&amp;A4)</f>
        <v>0</v>
      </c>
    </row>
    <row r="5" spans="1:12" ht="16.5" x14ac:dyDescent="0.3">
      <c r="A5" s="34">
        <f>DATE(Instructions!B10-1,10,1)</f>
        <v>44470</v>
      </c>
      <c r="B5" s="55" t="str">
        <f>IFERROR(COUNTIFS(Table24[Under 18],"Yes",Table24[Date of Call],"&lt;="&amp;EOMONTH(A5,0),Table24[Date of Call],"&gt;="&amp;A5,Table24[If client is under 18, was parental consent obtained?],B$1)/E5,"")</f>
        <v/>
      </c>
      <c r="C5" s="55" t="str">
        <f>IFERROR(COUNTIFS(Table24[Under 18],"Yes",Table24[Date of Call],"&lt;="&amp;EOMONTH(A5,0),Table24[Date of Call],"&gt;="&amp;A5,Table24[If client is under 18, was parental consent obtained?],C$1)/E5,"")</f>
        <v/>
      </c>
      <c r="D5" s="55" t="str">
        <f>IFERROR(COUNTIFS(Table24[Under 18],"Yes",Table24[Date of Call],"&lt;="&amp;EOMONTH(A5,0),Table24[Date of Call],"&gt;="&amp;A5,Table24[If client is under 18, was parental consent obtained?],D$1)/E5,"")</f>
        <v/>
      </c>
      <c r="E5">
        <f>COUNTIFS(Table24[Under 18],"Yes",Table24[Date of Call],"&lt;="&amp;EOMONTH(A5,0),Table24[Date of Call],"&gt;="&amp;A5)</f>
        <v>0</v>
      </c>
      <c r="L5" s="36" t="s">
        <v>899</v>
      </c>
    </row>
    <row r="6" spans="1:12" ht="16.5" x14ac:dyDescent="0.3">
      <c r="A6" s="34">
        <f>DATE(Instructions!B10-1,11,1)</f>
        <v>44501</v>
      </c>
      <c r="B6" s="55" t="str">
        <f>IFERROR(COUNTIFS(Table24[Under 18],"Yes",Table24[Date of Call],"&lt;="&amp;EOMONTH(A6,0),Table24[Date of Call],"&gt;="&amp;A6,Table24[If client is under 18, was parental consent obtained?],B$1)/E6,"")</f>
        <v/>
      </c>
      <c r="C6" s="55" t="str">
        <f>IFERROR(COUNTIFS(Table24[Under 18],"Yes",Table24[Date of Call],"&lt;="&amp;EOMONTH(A6,0),Table24[Date of Call],"&gt;="&amp;A6,Table24[If client is under 18, was parental consent obtained?],C$1)/E6,"")</f>
        <v/>
      </c>
      <c r="D6" s="55" t="str">
        <f>IFERROR(COUNTIFS(Table24[Under 18],"Yes",Table24[Date of Call],"&lt;="&amp;EOMONTH(A6,0),Table24[Date of Call],"&gt;="&amp;A6,Table24[If client is under 18, was parental consent obtained?],D$1)/E6,"")</f>
        <v/>
      </c>
      <c r="E6">
        <f>COUNTIFS(Table24[Under 18],"Yes",Table24[Date of Call],"&lt;="&amp;EOMONTH(A6,0),Table24[Date of Call],"&gt;="&amp;A6)</f>
        <v>0</v>
      </c>
    </row>
    <row r="7" spans="1:12" ht="16.5" x14ac:dyDescent="0.3">
      <c r="A7" s="34">
        <f>DATE(Instructions!B10-1,12,1)</f>
        <v>44531</v>
      </c>
      <c r="B7" s="55" t="str">
        <f>IFERROR(COUNTIFS(Table24[Under 18],"Yes",Table24[Date of Call],"&lt;="&amp;EOMONTH(A7,0),Table24[Date of Call],"&gt;="&amp;A7,Table24[If client is under 18, was parental consent obtained?],B$1)/E7,"")</f>
        <v/>
      </c>
      <c r="C7" s="55" t="str">
        <f>IFERROR(COUNTIFS(Table24[Under 18],"Yes",Table24[Date of Call],"&lt;="&amp;EOMONTH(A7,0),Table24[Date of Call],"&gt;="&amp;A7,Table24[If client is under 18, was parental consent obtained?],C$1)/E7,"")</f>
        <v/>
      </c>
      <c r="D7" s="55" t="str">
        <f>IFERROR(COUNTIFS(Table24[Under 18],"Yes",Table24[Date of Call],"&lt;="&amp;EOMONTH(A7,0),Table24[Date of Call],"&gt;="&amp;A7,Table24[If client is under 18, was parental consent obtained?],D$1)/E7,"")</f>
        <v/>
      </c>
      <c r="E7">
        <f>COUNTIFS(Table24[Under 18],"Yes",Table24[Date of Call],"&lt;="&amp;EOMONTH(A7,0),Table24[Date of Call],"&gt;="&amp;A7)</f>
        <v>0</v>
      </c>
    </row>
    <row r="8" spans="1:12" ht="16.5" x14ac:dyDescent="0.3">
      <c r="A8" s="34">
        <f>DATE(Instructions!B10,1,1)</f>
        <v>44562</v>
      </c>
      <c r="B8" s="55" t="str">
        <f>IFERROR(COUNTIFS(Table24[Under 18],"Yes",Table24[Date of Call],"&lt;="&amp;EOMONTH(A8,0),Table24[Date of Call],"&gt;="&amp;A8,Table24[If client is under 18, was parental consent obtained?],B$1)/E8,"")</f>
        <v/>
      </c>
      <c r="C8" s="55" t="str">
        <f>IFERROR(COUNTIFS(Table24[Under 18],"Yes",Table24[Date of Call],"&lt;="&amp;EOMONTH(A8,0),Table24[Date of Call],"&gt;="&amp;A8,Table24[If client is under 18, was parental consent obtained?],C$1)/E8,"")</f>
        <v/>
      </c>
      <c r="D8" s="55" t="str">
        <f>IFERROR(COUNTIFS(Table24[Under 18],"Yes",Table24[Date of Call],"&lt;="&amp;EOMONTH(A8,0),Table24[Date of Call],"&gt;="&amp;A8,Table24[If client is under 18, was parental consent obtained?],D$1)/E8,"")</f>
        <v/>
      </c>
      <c r="E8">
        <f>COUNTIFS(Table24[Under 18],"Yes",Table24[Date of Call],"&lt;="&amp;EOMONTH(A8,0),Table24[Date of Call],"&gt;="&amp;A8)</f>
        <v>0</v>
      </c>
    </row>
    <row r="9" spans="1:12" ht="16.5" x14ac:dyDescent="0.3">
      <c r="A9" s="34">
        <f>DATE(Instructions!B10,2,1)</f>
        <v>44593</v>
      </c>
      <c r="B9" s="55" t="str">
        <f>IFERROR(COUNTIFS(Table24[Under 18],"Yes",Table24[Date of Call],"&lt;="&amp;EOMONTH(A9,0),Table24[Date of Call],"&gt;="&amp;A9,Table24[If client is under 18, was parental consent obtained?],B$1)/E9,"")</f>
        <v/>
      </c>
      <c r="C9" s="55" t="str">
        <f>IFERROR(COUNTIFS(Table24[Under 18],"Yes",Table24[Date of Call],"&lt;="&amp;EOMONTH(A9,0),Table24[Date of Call],"&gt;="&amp;A9,Table24[If client is under 18, was parental consent obtained?],C$1)/E9,"")</f>
        <v/>
      </c>
      <c r="D9" s="55" t="str">
        <f>IFERROR(COUNTIFS(Table24[Under 18],"Yes",Table24[Date of Call],"&lt;="&amp;EOMONTH(A9,0),Table24[Date of Call],"&gt;="&amp;A9,Table24[If client is under 18, was parental consent obtained?],D$1)/E9,"")</f>
        <v/>
      </c>
      <c r="E9">
        <f>COUNTIFS(Table24[Under 18],"Yes",Table24[Date of Call],"&lt;="&amp;EOMONTH(A9,0),Table24[Date of Call],"&gt;="&amp;A9)</f>
        <v>0</v>
      </c>
    </row>
    <row r="10" spans="1:12" ht="16.5" x14ac:dyDescent="0.3">
      <c r="A10" s="34">
        <f>DATE(Instructions!B10,3,1)</f>
        <v>44621</v>
      </c>
      <c r="B10" s="55" t="str">
        <f>IFERROR(COUNTIFS(Table24[Under 18],"Yes",Table24[Date of Call],"&lt;="&amp;EOMONTH(A10,0),Table24[Date of Call],"&gt;="&amp;A10,Table24[If client is under 18, was parental consent obtained?],B$1)/E10,"")</f>
        <v/>
      </c>
      <c r="C10" s="55" t="str">
        <f>IFERROR(COUNTIFS(Table24[Under 18],"Yes",Table24[Date of Call],"&lt;="&amp;EOMONTH(A10,0),Table24[Date of Call],"&gt;="&amp;A10,Table24[If client is under 18, was parental consent obtained?],C$1)/E10,"")</f>
        <v/>
      </c>
      <c r="D10" s="55" t="str">
        <f>IFERROR(COUNTIFS(Table24[Under 18],"Yes",Table24[Date of Call],"&lt;="&amp;EOMONTH(A10,0),Table24[Date of Call],"&gt;="&amp;A10,Table24[If client is under 18, was parental consent obtained?],D$1)/E10,"")</f>
        <v/>
      </c>
      <c r="E10">
        <f>COUNTIFS(Table24[Under 18],"Yes",Table24[Date of Call],"&lt;="&amp;EOMONTH(A10,0),Table24[Date of Call],"&gt;="&amp;A10)</f>
        <v>0</v>
      </c>
    </row>
    <row r="11" spans="1:12" ht="16.5" x14ac:dyDescent="0.3">
      <c r="A11" s="34">
        <f>DATE(Instructions!B10,4,1)</f>
        <v>44652</v>
      </c>
      <c r="B11" s="55" t="str">
        <f>IFERROR(COUNTIFS(Table24[Under 18],"Yes",Table24[Date of Call],"&lt;="&amp;EOMONTH(A11,0),Table24[Date of Call],"&gt;="&amp;A11,Table24[If client is under 18, was parental consent obtained?],B$1)/E11,"")</f>
        <v/>
      </c>
      <c r="C11" s="55" t="str">
        <f>IFERROR(COUNTIFS(Table24[Under 18],"Yes",Table24[Date of Call],"&lt;="&amp;EOMONTH(A11,0),Table24[Date of Call],"&gt;="&amp;A11,Table24[If client is under 18, was parental consent obtained?],C$1)/E11,"")</f>
        <v/>
      </c>
      <c r="D11" s="55" t="str">
        <f>IFERROR(COUNTIFS(Table24[Under 18],"Yes",Table24[Date of Call],"&lt;="&amp;EOMONTH(A11,0),Table24[Date of Call],"&gt;="&amp;A11,Table24[If client is under 18, was parental consent obtained?],D$1)/E11,"")</f>
        <v/>
      </c>
      <c r="E11">
        <f>COUNTIFS(Table24[Under 18],"Yes",Table24[Date of Call],"&lt;="&amp;EOMONTH(A11,0),Table24[Date of Call],"&gt;="&amp;A11)</f>
        <v>0</v>
      </c>
    </row>
    <row r="12" spans="1:12" ht="16.5" x14ac:dyDescent="0.3">
      <c r="A12" s="34">
        <f>DATE(Instructions!B10,5,1)</f>
        <v>44682</v>
      </c>
      <c r="B12" s="55" t="str">
        <f>IFERROR(COUNTIFS(Table24[Under 18],"Yes",Table24[Date of Call],"&lt;="&amp;EOMONTH(A12,0),Table24[Date of Call],"&gt;="&amp;A12,Table24[If client is under 18, was parental consent obtained?],B$1)/E12,"")</f>
        <v/>
      </c>
      <c r="C12" s="55" t="str">
        <f>IFERROR(COUNTIFS(Table24[Under 18],"Yes",Table24[Date of Call],"&lt;="&amp;EOMONTH(A12,0),Table24[Date of Call],"&gt;="&amp;A12,Table24[If client is under 18, was parental consent obtained?],C$1)/E12,"")</f>
        <v/>
      </c>
      <c r="D12" s="55" t="str">
        <f>IFERROR(COUNTIFS(Table24[Under 18],"Yes",Table24[Date of Call],"&lt;="&amp;EOMONTH(A12,0),Table24[Date of Call],"&gt;="&amp;A12,Table24[If client is under 18, was parental consent obtained?],D$1)/E12,"")</f>
        <v/>
      </c>
      <c r="E12">
        <f>COUNTIFS(Table24[Under 18],"Yes",Table24[Date of Call],"&lt;="&amp;EOMONTH(A12,0),Table24[Date of Call],"&gt;="&amp;A12)</f>
        <v>0</v>
      </c>
    </row>
    <row r="13" spans="1:12" ht="16.5" x14ac:dyDescent="0.3">
      <c r="A13" s="34">
        <f>DATE(Instructions!B10,6,1)</f>
        <v>44713</v>
      </c>
      <c r="B13" s="55" t="str">
        <f>IFERROR(COUNTIFS(Table24[Under 18],"Yes",Table24[Date of Call],"&lt;="&amp;EOMONTH(A13,0),Table24[Date of Call],"&gt;="&amp;A13,Table24[If client is under 18, was parental consent obtained?],B$1)/E13,"")</f>
        <v/>
      </c>
      <c r="C13" s="55" t="str">
        <f>IFERROR(COUNTIFS(Table24[Under 18],"Yes",Table24[Date of Call],"&lt;="&amp;EOMONTH(A13,0),Table24[Date of Call],"&gt;="&amp;A13,Table24[If client is under 18, was parental consent obtained?],C$1)/E13,"")</f>
        <v/>
      </c>
      <c r="D13" s="55" t="str">
        <f>IFERROR(COUNTIFS(Table24[Under 18],"Yes",Table24[Date of Call],"&lt;="&amp;EOMONTH(A13,0),Table24[Date of Call],"&gt;="&amp;A13,Table24[If client is under 18, was parental consent obtained?],D$1)/E13,"")</f>
        <v/>
      </c>
      <c r="E13">
        <f>COUNTIFS(Table24[Under 18],"Yes",Table24[Date of Call],"&lt;="&amp;EOMONTH(A13,0),Table24[Date of Call],"&gt;="&amp;A13)</f>
        <v>0</v>
      </c>
      <c r="G13" t="s">
        <v>927</v>
      </c>
    </row>
  </sheetData>
  <hyperlinks>
    <hyperlink ref="L5" location="'Field Definitions'!A1" display="Return to Field Definition tab." xr:uid="{D13C6860-3045-4405-B66D-1F9AD88532E4}"/>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C190B-4CCA-4CD0-9722-159291D48A62}">
  <dimension ref="A1:F20"/>
  <sheetViews>
    <sheetView workbookViewId="0">
      <selection activeCell="D12" sqref="D12"/>
    </sheetView>
  </sheetViews>
  <sheetFormatPr defaultRowHeight="15" x14ac:dyDescent="0.25"/>
  <cols>
    <col min="1" max="1" width="12.42578125" bestFit="1" customWidth="1"/>
    <col min="2" max="2" width="27" bestFit="1" customWidth="1"/>
    <col min="3" max="3" width="20" bestFit="1" customWidth="1"/>
    <col min="4" max="4" width="12.85546875" bestFit="1" customWidth="1"/>
    <col min="5" max="5" width="3.5703125" bestFit="1" customWidth="1"/>
    <col min="6" max="6" width="10.85546875" bestFit="1" customWidth="1"/>
  </cols>
  <sheetData>
    <row r="1" spans="1:6" x14ac:dyDescent="0.25">
      <c r="A1" t="s">
        <v>192</v>
      </c>
      <c r="B1" t="s">
        <v>77</v>
      </c>
      <c r="C1" t="s">
        <v>90</v>
      </c>
      <c r="D1" t="s">
        <v>91</v>
      </c>
      <c r="E1" t="s">
        <v>78</v>
      </c>
      <c r="F1" t="s">
        <v>284</v>
      </c>
    </row>
    <row r="2" spans="1:6" ht="16.5" x14ac:dyDescent="0.3">
      <c r="A2" s="34">
        <f>DATE(Instructions!B10-1,7,1)</f>
        <v>44378</v>
      </c>
      <c r="B2">
        <f>COUNTIFS(Table24[Client ID '#],"&lt;&gt;",Table24[Date of Call],"&lt;="&amp;EOMONTH(A2,0),Table24[Date of Call],"&gt;="&amp;A2,Table24[Referred to Treatment?],'G - % Referred to Treatment'!B$1)</f>
        <v>0</v>
      </c>
      <c r="C2">
        <f>COUNTIFS(Table24[Client ID '#],"&lt;&gt;",Table24[Date of Call],"&lt;="&amp;EOMONTH(A2,0),Table24[Date of Call],"&gt;="&amp;A2,Table24[Referred to Treatment?],'G - % Referred to Treatment'!C$1)</f>
        <v>0</v>
      </c>
      <c r="D2">
        <f>COUNTIFS(Table24[Client ID '#],"&lt;&gt;",Table24[Date of Call],"&lt;="&amp;EOMONTH(A2,0),Table24[Date of Call],"&gt;="&amp;A2,Table24[Referred to Treatment?],'G - % Referred to Treatment'!D$1)</f>
        <v>0</v>
      </c>
      <c r="E2">
        <f>COUNTIFS(Table24[Client ID '#],"&lt;&gt;",Table24[Date of Call],"&lt;="&amp;EOMONTH(A2,0),Table24[Date of Call],"&gt;="&amp;A2,Table24[Referred to Treatment?],'G - % Referred to Treatment'!E$1)</f>
        <v>0</v>
      </c>
      <c r="F2" s="55" t="str">
        <f>IFERROR(SUM(B2:D2)/SUM(B2:E2),"")</f>
        <v/>
      </c>
    </row>
    <row r="3" spans="1:6" ht="16.5" x14ac:dyDescent="0.3">
      <c r="A3" s="34">
        <f>DATE(Instructions!B10-1,8,1)</f>
        <v>44409</v>
      </c>
      <c r="B3">
        <f>COUNTIFS(Table24[Client ID '#],"&lt;&gt;",Table24[Date of Call],"&lt;="&amp;EOMONTH(A3,0),Table24[Date of Call],"&gt;="&amp;A3,Table24[Referred to Treatment?],'G - % Referred to Treatment'!B$1)</f>
        <v>0</v>
      </c>
      <c r="C3">
        <f>COUNTIFS(Table24[Client ID '#],"&lt;&gt;",Table24[Date of Call],"&lt;="&amp;EOMONTH(A3,0),Table24[Date of Call],"&gt;="&amp;A3,Table24[Referred to Treatment?],'G - % Referred to Treatment'!C$1)</f>
        <v>0</v>
      </c>
      <c r="D3">
        <f>COUNTIFS(Table24[Client ID '#],"&lt;&gt;",Table24[Date of Call],"&lt;="&amp;EOMONTH(A3,0),Table24[Date of Call],"&gt;="&amp;A3,Table24[Referred to Treatment?],'G - % Referred to Treatment'!D$1)</f>
        <v>0</v>
      </c>
      <c r="E3">
        <f>COUNTIFS(Table24[Client ID '#],"&lt;&gt;",Table24[Date of Call],"&lt;="&amp;EOMONTH(A3,0),Table24[Date of Call],"&gt;="&amp;A3,Table24[Referred to Treatment?],'G - % Referred to Treatment'!E$1)</f>
        <v>0</v>
      </c>
      <c r="F3" s="55" t="str">
        <f t="shared" ref="F3:F14" si="0">IFERROR(SUM(B3:D3)/SUM(B3:E3),"")</f>
        <v/>
      </c>
    </row>
    <row r="4" spans="1:6" ht="16.5" x14ac:dyDescent="0.3">
      <c r="A4" s="34">
        <f>DATE(Instructions!B10-1,9,1)</f>
        <v>44440</v>
      </c>
      <c r="B4">
        <f>COUNTIFS(Table24[Client ID '#],"&lt;&gt;",Table24[Date of Call],"&lt;="&amp;EOMONTH(A4,0),Table24[Date of Call],"&gt;="&amp;A4,Table24[Referred to Treatment?],'G - % Referred to Treatment'!B$1)</f>
        <v>0</v>
      </c>
      <c r="C4">
        <f>COUNTIFS(Table24[Client ID '#],"&lt;&gt;",Table24[Date of Call],"&lt;="&amp;EOMONTH(A4,0),Table24[Date of Call],"&gt;="&amp;A4,Table24[Referred to Treatment?],'G - % Referred to Treatment'!C$1)</f>
        <v>0</v>
      </c>
      <c r="D4">
        <f>COUNTIFS(Table24[Client ID '#],"&lt;&gt;",Table24[Date of Call],"&lt;="&amp;EOMONTH(A4,0),Table24[Date of Call],"&gt;="&amp;A4,Table24[Referred to Treatment?],'G - % Referred to Treatment'!D$1)</f>
        <v>0</v>
      </c>
      <c r="E4">
        <f>COUNTIFS(Table24[Client ID '#],"&lt;&gt;",Table24[Date of Call],"&lt;="&amp;EOMONTH(A4,0),Table24[Date of Call],"&gt;="&amp;A4,Table24[Referred to Treatment?],'G - % Referred to Treatment'!E$1)</f>
        <v>0</v>
      </c>
      <c r="F4" s="55" t="str">
        <f t="shared" si="0"/>
        <v/>
      </c>
    </row>
    <row r="5" spans="1:6" ht="16.5" x14ac:dyDescent="0.3">
      <c r="A5" s="34">
        <f>DATE(Instructions!B10-1,10,1)</f>
        <v>44470</v>
      </c>
      <c r="B5">
        <f>COUNTIFS(Table24[Client ID '#],"&lt;&gt;",Table24[Date of Call],"&lt;="&amp;EOMONTH(A5,0),Table24[Date of Call],"&gt;="&amp;A5,Table24[Referred to Treatment?],'G - % Referred to Treatment'!B$1)</f>
        <v>0</v>
      </c>
      <c r="C5">
        <f>COUNTIFS(Table24[Client ID '#],"&lt;&gt;",Table24[Date of Call],"&lt;="&amp;EOMONTH(A5,0),Table24[Date of Call],"&gt;="&amp;A5,Table24[Referred to Treatment?],'G - % Referred to Treatment'!C$1)</f>
        <v>0</v>
      </c>
      <c r="D5">
        <f>COUNTIFS(Table24[Client ID '#],"&lt;&gt;",Table24[Date of Call],"&lt;="&amp;EOMONTH(A5,0),Table24[Date of Call],"&gt;="&amp;A5,Table24[Referred to Treatment?],'G - % Referred to Treatment'!D$1)</f>
        <v>0</v>
      </c>
      <c r="E5">
        <f>COUNTIFS(Table24[Client ID '#],"&lt;&gt;",Table24[Date of Call],"&lt;="&amp;EOMONTH(A5,0),Table24[Date of Call],"&gt;="&amp;A5,Table24[Referred to Treatment?],'G - % Referred to Treatment'!E$1)</f>
        <v>0</v>
      </c>
      <c r="F5" s="55" t="str">
        <f t="shared" si="0"/>
        <v/>
      </c>
    </row>
    <row r="6" spans="1:6" ht="16.5" x14ac:dyDescent="0.3">
      <c r="A6" s="34">
        <f>DATE(Instructions!B10-1,11,1)</f>
        <v>44501</v>
      </c>
      <c r="B6">
        <f>COUNTIFS(Table24[Client ID '#],"&lt;&gt;",Table24[Date of Call],"&lt;="&amp;EOMONTH(A6,0),Table24[Date of Call],"&gt;="&amp;A6,Table24[Referred to Treatment?],'G - % Referred to Treatment'!B$1)</f>
        <v>0</v>
      </c>
      <c r="C6">
        <f>COUNTIFS(Table24[Client ID '#],"&lt;&gt;",Table24[Date of Call],"&lt;="&amp;EOMONTH(A6,0),Table24[Date of Call],"&gt;="&amp;A6,Table24[Referred to Treatment?],'G - % Referred to Treatment'!C$1)</f>
        <v>0</v>
      </c>
      <c r="D6">
        <f>COUNTIFS(Table24[Client ID '#],"&lt;&gt;",Table24[Date of Call],"&lt;="&amp;EOMONTH(A6,0),Table24[Date of Call],"&gt;="&amp;A6,Table24[Referred to Treatment?],'G - % Referred to Treatment'!D$1)</f>
        <v>0</v>
      </c>
      <c r="E6">
        <f>COUNTIFS(Table24[Client ID '#],"&lt;&gt;",Table24[Date of Call],"&lt;="&amp;EOMONTH(A6,0),Table24[Date of Call],"&gt;="&amp;A6,Table24[Referred to Treatment?],'G - % Referred to Treatment'!E$1)</f>
        <v>0</v>
      </c>
      <c r="F6" s="55" t="str">
        <f t="shared" si="0"/>
        <v/>
      </c>
    </row>
    <row r="7" spans="1:6" ht="16.5" x14ac:dyDescent="0.3">
      <c r="A7" s="34">
        <f>DATE(Instructions!B10-1,12,1)</f>
        <v>44531</v>
      </c>
      <c r="B7">
        <f>COUNTIFS(Table24[Client ID '#],"&lt;&gt;",Table24[Date of Call],"&lt;="&amp;EOMONTH(A7,0),Table24[Date of Call],"&gt;="&amp;A7,Table24[Referred to Treatment?],'G - % Referred to Treatment'!B$1)</f>
        <v>0</v>
      </c>
      <c r="C7">
        <f>COUNTIFS(Table24[Client ID '#],"&lt;&gt;",Table24[Date of Call],"&lt;="&amp;EOMONTH(A7,0),Table24[Date of Call],"&gt;="&amp;A7,Table24[Referred to Treatment?],'G - % Referred to Treatment'!C$1)</f>
        <v>0</v>
      </c>
      <c r="D7">
        <f>COUNTIFS(Table24[Client ID '#],"&lt;&gt;",Table24[Date of Call],"&lt;="&amp;EOMONTH(A7,0),Table24[Date of Call],"&gt;="&amp;A7,Table24[Referred to Treatment?],'G - % Referred to Treatment'!D$1)</f>
        <v>0</v>
      </c>
      <c r="E7">
        <f>COUNTIFS(Table24[Client ID '#],"&lt;&gt;",Table24[Date of Call],"&lt;="&amp;EOMONTH(A7,0),Table24[Date of Call],"&gt;="&amp;A7,Table24[Referred to Treatment?],'G - % Referred to Treatment'!E$1)</f>
        <v>0</v>
      </c>
      <c r="F7" s="55" t="str">
        <f t="shared" si="0"/>
        <v/>
      </c>
    </row>
    <row r="8" spans="1:6" ht="16.5" x14ac:dyDescent="0.3">
      <c r="A8" s="34">
        <f>DATE(Instructions!B10,1,1)</f>
        <v>44562</v>
      </c>
      <c r="B8">
        <f>COUNTIFS(Table24[Client ID '#],"&lt;&gt;",Table24[Date of Call],"&lt;="&amp;EOMONTH(A8,0),Table24[Date of Call],"&gt;="&amp;A8,Table24[Referred to Treatment?],'G - % Referred to Treatment'!B$1)</f>
        <v>0</v>
      </c>
      <c r="C8">
        <f>COUNTIFS(Table24[Client ID '#],"&lt;&gt;",Table24[Date of Call],"&lt;="&amp;EOMONTH(A8,0),Table24[Date of Call],"&gt;="&amp;A8,Table24[Referred to Treatment?],'G - % Referred to Treatment'!C$1)</f>
        <v>0</v>
      </c>
      <c r="D8">
        <f>COUNTIFS(Table24[Client ID '#],"&lt;&gt;",Table24[Date of Call],"&lt;="&amp;EOMONTH(A8,0),Table24[Date of Call],"&gt;="&amp;A8,Table24[Referred to Treatment?],'G - % Referred to Treatment'!D$1)</f>
        <v>0</v>
      </c>
      <c r="E8">
        <f>COUNTIFS(Table24[Client ID '#],"&lt;&gt;",Table24[Date of Call],"&lt;="&amp;EOMONTH(A8,0),Table24[Date of Call],"&gt;="&amp;A8,Table24[Referred to Treatment?],'G - % Referred to Treatment'!E$1)</f>
        <v>0</v>
      </c>
      <c r="F8" s="55" t="str">
        <f t="shared" si="0"/>
        <v/>
      </c>
    </row>
    <row r="9" spans="1:6" ht="16.5" x14ac:dyDescent="0.3">
      <c r="A9" s="34">
        <f>DATE(Instructions!B10,2,1)</f>
        <v>44593</v>
      </c>
      <c r="B9">
        <f>COUNTIFS(Table24[Client ID '#],"&lt;&gt;",Table24[Date of Call],"&lt;="&amp;EOMONTH(A9,0),Table24[Date of Call],"&gt;="&amp;A9,Table24[Referred to Treatment?],'G - % Referred to Treatment'!B$1)</f>
        <v>0</v>
      </c>
      <c r="C9">
        <f>COUNTIFS(Table24[Client ID '#],"&lt;&gt;",Table24[Date of Call],"&lt;="&amp;EOMONTH(A9,0),Table24[Date of Call],"&gt;="&amp;A9,Table24[Referred to Treatment?],'G - % Referred to Treatment'!C$1)</f>
        <v>0</v>
      </c>
      <c r="D9">
        <f>COUNTIFS(Table24[Client ID '#],"&lt;&gt;",Table24[Date of Call],"&lt;="&amp;EOMONTH(A9,0),Table24[Date of Call],"&gt;="&amp;A9,Table24[Referred to Treatment?],'G - % Referred to Treatment'!D$1)</f>
        <v>0</v>
      </c>
      <c r="E9">
        <f>COUNTIFS(Table24[Client ID '#],"&lt;&gt;",Table24[Date of Call],"&lt;="&amp;EOMONTH(A9,0),Table24[Date of Call],"&gt;="&amp;A9,Table24[Referred to Treatment?],'G - % Referred to Treatment'!E$1)</f>
        <v>0</v>
      </c>
      <c r="F9" s="55" t="str">
        <f t="shared" si="0"/>
        <v/>
      </c>
    </row>
    <row r="10" spans="1:6" ht="16.5" x14ac:dyDescent="0.3">
      <c r="A10" s="34">
        <f>DATE(Instructions!B10,3,1)</f>
        <v>44621</v>
      </c>
      <c r="B10">
        <f>COUNTIFS(Table24[Client ID '#],"&lt;&gt;",Table24[Date of Call],"&lt;="&amp;EOMONTH(A10,0),Table24[Date of Call],"&gt;="&amp;A10,Table24[Referred to Treatment?],'G - % Referred to Treatment'!B$1)</f>
        <v>0</v>
      </c>
      <c r="C10">
        <f>COUNTIFS(Table24[Client ID '#],"&lt;&gt;",Table24[Date of Call],"&lt;="&amp;EOMONTH(A10,0),Table24[Date of Call],"&gt;="&amp;A10,Table24[Referred to Treatment?],'G - % Referred to Treatment'!C$1)</f>
        <v>0</v>
      </c>
      <c r="D10">
        <f>COUNTIFS(Table24[Client ID '#],"&lt;&gt;",Table24[Date of Call],"&lt;="&amp;EOMONTH(A10,0),Table24[Date of Call],"&gt;="&amp;A10,Table24[Referred to Treatment?],'G - % Referred to Treatment'!D$1)</f>
        <v>0</v>
      </c>
      <c r="E10">
        <f>COUNTIFS(Table24[Client ID '#],"&lt;&gt;",Table24[Date of Call],"&lt;="&amp;EOMONTH(A10,0),Table24[Date of Call],"&gt;="&amp;A10,Table24[Referred to Treatment?],'G - % Referred to Treatment'!E$1)</f>
        <v>0</v>
      </c>
      <c r="F10" s="55" t="str">
        <f t="shared" si="0"/>
        <v/>
      </c>
    </row>
    <row r="11" spans="1:6" ht="16.5" x14ac:dyDescent="0.3">
      <c r="A11" s="34">
        <f>DATE(Instructions!B10,4,1)</f>
        <v>44652</v>
      </c>
      <c r="B11">
        <f>COUNTIFS(Table24[Client ID '#],"&lt;&gt;",Table24[Date of Call],"&lt;="&amp;EOMONTH(A11,0),Table24[Date of Call],"&gt;="&amp;A11,Table24[Referred to Treatment?],'G - % Referred to Treatment'!B$1)</f>
        <v>0</v>
      </c>
      <c r="C11">
        <f>COUNTIFS(Table24[Client ID '#],"&lt;&gt;",Table24[Date of Call],"&lt;="&amp;EOMONTH(A11,0),Table24[Date of Call],"&gt;="&amp;A11,Table24[Referred to Treatment?],'G - % Referred to Treatment'!C$1)</f>
        <v>0</v>
      </c>
      <c r="D11">
        <f>COUNTIFS(Table24[Client ID '#],"&lt;&gt;",Table24[Date of Call],"&lt;="&amp;EOMONTH(A11,0),Table24[Date of Call],"&gt;="&amp;A11,Table24[Referred to Treatment?],'G - % Referred to Treatment'!D$1)</f>
        <v>0</v>
      </c>
      <c r="E11">
        <f>COUNTIFS(Table24[Client ID '#],"&lt;&gt;",Table24[Date of Call],"&lt;="&amp;EOMONTH(A11,0),Table24[Date of Call],"&gt;="&amp;A11,Table24[Referred to Treatment?],'G - % Referred to Treatment'!E$1)</f>
        <v>0</v>
      </c>
      <c r="F11" s="55" t="str">
        <f t="shared" si="0"/>
        <v/>
      </c>
    </row>
    <row r="12" spans="1:6" ht="16.5" x14ac:dyDescent="0.3">
      <c r="A12" s="34">
        <f>DATE(Instructions!B10,5,1)</f>
        <v>44682</v>
      </c>
      <c r="B12">
        <f>COUNTIFS(Table24[Client ID '#],"&lt;&gt;",Table24[Date of Call],"&lt;="&amp;EOMONTH(A12,0),Table24[Date of Call],"&gt;="&amp;A12,Table24[Referred to Treatment?],'G - % Referred to Treatment'!B$1)</f>
        <v>0</v>
      </c>
      <c r="C12">
        <f>COUNTIFS(Table24[Client ID '#],"&lt;&gt;",Table24[Date of Call],"&lt;="&amp;EOMONTH(A12,0),Table24[Date of Call],"&gt;="&amp;A12,Table24[Referred to Treatment?],'G - % Referred to Treatment'!C$1)</f>
        <v>0</v>
      </c>
      <c r="D12">
        <f>COUNTIFS(Table24[Client ID '#],"&lt;&gt;",Table24[Date of Call],"&lt;="&amp;EOMONTH(A12,0),Table24[Date of Call],"&gt;="&amp;A12,Table24[Referred to Treatment?],'G - % Referred to Treatment'!D$1)</f>
        <v>0</v>
      </c>
      <c r="E12">
        <f>COUNTIFS(Table24[Client ID '#],"&lt;&gt;",Table24[Date of Call],"&lt;="&amp;EOMONTH(A12,0),Table24[Date of Call],"&gt;="&amp;A12,Table24[Referred to Treatment?],'G - % Referred to Treatment'!E$1)</f>
        <v>0</v>
      </c>
      <c r="F12" s="55" t="str">
        <f t="shared" si="0"/>
        <v/>
      </c>
    </row>
    <row r="13" spans="1:6" ht="16.5" x14ac:dyDescent="0.3">
      <c r="A13" s="34">
        <f>DATE(Instructions!B10,6,1)</f>
        <v>44713</v>
      </c>
      <c r="B13">
        <f>COUNTIFS(Table24[Client ID '#],"&lt;&gt;",Table24[Date of Call],"&lt;="&amp;EOMONTH(A13,0),Table24[Date of Call],"&gt;="&amp;A13,Table24[Referred to Treatment?],'G - % Referred to Treatment'!B$1)</f>
        <v>0</v>
      </c>
      <c r="C13">
        <f>COUNTIFS(Table24[Client ID '#],"&lt;&gt;",Table24[Date of Call],"&lt;="&amp;EOMONTH(A13,0),Table24[Date of Call],"&gt;="&amp;A13,Table24[Referred to Treatment?],'G - % Referred to Treatment'!C$1)</f>
        <v>0</v>
      </c>
      <c r="D13">
        <f>COUNTIFS(Table24[Client ID '#],"&lt;&gt;",Table24[Date of Call],"&lt;="&amp;EOMONTH(A13,0),Table24[Date of Call],"&gt;="&amp;A13,Table24[Referred to Treatment?],'G - % Referred to Treatment'!D$1)</f>
        <v>0</v>
      </c>
      <c r="E13">
        <f>COUNTIFS(Table24[Client ID '#],"&lt;&gt;",Table24[Date of Call],"&lt;="&amp;EOMONTH(A13,0),Table24[Date of Call],"&gt;="&amp;A13,Table24[Referred to Treatment?],'G - % Referred to Treatment'!E$1)</f>
        <v>0</v>
      </c>
      <c r="F13" s="55" t="str">
        <f t="shared" si="0"/>
        <v/>
      </c>
    </row>
    <row r="14" spans="1:6" x14ac:dyDescent="0.25">
      <c r="A14" t="s">
        <v>283</v>
      </c>
      <c r="B14">
        <f>SUM(B2:B13)</f>
        <v>0</v>
      </c>
      <c r="C14">
        <f t="shared" ref="C14:E14" si="1">SUM(C2:C13)</f>
        <v>0</v>
      </c>
      <c r="D14">
        <f t="shared" si="1"/>
        <v>0</v>
      </c>
      <c r="E14">
        <f t="shared" si="1"/>
        <v>0</v>
      </c>
      <c r="F14" s="55" t="str">
        <f t="shared" si="0"/>
        <v/>
      </c>
    </row>
    <row r="15" spans="1:6" x14ac:dyDescent="0.25">
      <c r="A15" t="s">
        <v>285</v>
      </c>
      <c r="B15" s="55" t="str">
        <f>IFERROR(B14/SUM($B$14:$E$14),"")</f>
        <v/>
      </c>
      <c r="C15" s="55" t="str">
        <f>IFERROR(C14/SUM($B$14:$E$14),"")</f>
        <v/>
      </c>
      <c r="D15" s="55" t="str">
        <f>IFERROR(D14/SUM($B$14:$E$14),"")</f>
        <v/>
      </c>
      <c r="E15" s="55" t="str">
        <f>IFERROR(E14/SUM($B$14:$E$14),"")</f>
        <v/>
      </c>
    </row>
    <row r="20" spans="1:1" x14ac:dyDescent="0.25">
      <c r="A20" s="36" t="s">
        <v>899</v>
      </c>
    </row>
  </sheetData>
  <hyperlinks>
    <hyperlink ref="A20" location="'Field Definitions'!A1" display="Return to Field Definition tab." xr:uid="{1099A19E-963F-48AA-86DB-F2FBFFB68F6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4AA11-4D66-4EB0-84B7-362BBEA8CFCC}">
  <dimension ref="A1:D20"/>
  <sheetViews>
    <sheetView workbookViewId="0">
      <selection activeCell="C7" sqref="C7"/>
    </sheetView>
  </sheetViews>
  <sheetFormatPr defaultRowHeight="15" x14ac:dyDescent="0.25"/>
  <cols>
    <col min="1" max="1" width="12.42578125" bestFit="1" customWidth="1"/>
    <col min="2" max="2" width="4.5703125" bestFit="1" customWidth="1"/>
    <col min="3" max="3" width="5.5703125" bestFit="1" customWidth="1"/>
    <col min="4" max="4" width="17.85546875" bestFit="1" customWidth="1"/>
  </cols>
  <sheetData>
    <row r="1" spans="1:4" x14ac:dyDescent="0.25">
      <c r="A1" t="s">
        <v>192</v>
      </c>
      <c r="B1" t="s">
        <v>55</v>
      </c>
      <c r="C1" t="s">
        <v>78</v>
      </c>
      <c r="D1" t="s">
        <v>286</v>
      </c>
    </row>
    <row r="2" spans="1:4" ht="16.5" x14ac:dyDescent="0.3">
      <c r="A2" s="34">
        <f>DATE(Instructions!B10-1,7,1)</f>
        <v>44378</v>
      </c>
      <c r="B2">
        <f>COUNTIFS(Table24[Client ID '#],"&lt;&gt;",Table24[Date of Call],"&lt;="&amp;EOMONTH(A2,0),Table24[Date of Call],"&gt;="&amp;A2,Table24[Referred to Treatment?],'G - % Referred to Treatment'!B$1)</f>
        <v>0</v>
      </c>
      <c r="C2">
        <f>COUNTIFS(Table24[Client ID '#],"&lt;&gt;",Table24[Date of Call],"&lt;="&amp;EOMONTH(A2,0),Table24[Date of Call],"&gt;="&amp;A2,Table24[Referred to Treatment?],'G - % Referred to Treatment'!C$1)</f>
        <v>0</v>
      </c>
      <c r="D2" s="55" t="str">
        <f>IFERROR(SUM(B2)/SUM(B2:C2),"")</f>
        <v/>
      </c>
    </row>
    <row r="3" spans="1:4" ht="16.5" x14ac:dyDescent="0.3">
      <c r="A3" s="34">
        <f>DATE(Instructions!B10-1,8,1)</f>
        <v>44409</v>
      </c>
      <c r="B3">
        <f>COUNTIFS(Table24[Client ID '#],"&lt;&gt;",Table24[Date of Call],"&lt;="&amp;EOMONTH(A3,0),Table24[Date of Call],"&gt;="&amp;A3,Table24[Referred to Treatment?],'G - % Referred to Treatment'!B$1)</f>
        <v>0</v>
      </c>
      <c r="C3">
        <f>COUNTIFS(Table24[Client ID '#],"&lt;&gt;",Table24[Date of Call],"&lt;="&amp;EOMONTH(A3,0),Table24[Date of Call],"&gt;="&amp;A3,Table24[Referred to Treatment?],'G - % Referred to Treatment'!C$1)</f>
        <v>0</v>
      </c>
      <c r="D3" s="55" t="str">
        <f t="shared" ref="D3:D14" si="0">IFERROR(SUM(B3)/SUM(B3:C3),"")</f>
        <v/>
      </c>
    </row>
    <row r="4" spans="1:4" ht="16.5" x14ac:dyDescent="0.3">
      <c r="A4" s="34">
        <f>DATE(Instructions!B10-1,9,1)</f>
        <v>44440</v>
      </c>
      <c r="B4">
        <f>COUNTIFS(Table24[Client ID '#],"&lt;&gt;",Table24[Date of Call],"&lt;="&amp;EOMONTH(A4,0),Table24[Date of Call],"&gt;="&amp;A4,Table24[Referred to Treatment?],'G - % Referred to Treatment'!B$1)</f>
        <v>0</v>
      </c>
      <c r="C4">
        <f>COUNTIFS(Table24[Client ID '#],"&lt;&gt;",Table24[Date of Call],"&lt;="&amp;EOMONTH(A4,0),Table24[Date of Call],"&gt;="&amp;A4,Table24[Referred to Treatment?],'G - % Referred to Treatment'!C$1)</f>
        <v>0</v>
      </c>
      <c r="D4" s="55" t="str">
        <f t="shared" si="0"/>
        <v/>
      </c>
    </row>
    <row r="5" spans="1:4" ht="16.5" x14ac:dyDescent="0.3">
      <c r="A5" s="34">
        <f>DATE(Instructions!B10-1,10,1)</f>
        <v>44470</v>
      </c>
      <c r="B5">
        <f>COUNTIFS(Table24[Client ID '#],"&lt;&gt;",Table24[Date of Call],"&lt;="&amp;EOMONTH(A5,0),Table24[Date of Call],"&gt;="&amp;A5,Table24[Referred to Treatment?],'G - % Referred to Treatment'!B$1)</f>
        <v>0</v>
      </c>
      <c r="C5">
        <f>COUNTIFS(Table24[Client ID '#],"&lt;&gt;",Table24[Date of Call],"&lt;="&amp;EOMONTH(A5,0),Table24[Date of Call],"&gt;="&amp;A5,Table24[Referred to Treatment?],'G - % Referred to Treatment'!C$1)</f>
        <v>0</v>
      </c>
      <c r="D5" s="55" t="str">
        <f t="shared" si="0"/>
        <v/>
      </c>
    </row>
    <row r="6" spans="1:4" ht="16.5" x14ac:dyDescent="0.3">
      <c r="A6" s="34">
        <f>DATE(Instructions!B10-1,11,1)</f>
        <v>44501</v>
      </c>
      <c r="B6">
        <f>COUNTIFS(Table24[Client ID '#],"&lt;&gt;",Table24[Date of Call],"&lt;="&amp;EOMONTH(A6,0),Table24[Date of Call],"&gt;="&amp;A6,Table24[Referred to Treatment?],'G - % Referred to Treatment'!B$1)</f>
        <v>0</v>
      </c>
      <c r="C6">
        <f>COUNTIFS(Table24[Client ID '#],"&lt;&gt;",Table24[Date of Call],"&lt;="&amp;EOMONTH(A6,0),Table24[Date of Call],"&gt;="&amp;A6,Table24[Referred to Treatment?],'G - % Referred to Treatment'!C$1)</f>
        <v>0</v>
      </c>
      <c r="D6" s="55" t="str">
        <f t="shared" si="0"/>
        <v/>
      </c>
    </row>
    <row r="7" spans="1:4" ht="16.5" x14ac:dyDescent="0.3">
      <c r="A7" s="34">
        <f>DATE(Instructions!B10-1,12,1)</f>
        <v>44531</v>
      </c>
      <c r="B7">
        <f>COUNTIFS(Table24[Client ID '#],"&lt;&gt;",Table24[Date of Call],"&lt;="&amp;EOMONTH(A7,0),Table24[Date of Call],"&gt;="&amp;A7,Table24[Referred to Treatment?],'G - % Referred to Treatment'!B$1)</f>
        <v>0</v>
      </c>
      <c r="C7">
        <f>COUNTIFS(Table24[Client ID '#],"&lt;&gt;",Table24[Date of Call],"&lt;="&amp;EOMONTH(A7,0),Table24[Date of Call],"&gt;="&amp;A7,Table24[Referred to Treatment?],'G - % Referred to Treatment'!C$1)</f>
        <v>0</v>
      </c>
      <c r="D7" s="55" t="str">
        <f t="shared" si="0"/>
        <v/>
      </c>
    </row>
    <row r="8" spans="1:4" ht="16.5" x14ac:dyDescent="0.3">
      <c r="A8" s="34">
        <f>DATE(Instructions!B10,1,1)</f>
        <v>44562</v>
      </c>
      <c r="B8">
        <f>COUNTIFS(Table24[Client ID '#],"&lt;&gt;",Table24[Date of Call],"&lt;="&amp;EOMONTH(A8,0),Table24[Date of Call],"&gt;="&amp;A8,Table24[Referred to Treatment?],'G - % Referred to Treatment'!B$1)</f>
        <v>0</v>
      </c>
      <c r="C8">
        <f>COUNTIFS(Table24[Client ID '#],"&lt;&gt;",Table24[Date of Call],"&lt;="&amp;EOMONTH(A8,0),Table24[Date of Call],"&gt;="&amp;A8,Table24[Referred to Treatment?],'G - % Referred to Treatment'!C$1)</f>
        <v>0</v>
      </c>
      <c r="D8" s="55" t="str">
        <f t="shared" si="0"/>
        <v/>
      </c>
    </row>
    <row r="9" spans="1:4" ht="16.5" x14ac:dyDescent="0.3">
      <c r="A9" s="34">
        <f>DATE(Instructions!B10,2,1)</f>
        <v>44593</v>
      </c>
      <c r="B9">
        <f>COUNTIFS(Table24[Client ID '#],"&lt;&gt;",Table24[Date of Call],"&lt;="&amp;EOMONTH(A9,0),Table24[Date of Call],"&gt;="&amp;A9,Table24[Referred to Treatment?],'G - % Referred to Treatment'!B$1)</f>
        <v>0</v>
      </c>
      <c r="C9">
        <f>COUNTIFS(Table24[Client ID '#],"&lt;&gt;",Table24[Date of Call],"&lt;="&amp;EOMONTH(A9,0),Table24[Date of Call],"&gt;="&amp;A9,Table24[Referred to Treatment?],'G - % Referred to Treatment'!C$1)</f>
        <v>0</v>
      </c>
      <c r="D9" s="55" t="str">
        <f t="shared" si="0"/>
        <v/>
      </c>
    </row>
    <row r="10" spans="1:4" ht="16.5" x14ac:dyDescent="0.3">
      <c r="A10" s="34">
        <f>DATE(Instructions!B10,3,1)</f>
        <v>44621</v>
      </c>
      <c r="B10">
        <f>COUNTIFS(Table24[Client ID '#],"&lt;&gt;",Table24[Date of Call],"&lt;="&amp;EOMONTH(A10,0),Table24[Date of Call],"&gt;="&amp;A10,Table24[Referred to Treatment?],'G - % Referred to Treatment'!B$1)</f>
        <v>0</v>
      </c>
      <c r="C10">
        <f>COUNTIFS(Table24[Client ID '#],"&lt;&gt;",Table24[Date of Call],"&lt;="&amp;EOMONTH(A10,0),Table24[Date of Call],"&gt;="&amp;A10,Table24[Referred to Treatment?],'G - % Referred to Treatment'!C$1)</f>
        <v>0</v>
      </c>
      <c r="D10" s="55" t="str">
        <f t="shared" si="0"/>
        <v/>
      </c>
    </row>
    <row r="11" spans="1:4" ht="16.5" x14ac:dyDescent="0.3">
      <c r="A11" s="34">
        <f>DATE(Instructions!B10,4,1)</f>
        <v>44652</v>
      </c>
      <c r="B11">
        <f>COUNTIFS(Table24[Client ID '#],"&lt;&gt;",Table24[Date of Call],"&lt;="&amp;EOMONTH(A11,0),Table24[Date of Call],"&gt;="&amp;A11,Table24[Referred to Treatment?],'G - % Referred to Treatment'!B$1)</f>
        <v>0</v>
      </c>
      <c r="C11">
        <f>COUNTIFS(Table24[Client ID '#],"&lt;&gt;",Table24[Date of Call],"&lt;="&amp;EOMONTH(A11,0),Table24[Date of Call],"&gt;="&amp;A11,Table24[Referred to Treatment?],'G - % Referred to Treatment'!C$1)</f>
        <v>0</v>
      </c>
      <c r="D11" s="55" t="str">
        <f t="shared" si="0"/>
        <v/>
      </c>
    </row>
    <row r="12" spans="1:4" ht="16.5" x14ac:dyDescent="0.3">
      <c r="A12" s="34">
        <f>DATE(Instructions!B10,5,1)</f>
        <v>44682</v>
      </c>
      <c r="B12">
        <f>COUNTIFS(Table24[Client ID '#],"&lt;&gt;",Table24[Date of Call],"&lt;="&amp;EOMONTH(A12,0),Table24[Date of Call],"&gt;="&amp;A12,Table24[Referred to Treatment?],'G - % Referred to Treatment'!B$1)</f>
        <v>0</v>
      </c>
      <c r="C12">
        <f>COUNTIFS(Table24[Client ID '#],"&lt;&gt;",Table24[Date of Call],"&lt;="&amp;EOMONTH(A12,0),Table24[Date of Call],"&gt;="&amp;A12,Table24[Referred to Treatment?],'G - % Referred to Treatment'!C$1)</f>
        <v>0</v>
      </c>
      <c r="D12" s="55" t="str">
        <f t="shared" si="0"/>
        <v/>
      </c>
    </row>
    <row r="13" spans="1:4" ht="16.5" x14ac:dyDescent="0.3">
      <c r="A13" s="34">
        <f>DATE(Instructions!B10,6,1)</f>
        <v>44713</v>
      </c>
      <c r="B13">
        <f>COUNTIFS(Table24[Client ID '#],"&lt;&gt;",Table24[Date of Call],"&lt;="&amp;EOMONTH(A13,0),Table24[Date of Call],"&gt;="&amp;A13,Table24[Referred to Treatment?],'G - % Referred to Treatment'!B$1)</f>
        <v>0</v>
      </c>
      <c r="C13">
        <f>COUNTIFS(Table24[Client ID '#],"&lt;&gt;",Table24[Date of Call],"&lt;="&amp;EOMONTH(A13,0),Table24[Date of Call],"&gt;="&amp;A13,Table24[Referred to Treatment?],'G - % Referred to Treatment'!C$1)</f>
        <v>0</v>
      </c>
      <c r="D13" s="55" t="str">
        <f t="shared" si="0"/>
        <v/>
      </c>
    </row>
    <row r="14" spans="1:4" x14ac:dyDescent="0.25">
      <c r="A14" t="s">
        <v>283</v>
      </c>
      <c r="B14">
        <f>SUM(B2:B13)</f>
        <v>0</v>
      </c>
      <c r="C14">
        <f t="shared" ref="C14" si="1">SUM(C2:C13)</f>
        <v>0</v>
      </c>
      <c r="D14" s="55" t="str">
        <f t="shared" si="0"/>
        <v/>
      </c>
    </row>
    <row r="15" spans="1:4" x14ac:dyDescent="0.25">
      <c r="A15" t="s">
        <v>285</v>
      </c>
      <c r="B15" s="55" t="str">
        <f>IFERROR(B14/SUM($B$14:$C$14),"")</f>
        <v/>
      </c>
      <c r="C15" s="55" t="str">
        <f>IFERROR(C14/SUM($B$14:$C$14),"")</f>
        <v/>
      </c>
    </row>
    <row r="20" spans="1:1" x14ac:dyDescent="0.25">
      <c r="A20" s="36" t="s">
        <v>899</v>
      </c>
    </row>
  </sheetData>
  <hyperlinks>
    <hyperlink ref="A20" location="'Field Definitions'!A1" display="Return to Field Definition tab." xr:uid="{B9C07909-7722-4987-8D8D-EA49E604681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A7F11C-F579-4E2A-B66E-177049391F06}">
  <dimension ref="A1:Q1473"/>
  <sheetViews>
    <sheetView zoomScaleNormal="100" workbookViewId="0">
      <selection activeCell="Q1" sqref="Q1"/>
    </sheetView>
  </sheetViews>
  <sheetFormatPr defaultRowHeight="15" x14ac:dyDescent="0.25"/>
  <cols>
    <col min="17" max="17" width="28" bestFit="1" customWidth="1"/>
  </cols>
  <sheetData>
    <row r="1" spans="1:17" x14ac:dyDescent="0.25">
      <c r="A1" t="s">
        <v>309</v>
      </c>
      <c r="B1" t="s">
        <v>887</v>
      </c>
      <c r="C1" t="s">
        <v>281</v>
      </c>
      <c r="Q1" s="36" t="s">
        <v>899</v>
      </c>
    </row>
    <row r="2" spans="1:17" x14ac:dyDescent="0.25">
      <c r="A2">
        <v>32003</v>
      </c>
      <c r="B2" t="s">
        <v>888</v>
      </c>
      <c r="C2">
        <f>COUNTIFS(Table24[Client ID '#],"&lt;&gt;",Table24[Residence Zip Code],'G - ZIP Code'!A2)</f>
        <v>0</v>
      </c>
    </row>
    <row r="3" spans="1:17" x14ac:dyDescent="0.25">
      <c r="A3">
        <v>32004</v>
      </c>
      <c r="B3" t="s">
        <v>888</v>
      </c>
      <c r="C3">
        <f>COUNTIFS(Table24[Client ID '#],"&lt;&gt;",Table24[Residence Zip Code],'G - ZIP Code'!A3)</f>
        <v>0</v>
      </c>
    </row>
    <row r="4" spans="1:17" x14ac:dyDescent="0.25">
      <c r="A4">
        <v>32006</v>
      </c>
      <c r="B4" t="s">
        <v>888</v>
      </c>
      <c r="C4">
        <f>COUNTIFS(Table24[Client ID '#],"&lt;&gt;",Table24[Residence Zip Code],'G - ZIP Code'!A4)</f>
        <v>0</v>
      </c>
    </row>
    <row r="5" spans="1:17" x14ac:dyDescent="0.25">
      <c r="A5">
        <v>32007</v>
      </c>
      <c r="B5" t="s">
        <v>888</v>
      </c>
      <c r="C5">
        <f>COUNTIFS(Table24[Client ID '#],"&lt;&gt;",Table24[Residence Zip Code],'G - ZIP Code'!A5)</f>
        <v>0</v>
      </c>
    </row>
    <row r="6" spans="1:17" x14ac:dyDescent="0.25">
      <c r="A6">
        <v>32008</v>
      </c>
      <c r="B6" t="s">
        <v>888</v>
      </c>
      <c r="C6">
        <f>COUNTIFS(Table24[Client ID '#],"&lt;&gt;",Table24[Residence Zip Code],'G - ZIP Code'!A6)</f>
        <v>0</v>
      </c>
    </row>
    <row r="7" spans="1:17" x14ac:dyDescent="0.25">
      <c r="A7">
        <v>32009</v>
      </c>
      <c r="B7" t="s">
        <v>888</v>
      </c>
      <c r="C7">
        <f>COUNTIFS(Table24[Client ID '#],"&lt;&gt;",Table24[Residence Zip Code],'G - ZIP Code'!A7)</f>
        <v>0</v>
      </c>
    </row>
    <row r="8" spans="1:17" x14ac:dyDescent="0.25">
      <c r="A8">
        <v>32011</v>
      </c>
      <c r="B8" t="s">
        <v>888</v>
      </c>
      <c r="C8">
        <f>COUNTIFS(Table24[Client ID '#],"&lt;&gt;",Table24[Residence Zip Code],'G - ZIP Code'!A8)</f>
        <v>0</v>
      </c>
    </row>
    <row r="9" spans="1:17" x14ac:dyDescent="0.25">
      <c r="A9">
        <v>32013</v>
      </c>
      <c r="B9" t="s">
        <v>888</v>
      </c>
      <c r="C9">
        <f>COUNTIFS(Table24[Client ID '#],"&lt;&gt;",Table24[Residence Zip Code],'G - ZIP Code'!A9)</f>
        <v>0</v>
      </c>
    </row>
    <row r="10" spans="1:17" x14ac:dyDescent="0.25">
      <c r="A10">
        <v>32024</v>
      </c>
      <c r="B10" t="s">
        <v>888</v>
      </c>
      <c r="C10">
        <f>COUNTIFS(Table24[Client ID '#],"&lt;&gt;",Table24[Residence Zip Code],'G - ZIP Code'!A10)</f>
        <v>0</v>
      </c>
    </row>
    <row r="11" spans="1:17" x14ac:dyDescent="0.25">
      <c r="A11">
        <v>32025</v>
      </c>
      <c r="B11" t="s">
        <v>888</v>
      </c>
      <c r="C11">
        <f>COUNTIFS(Table24[Client ID '#],"&lt;&gt;",Table24[Residence Zip Code],'G - ZIP Code'!A11)</f>
        <v>0</v>
      </c>
    </row>
    <row r="12" spans="1:17" x14ac:dyDescent="0.25">
      <c r="A12">
        <v>32026</v>
      </c>
      <c r="B12" t="s">
        <v>888</v>
      </c>
      <c r="C12">
        <f>COUNTIFS(Table24[Client ID '#],"&lt;&gt;",Table24[Residence Zip Code],'G - ZIP Code'!A12)</f>
        <v>0</v>
      </c>
    </row>
    <row r="13" spans="1:17" x14ac:dyDescent="0.25">
      <c r="A13">
        <v>32030</v>
      </c>
      <c r="B13" t="s">
        <v>888</v>
      </c>
      <c r="C13">
        <f>COUNTIFS(Table24[Client ID '#],"&lt;&gt;",Table24[Residence Zip Code],'G - ZIP Code'!A13)</f>
        <v>0</v>
      </c>
    </row>
    <row r="14" spans="1:17" x14ac:dyDescent="0.25">
      <c r="A14">
        <v>32033</v>
      </c>
      <c r="B14" t="s">
        <v>888</v>
      </c>
      <c r="C14">
        <f>COUNTIFS(Table24[Client ID '#],"&lt;&gt;",Table24[Residence Zip Code],'G - ZIP Code'!A14)</f>
        <v>0</v>
      </c>
    </row>
    <row r="15" spans="1:17" x14ac:dyDescent="0.25">
      <c r="A15">
        <v>32034</v>
      </c>
      <c r="B15" t="s">
        <v>888</v>
      </c>
      <c r="C15">
        <f>COUNTIFS(Table24[Client ID '#],"&lt;&gt;",Table24[Residence Zip Code],'G - ZIP Code'!A15)</f>
        <v>0</v>
      </c>
    </row>
    <row r="16" spans="1:17" x14ac:dyDescent="0.25">
      <c r="A16">
        <v>32035</v>
      </c>
      <c r="B16" t="s">
        <v>888</v>
      </c>
      <c r="C16">
        <f>COUNTIFS(Table24[Client ID '#],"&lt;&gt;",Table24[Residence Zip Code],'G - ZIP Code'!A16)</f>
        <v>0</v>
      </c>
    </row>
    <row r="17" spans="1:3" x14ac:dyDescent="0.25">
      <c r="A17">
        <v>32038</v>
      </c>
      <c r="B17" t="s">
        <v>888</v>
      </c>
      <c r="C17">
        <f>COUNTIFS(Table24[Client ID '#],"&lt;&gt;",Table24[Residence Zip Code],'G - ZIP Code'!A17)</f>
        <v>0</v>
      </c>
    </row>
    <row r="18" spans="1:3" x14ac:dyDescent="0.25">
      <c r="A18">
        <v>32040</v>
      </c>
      <c r="B18" t="s">
        <v>888</v>
      </c>
      <c r="C18">
        <f>COUNTIFS(Table24[Client ID '#],"&lt;&gt;",Table24[Residence Zip Code],'G - ZIP Code'!A18)</f>
        <v>0</v>
      </c>
    </row>
    <row r="19" spans="1:3" x14ac:dyDescent="0.25">
      <c r="A19">
        <v>32041</v>
      </c>
      <c r="B19" t="s">
        <v>888</v>
      </c>
      <c r="C19">
        <f>COUNTIFS(Table24[Client ID '#],"&lt;&gt;",Table24[Residence Zip Code],'G - ZIP Code'!A19)</f>
        <v>0</v>
      </c>
    </row>
    <row r="20" spans="1:3" x14ac:dyDescent="0.25">
      <c r="A20">
        <v>32042</v>
      </c>
      <c r="B20" t="s">
        <v>888</v>
      </c>
      <c r="C20">
        <f>COUNTIFS(Table24[Client ID '#],"&lt;&gt;",Table24[Residence Zip Code],'G - ZIP Code'!A20)</f>
        <v>0</v>
      </c>
    </row>
    <row r="21" spans="1:3" x14ac:dyDescent="0.25">
      <c r="A21">
        <v>32043</v>
      </c>
      <c r="B21" t="s">
        <v>888</v>
      </c>
      <c r="C21">
        <f>COUNTIFS(Table24[Client ID '#],"&lt;&gt;",Table24[Residence Zip Code],'G - ZIP Code'!A21)</f>
        <v>0</v>
      </c>
    </row>
    <row r="22" spans="1:3" x14ac:dyDescent="0.25">
      <c r="A22">
        <v>32044</v>
      </c>
      <c r="B22" t="s">
        <v>888</v>
      </c>
      <c r="C22">
        <f>COUNTIFS(Table24[Client ID '#],"&lt;&gt;",Table24[Residence Zip Code],'G - ZIP Code'!A22)</f>
        <v>0</v>
      </c>
    </row>
    <row r="23" spans="1:3" x14ac:dyDescent="0.25">
      <c r="A23">
        <v>32046</v>
      </c>
      <c r="B23" t="s">
        <v>888</v>
      </c>
      <c r="C23">
        <f>COUNTIFS(Table24[Client ID '#],"&lt;&gt;",Table24[Residence Zip Code],'G - ZIP Code'!A23)</f>
        <v>0</v>
      </c>
    </row>
    <row r="24" spans="1:3" x14ac:dyDescent="0.25">
      <c r="A24">
        <v>32050</v>
      </c>
      <c r="B24" t="s">
        <v>888</v>
      </c>
      <c r="C24">
        <f>COUNTIFS(Table24[Client ID '#],"&lt;&gt;",Table24[Residence Zip Code],'G - ZIP Code'!A24)</f>
        <v>0</v>
      </c>
    </row>
    <row r="25" spans="1:3" x14ac:dyDescent="0.25">
      <c r="A25">
        <v>32052</v>
      </c>
      <c r="B25" t="s">
        <v>888</v>
      </c>
      <c r="C25">
        <f>COUNTIFS(Table24[Client ID '#],"&lt;&gt;",Table24[Residence Zip Code],'G - ZIP Code'!A25)</f>
        <v>0</v>
      </c>
    </row>
    <row r="26" spans="1:3" x14ac:dyDescent="0.25">
      <c r="A26">
        <v>32053</v>
      </c>
      <c r="B26" t="s">
        <v>888</v>
      </c>
      <c r="C26">
        <f>COUNTIFS(Table24[Client ID '#],"&lt;&gt;",Table24[Residence Zip Code],'G - ZIP Code'!A26)</f>
        <v>0</v>
      </c>
    </row>
    <row r="27" spans="1:3" x14ac:dyDescent="0.25">
      <c r="A27">
        <v>32054</v>
      </c>
      <c r="B27" t="s">
        <v>888</v>
      </c>
      <c r="C27">
        <f>COUNTIFS(Table24[Client ID '#],"&lt;&gt;",Table24[Residence Zip Code],'G - ZIP Code'!A27)</f>
        <v>0</v>
      </c>
    </row>
    <row r="28" spans="1:3" x14ac:dyDescent="0.25">
      <c r="A28">
        <v>32055</v>
      </c>
      <c r="B28" t="s">
        <v>888</v>
      </c>
      <c r="C28">
        <f>COUNTIFS(Table24[Client ID '#],"&lt;&gt;",Table24[Residence Zip Code],'G - ZIP Code'!A28)</f>
        <v>0</v>
      </c>
    </row>
    <row r="29" spans="1:3" x14ac:dyDescent="0.25">
      <c r="A29">
        <v>32056</v>
      </c>
      <c r="B29" t="s">
        <v>888</v>
      </c>
      <c r="C29">
        <f>COUNTIFS(Table24[Client ID '#],"&lt;&gt;",Table24[Residence Zip Code],'G - ZIP Code'!A29)</f>
        <v>0</v>
      </c>
    </row>
    <row r="30" spans="1:3" x14ac:dyDescent="0.25">
      <c r="A30">
        <v>32058</v>
      </c>
      <c r="B30" t="s">
        <v>888</v>
      </c>
      <c r="C30">
        <f>COUNTIFS(Table24[Client ID '#],"&lt;&gt;",Table24[Residence Zip Code],'G - ZIP Code'!A30)</f>
        <v>0</v>
      </c>
    </row>
    <row r="31" spans="1:3" x14ac:dyDescent="0.25">
      <c r="A31">
        <v>32059</v>
      </c>
      <c r="B31" t="s">
        <v>888</v>
      </c>
      <c r="C31">
        <f>COUNTIFS(Table24[Client ID '#],"&lt;&gt;",Table24[Residence Zip Code],'G - ZIP Code'!A31)</f>
        <v>0</v>
      </c>
    </row>
    <row r="32" spans="1:3" x14ac:dyDescent="0.25">
      <c r="A32">
        <v>32060</v>
      </c>
      <c r="B32" t="s">
        <v>888</v>
      </c>
      <c r="C32">
        <f>COUNTIFS(Table24[Client ID '#],"&lt;&gt;",Table24[Residence Zip Code],'G - ZIP Code'!A32)</f>
        <v>0</v>
      </c>
    </row>
    <row r="33" spans="1:3" x14ac:dyDescent="0.25">
      <c r="A33">
        <v>32061</v>
      </c>
      <c r="B33" t="s">
        <v>888</v>
      </c>
      <c r="C33">
        <f>COUNTIFS(Table24[Client ID '#],"&lt;&gt;",Table24[Residence Zip Code],'G - ZIP Code'!A33)</f>
        <v>0</v>
      </c>
    </row>
    <row r="34" spans="1:3" x14ac:dyDescent="0.25">
      <c r="A34">
        <v>32062</v>
      </c>
      <c r="B34" t="s">
        <v>888</v>
      </c>
      <c r="C34">
        <f>COUNTIFS(Table24[Client ID '#],"&lt;&gt;",Table24[Residence Zip Code],'G - ZIP Code'!A34)</f>
        <v>0</v>
      </c>
    </row>
    <row r="35" spans="1:3" x14ac:dyDescent="0.25">
      <c r="A35">
        <v>32063</v>
      </c>
      <c r="B35" t="s">
        <v>888</v>
      </c>
      <c r="C35">
        <f>COUNTIFS(Table24[Client ID '#],"&lt;&gt;",Table24[Residence Zip Code],'G - ZIP Code'!A35)</f>
        <v>0</v>
      </c>
    </row>
    <row r="36" spans="1:3" x14ac:dyDescent="0.25">
      <c r="A36">
        <v>32064</v>
      </c>
      <c r="B36" t="s">
        <v>888</v>
      </c>
      <c r="C36">
        <f>COUNTIFS(Table24[Client ID '#],"&lt;&gt;",Table24[Residence Zip Code],'G - ZIP Code'!A36)</f>
        <v>0</v>
      </c>
    </row>
    <row r="37" spans="1:3" x14ac:dyDescent="0.25">
      <c r="A37">
        <v>32065</v>
      </c>
      <c r="B37" t="s">
        <v>888</v>
      </c>
      <c r="C37">
        <f>COUNTIFS(Table24[Client ID '#],"&lt;&gt;",Table24[Residence Zip Code],'G - ZIP Code'!A37)</f>
        <v>0</v>
      </c>
    </row>
    <row r="38" spans="1:3" x14ac:dyDescent="0.25">
      <c r="A38">
        <v>32066</v>
      </c>
      <c r="B38" t="s">
        <v>888</v>
      </c>
      <c r="C38">
        <f>COUNTIFS(Table24[Client ID '#],"&lt;&gt;",Table24[Residence Zip Code],'G - ZIP Code'!A38)</f>
        <v>0</v>
      </c>
    </row>
    <row r="39" spans="1:3" x14ac:dyDescent="0.25">
      <c r="A39">
        <v>32067</v>
      </c>
      <c r="B39" t="s">
        <v>888</v>
      </c>
      <c r="C39">
        <f>COUNTIFS(Table24[Client ID '#],"&lt;&gt;",Table24[Residence Zip Code],'G - ZIP Code'!A39)</f>
        <v>0</v>
      </c>
    </row>
    <row r="40" spans="1:3" x14ac:dyDescent="0.25">
      <c r="A40">
        <v>32068</v>
      </c>
      <c r="B40" t="s">
        <v>888</v>
      </c>
      <c r="C40">
        <f>COUNTIFS(Table24[Client ID '#],"&lt;&gt;",Table24[Residence Zip Code],'G - ZIP Code'!A40)</f>
        <v>0</v>
      </c>
    </row>
    <row r="41" spans="1:3" x14ac:dyDescent="0.25">
      <c r="A41">
        <v>32071</v>
      </c>
      <c r="B41" t="s">
        <v>888</v>
      </c>
      <c r="C41">
        <f>COUNTIFS(Table24[Client ID '#],"&lt;&gt;",Table24[Residence Zip Code],'G - ZIP Code'!A41)</f>
        <v>0</v>
      </c>
    </row>
    <row r="42" spans="1:3" x14ac:dyDescent="0.25">
      <c r="A42">
        <v>32072</v>
      </c>
      <c r="B42" t="s">
        <v>888</v>
      </c>
      <c r="C42">
        <f>COUNTIFS(Table24[Client ID '#],"&lt;&gt;",Table24[Residence Zip Code],'G - ZIP Code'!A42)</f>
        <v>0</v>
      </c>
    </row>
    <row r="43" spans="1:3" x14ac:dyDescent="0.25">
      <c r="A43">
        <v>32073</v>
      </c>
      <c r="B43" t="s">
        <v>888</v>
      </c>
      <c r="C43">
        <f>COUNTIFS(Table24[Client ID '#],"&lt;&gt;",Table24[Residence Zip Code],'G - ZIP Code'!A43)</f>
        <v>0</v>
      </c>
    </row>
    <row r="44" spans="1:3" x14ac:dyDescent="0.25">
      <c r="A44">
        <v>32079</v>
      </c>
      <c r="B44" t="s">
        <v>888</v>
      </c>
      <c r="C44">
        <f>COUNTIFS(Table24[Client ID '#],"&lt;&gt;",Table24[Residence Zip Code],'G - ZIP Code'!A44)</f>
        <v>0</v>
      </c>
    </row>
    <row r="45" spans="1:3" x14ac:dyDescent="0.25">
      <c r="A45">
        <v>32080</v>
      </c>
      <c r="B45" t="s">
        <v>888</v>
      </c>
      <c r="C45">
        <f>COUNTIFS(Table24[Client ID '#],"&lt;&gt;",Table24[Residence Zip Code],'G - ZIP Code'!A45)</f>
        <v>0</v>
      </c>
    </row>
    <row r="46" spans="1:3" x14ac:dyDescent="0.25">
      <c r="A46">
        <v>32081</v>
      </c>
      <c r="B46" t="s">
        <v>888</v>
      </c>
      <c r="C46">
        <f>COUNTIFS(Table24[Client ID '#],"&lt;&gt;",Table24[Residence Zip Code],'G - ZIP Code'!A46)</f>
        <v>0</v>
      </c>
    </row>
    <row r="47" spans="1:3" x14ac:dyDescent="0.25">
      <c r="A47">
        <v>32082</v>
      </c>
      <c r="B47" t="s">
        <v>888</v>
      </c>
      <c r="C47">
        <f>COUNTIFS(Table24[Client ID '#],"&lt;&gt;",Table24[Residence Zip Code],'G - ZIP Code'!A47)</f>
        <v>0</v>
      </c>
    </row>
    <row r="48" spans="1:3" x14ac:dyDescent="0.25">
      <c r="A48">
        <v>32083</v>
      </c>
      <c r="B48" t="s">
        <v>888</v>
      </c>
      <c r="C48">
        <f>COUNTIFS(Table24[Client ID '#],"&lt;&gt;",Table24[Residence Zip Code],'G - ZIP Code'!A48)</f>
        <v>0</v>
      </c>
    </row>
    <row r="49" spans="1:3" x14ac:dyDescent="0.25">
      <c r="A49">
        <v>32084</v>
      </c>
      <c r="B49" t="s">
        <v>888</v>
      </c>
      <c r="C49">
        <f>COUNTIFS(Table24[Client ID '#],"&lt;&gt;",Table24[Residence Zip Code],'G - ZIP Code'!A49)</f>
        <v>0</v>
      </c>
    </row>
    <row r="50" spans="1:3" x14ac:dyDescent="0.25">
      <c r="A50">
        <v>32085</v>
      </c>
      <c r="B50" t="s">
        <v>888</v>
      </c>
      <c r="C50">
        <f>COUNTIFS(Table24[Client ID '#],"&lt;&gt;",Table24[Residence Zip Code],'G - ZIP Code'!A50)</f>
        <v>0</v>
      </c>
    </row>
    <row r="51" spans="1:3" x14ac:dyDescent="0.25">
      <c r="A51">
        <v>32086</v>
      </c>
      <c r="B51" t="s">
        <v>888</v>
      </c>
      <c r="C51">
        <f>COUNTIFS(Table24[Client ID '#],"&lt;&gt;",Table24[Residence Zip Code],'G - ZIP Code'!A51)</f>
        <v>0</v>
      </c>
    </row>
    <row r="52" spans="1:3" x14ac:dyDescent="0.25">
      <c r="A52">
        <v>32087</v>
      </c>
      <c r="B52" t="s">
        <v>888</v>
      </c>
      <c r="C52">
        <f>COUNTIFS(Table24[Client ID '#],"&lt;&gt;",Table24[Residence Zip Code],'G - ZIP Code'!A52)</f>
        <v>0</v>
      </c>
    </row>
    <row r="53" spans="1:3" x14ac:dyDescent="0.25">
      <c r="A53">
        <v>32091</v>
      </c>
      <c r="B53" t="s">
        <v>888</v>
      </c>
      <c r="C53">
        <f>COUNTIFS(Table24[Client ID '#],"&lt;&gt;",Table24[Residence Zip Code],'G - ZIP Code'!A53)</f>
        <v>0</v>
      </c>
    </row>
    <row r="54" spans="1:3" x14ac:dyDescent="0.25">
      <c r="A54">
        <v>32092</v>
      </c>
      <c r="B54" t="s">
        <v>888</v>
      </c>
      <c r="C54">
        <f>COUNTIFS(Table24[Client ID '#],"&lt;&gt;",Table24[Residence Zip Code],'G - ZIP Code'!A54)</f>
        <v>0</v>
      </c>
    </row>
    <row r="55" spans="1:3" x14ac:dyDescent="0.25">
      <c r="A55">
        <v>32094</v>
      </c>
      <c r="B55" t="s">
        <v>888</v>
      </c>
      <c r="C55">
        <f>COUNTIFS(Table24[Client ID '#],"&lt;&gt;",Table24[Residence Zip Code],'G - ZIP Code'!A55)</f>
        <v>0</v>
      </c>
    </row>
    <row r="56" spans="1:3" x14ac:dyDescent="0.25">
      <c r="A56">
        <v>32095</v>
      </c>
      <c r="B56" t="s">
        <v>888</v>
      </c>
      <c r="C56">
        <f>COUNTIFS(Table24[Client ID '#],"&lt;&gt;",Table24[Residence Zip Code],'G - ZIP Code'!A56)</f>
        <v>0</v>
      </c>
    </row>
    <row r="57" spans="1:3" x14ac:dyDescent="0.25">
      <c r="A57">
        <v>32096</v>
      </c>
      <c r="B57" t="s">
        <v>888</v>
      </c>
      <c r="C57">
        <f>COUNTIFS(Table24[Client ID '#],"&lt;&gt;",Table24[Residence Zip Code],'G - ZIP Code'!A57)</f>
        <v>0</v>
      </c>
    </row>
    <row r="58" spans="1:3" x14ac:dyDescent="0.25">
      <c r="A58">
        <v>32097</v>
      </c>
      <c r="B58" t="s">
        <v>888</v>
      </c>
      <c r="C58">
        <f>COUNTIFS(Table24[Client ID '#],"&lt;&gt;",Table24[Residence Zip Code],'G - ZIP Code'!A58)</f>
        <v>0</v>
      </c>
    </row>
    <row r="59" spans="1:3" x14ac:dyDescent="0.25">
      <c r="A59">
        <v>32099</v>
      </c>
      <c r="B59" t="s">
        <v>888</v>
      </c>
      <c r="C59">
        <f>COUNTIFS(Table24[Client ID '#],"&lt;&gt;",Table24[Residence Zip Code],'G - ZIP Code'!A59)</f>
        <v>0</v>
      </c>
    </row>
    <row r="60" spans="1:3" x14ac:dyDescent="0.25">
      <c r="A60">
        <v>32102</v>
      </c>
      <c r="B60" t="s">
        <v>888</v>
      </c>
      <c r="C60">
        <f>COUNTIFS(Table24[Client ID '#],"&lt;&gt;",Table24[Residence Zip Code],'G - ZIP Code'!A60)</f>
        <v>0</v>
      </c>
    </row>
    <row r="61" spans="1:3" x14ac:dyDescent="0.25">
      <c r="A61">
        <v>32105</v>
      </c>
      <c r="B61" t="s">
        <v>888</v>
      </c>
      <c r="C61">
        <f>COUNTIFS(Table24[Client ID '#],"&lt;&gt;",Table24[Residence Zip Code],'G - ZIP Code'!A61)</f>
        <v>0</v>
      </c>
    </row>
    <row r="62" spans="1:3" x14ac:dyDescent="0.25">
      <c r="A62">
        <v>32110</v>
      </c>
      <c r="B62" t="s">
        <v>888</v>
      </c>
      <c r="C62">
        <f>COUNTIFS(Table24[Client ID '#],"&lt;&gt;",Table24[Residence Zip Code],'G - ZIP Code'!A62)</f>
        <v>0</v>
      </c>
    </row>
    <row r="63" spans="1:3" x14ac:dyDescent="0.25">
      <c r="A63">
        <v>32111</v>
      </c>
      <c r="B63" t="s">
        <v>888</v>
      </c>
      <c r="C63">
        <f>COUNTIFS(Table24[Client ID '#],"&lt;&gt;",Table24[Residence Zip Code],'G - ZIP Code'!A63)</f>
        <v>0</v>
      </c>
    </row>
    <row r="64" spans="1:3" x14ac:dyDescent="0.25">
      <c r="A64">
        <v>32112</v>
      </c>
      <c r="B64" t="s">
        <v>888</v>
      </c>
      <c r="C64">
        <f>COUNTIFS(Table24[Client ID '#],"&lt;&gt;",Table24[Residence Zip Code],'G - ZIP Code'!A64)</f>
        <v>0</v>
      </c>
    </row>
    <row r="65" spans="1:3" x14ac:dyDescent="0.25">
      <c r="A65">
        <v>32113</v>
      </c>
      <c r="B65" t="s">
        <v>888</v>
      </c>
      <c r="C65">
        <f>COUNTIFS(Table24[Client ID '#],"&lt;&gt;",Table24[Residence Zip Code],'G - ZIP Code'!A65)</f>
        <v>0</v>
      </c>
    </row>
    <row r="66" spans="1:3" x14ac:dyDescent="0.25">
      <c r="A66">
        <v>32114</v>
      </c>
      <c r="B66" t="s">
        <v>888</v>
      </c>
      <c r="C66">
        <f>COUNTIFS(Table24[Client ID '#],"&lt;&gt;",Table24[Residence Zip Code],'G - ZIP Code'!A66)</f>
        <v>0</v>
      </c>
    </row>
    <row r="67" spans="1:3" x14ac:dyDescent="0.25">
      <c r="A67">
        <v>32115</v>
      </c>
      <c r="B67" t="s">
        <v>888</v>
      </c>
      <c r="C67">
        <f>COUNTIFS(Table24[Client ID '#],"&lt;&gt;",Table24[Residence Zip Code],'G - ZIP Code'!A67)</f>
        <v>0</v>
      </c>
    </row>
    <row r="68" spans="1:3" x14ac:dyDescent="0.25">
      <c r="A68">
        <v>32116</v>
      </c>
      <c r="B68" t="s">
        <v>888</v>
      </c>
      <c r="C68">
        <f>COUNTIFS(Table24[Client ID '#],"&lt;&gt;",Table24[Residence Zip Code],'G - ZIP Code'!A68)</f>
        <v>0</v>
      </c>
    </row>
    <row r="69" spans="1:3" x14ac:dyDescent="0.25">
      <c r="A69">
        <v>32117</v>
      </c>
      <c r="B69" t="s">
        <v>888</v>
      </c>
      <c r="C69">
        <f>COUNTIFS(Table24[Client ID '#],"&lt;&gt;",Table24[Residence Zip Code],'G - ZIP Code'!A69)</f>
        <v>0</v>
      </c>
    </row>
    <row r="70" spans="1:3" x14ac:dyDescent="0.25">
      <c r="A70">
        <v>32118</v>
      </c>
      <c r="B70" t="s">
        <v>888</v>
      </c>
      <c r="C70">
        <f>COUNTIFS(Table24[Client ID '#],"&lt;&gt;",Table24[Residence Zip Code],'G - ZIP Code'!A70)</f>
        <v>0</v>
      </c>
    </row>
    <row r="71" spans="1:3" x14ac:dyDescent="0.25">
      <c r="A71">
        <v>32119</v>
      </c>
      <c r="B71" t="s">
        <v>888</v>
      </c>
      <c r="C71">
        <f>COUNTIFS(Table24[Client ID '#],"&lt;&gt;",Table24[Residence Zip Code],'G - ZIP Code'!A71)</f>
        <v>0</v>
      </c>
    </row>
    <row r="72" spans="1:3" x14ac:dyDescent="0.25">
      <c r="A72">
        <v>32120</v>
      </c>
      <c r="B72" t="s">
        <v>888</v>
      </c>
      <c r="C72">
        <f>COUNTIFS(Table24[Client ID '#],"&lt;&gt;",Table24[Residence Zip Code],'G - ZIP Code'!A72)</f>
        <v>0</v>
      </c>
    </row>
    <row r="73" spans="1:3" x14ac:dyDescent="0.25">
      <c r="A73">
        <v>32121</v>
      </c>
      <c r="B73" t="s">
        <v>888</v>
      </c>
      <c r="C73">
        <f>COUNTIFS(Table24[Client ID '#],"&lt;&gt;",Table24[Residence Zip Code],'G - ZIP Code'!A73)</f>
        <v>0</v>
      </c>
    </row>
    <row r="74" spans="1:3" x14ac:dyDescent="0.25">
      <c r="A74">
        <v>32122</v>
      </c>
      <c r="B74" t="s">
        <v>888</v>
      </c>
      <c r="C74">
        <f>COUNTIFS(Table24[Client ID '#],"&lt;&gt;",Table24[Residence Zip Code],'G - ZIP Code'!A74)</f>
        <v>0</v>
      </c>
    </row>
    <row r="75" spans="1:3" x14ac:dyDescent="0.25">
      <c r="A75">
        <v>32123</v>
      </c>
      <c r="B75" t="s">
        <v>888</v>
      </c>
      <c r="C75">
        <f>COUNTIFS(Table24[Client ID '#],"&lt;&gt;",Table24[Residence Zip Code],'G - ZIP Code'!A75)</f>
        <v>0</v>
      </c>
    </row>
    <row r="76" spans="1:3" x14ac:dyDescent="0.25">
      <c r="A76">
        <v>32124</v>
      </c>
      <c r="B76" t="s">
        <v>888</v>
      </c>
      <c r="C76">
        <f>COUNTIFS(Table24[Client ID '#],"&lt;&gt;",Table24[Residence Zip Code],'G - ZIP Code'!A76)</f>
        <v>0</v>
      </c>
    </row>
    <row r="77" spans="1:3" x14ac:dyDescent="0.25">
      <c r="A77">
        <v>32125</v>
      </c>
      <c r="B77" t="s">
        <v>888</v>
      </c>
      <c r="C77">
        <f>COUNTIFS(Table24[Client ID '#],"&lt;&gt;",Table24[Residence Zip Code],'G - ZIP Code'!A77)</f>
        <v>0</v>
      </c>
    </row>
    <row r="78" spans="1:3" x14ac:dyDescent="0.25">
      <c r="A78">
        <v>32126</v>
      </c>
      <c r="B78" t="s">
        <v>888</v>
      </c>
      <c r="C78">
        <f>COUNTIFS(Table24[Client ID '#],"&lt;&gt;",Table24[Residence Zip Code],'G - ZIP Code'!A78)</f>
        <v>0</v>
      </c>
    </row>
    <row r="79" spans="1:3" x14ac:dyDescent="0.25">
      <c r="A79">
        <v>32127</v>
      </c>
      <c r="B79" t="s">
        <v>888</v>
      </c>
      <c r="C79">
        <f>COUNTIFS(Table24[Client ID '#],"&lt;&gt;",Table24[Residence Zip Code],'G - ZIP Code'!A79)</f>
        <v>0</v>
      </c>
    </row>
    <row r="80" spans="1:3" x14ac:dyDescent="0.25">
      <c r="A80">
        <v>32128</v>
      </c>
      <c r="B80" t="s">
        <v>888</v>
      </c>
      <c r="C80">
        <f>COUNTIFS(Table24[Client ID '#],"&lt;&gt;",Table24[Residence Zip Code],'G - ZIP Code'!A80)</f>
        <v>0</v>
      </c>
    </row>
    <row r="81" spans="1:3" x14ac:dyDescent="0.25">
      <c r="A81">
        <v>32129</v>
      </c>
      <c r="B81" t="s">
        <v>888</v>
      </c>
      <c r="C81">
        <f>COUNTIFS(Table24[Client ID '#],"&lt;&gt;",Table24[Residence Zip Code],'G - ZIP Code'!A81)</f>
        <v>0</v>
      </c>
    </row>
    <row r="82" spans="1:3" x14ac:dyDescent="0.25">
      <c r="A82">
        <v>32130</v>
      </c>
      <c r="B82" t="s">
        <v>888</v>
      </c>
      <c r="C82">
        <f>COUNTIFS(Table24[Client ID '#],"&lt;&gt;",Table24[Residence Zip Code],'G - ZIP Code'!A82)</f>
        <v>0</v>
      </c>
    </row>
    <row r="83" spans="1:3" x14ac:dyDescent="0.25">
      <c r="A83">
        <v>32131</v>
      </c>
      <c r="B83" t="s">
        <v>888</v>
      </c>
      <c r="C83">
        <f>COUNTIFS(Table24[Client ID '#],"&lt;&gt;",Table24[Residence Zip Code],'G - ZIP Code'!A83)</f>
        <v>0</v>
      </c>
    </row>
    <row r="84" spans="1:3" x14ac:dyDescent="0.25">
      <c r="A84">
        <v>32132</v>
      </c>
      <c r="B84" t="s">
        <v>888</v>
      </c>
      <c r="C84">
        <f>COUNTIFS(Table24[Client ID '#],"&lt;&gt;",Table24[Residence Zip Code],'G - ZIP Code'!A84)</f>
        <v>0</v>
      </c>
    </row>
    <row r="85" spans="1:3" x14ac:dyDescent="0.25">
      <c r="A85">
        <v>32133</v>
      </c>
      <c r="B85" t="s">
        <v>888</v>
      </c>
      <c r="C85">
        <f>COUNTIFS(Table24[Client ID '#],"&lt;&gt;",Table24[Residence Zip Code],'G - ZIP Code'!A85)</f>
        <v>0</v>
      </c>
    </row>
    <row r="86" spans="1:3" x14ac:dyDescent="0.25">
      <c r="A86">
        <v>32134</v>
      </c>
      <c r="B86" t="s">
        <v>888</v>
      </c>
      <c r="C86">
        <f>COUNTIFS(Table24[Client ID '#],"&lt;&gt;",Table24[Residence Zip Code],'G - ZIP Code'!A86)</f>
        <v>0</v>
      </c>
    </row>
    <row r="87" spans="1:3" x14ac:dyDescent="0.25">
      <c r="A87">
        <v>32135</v>
      </c>
      <c r="B87" t="s">
        <v>888</v>
      </c>
      <c r="C87">
        <f>COUNTIFS(Table24[Client ID '#],"&lt;&gt;",Table24[Residence Zip Code],'G - ZIP Code'!A87)</f>
        <v>0</v>
      </c>
    </row>
    <row r="88" spans="1:3" x14ac:dyDescent="0.25">
      <c r="A88">
        <v>32136</v>
      </c>
      <c r="B88" t="s">
        <v>888</v>
      </c>
      <c r="C88">
        <f>COUNTIFS(Table24[Client ID '#],"&lt;&gt;",Table24[Residence Zip Code],'G - ZIP Code'!A88)</f>
        <v>0</v>
      </c>
    </row>
    <row r="89" spans="1:3" x14ac:dyDescent="0.25">
      <c r="A89">
        <v>32137</v>
      </c>
      <c r="B89" t="s">
        <v>888</v>
      </c>
      <c r="C89">
        <f>COUNTIFS(Table24[Client ID '#],"&lt;&gt;",Table24[Residence Zip Code],'G - ZIP Code'!A89)</f>
        <v>0</v>
      </c>
    </row>
    <row r="90" spans="1:3" x14ac:dyDescent="0.25">
      <c r="A90">
        <v>32138</v>
      </c>
      <c r="B90" t="s">
        <v>888</v>
      </c>
      <c r="C90">
        <f>COUNTIFS(Table24[Client ID '#],"&lt;&gt;",Table24[Residence Zip Code],'G - ZIP Code'!A90)</f>
        <v>0</v>
      </c>
    </row>
    <row r="91" spans="1:3" x14ac:dyDescent="0.25">
      <c r="A91">
        <v>32139</v>
      </c>
      <c r="B91" t="s">
        <v>888</v>
      </c>
      <c r="C91">
        <f>COUNTIFS(Table24[Client ID '#],"&lt;&gt;",Table24[Residence Zip Code],'G - ZIP Code'!A91)</f>
        <v>0</v>
      </c>
    </row>
    <row r="92" spans="1:3" x14ac:dyDescent="0.25">
      <c r="A92">
        <v>32140</v>
      </c>
      <c r="B92" t="s">
        <v>888</v>
      </c>
      <c r="C92">
        <f>COUNTIFS(Table24[Client ID '#],"&lt;&gt;",Table24[Residence Zip Code],'G - ZIP Code'!A92)</f>
        <v>0</v>
      </c>
    </row>
    <row r="93" spans="1:3" x14ac:dyDescent="0.25">
      <c r="A93">
        <v>32141</v>
      </c>
      <c r="B93" t="s">
        <v>888</v>
      </c>
      <c r="C93">
        <f>COUNTIFS(Table24[Client ID '#],"&lt;&gt;",Table24[Residence Zip Code],'G - ZIP Code'!A93)</f>
        <v>0</v>
      </c>
    </row>
    <row r="94" spans="1:3" x14ac:dyDescent="0.25">
      <c r="A94">
        <v>32142</v>
      </c>
      <c r="B94" t="s">
        <v>888</v>
      </c>
      <c r="C94">
        <f>COUNTIFS(Table24[Client ID '#],"&lt;&gt;",Table24[Residence Zip Code],'G - ZIP Code'!A94)</f>
        <v>0</v>
      </c>
    </row>
    <row r="95" spans="1:3" x14ac:dyDescent="0.25">
      <c r="A95">
        <v>32145</v>
      </c>
      <c r="B95" t="s">
        <v>888</v>
      </c>
      <c r="C95">
        <f>COUNTIFS(Table24[Client ID '#],"&lt;&gt;",Table24[Residence Zip Code],'G - ZIP Code'!A95)</f>
        <v>0</v>
      </c>
    </row>
    <row r="96" spans="1:3" x14ac:dyDescent="0.25">
      <c r="A96">
        <v>32147</v>
      </c>
      <c r="B96" t="s">
        <v>888</v>
      </c>
      <c r="C96">
        <f>COUNTIFS(Table24[Client ID '#],"&lt;&gt;",Table24[Residence Zip Code],'G - ZIP Code'!A96)</f>
        <v>0</v>
      </c>
    </row>
    <row r="97" spans="1:3" x14ac:dyDescent="0.25">
      <c r="A97">
        <v>32148</v>
      </c>
      <c r="B97" t="s">
        <v>888</v>
      </c>
      <c r="C97">
        <f>COUNTIFS(Table24[Client ID '#],"&lt;&gt;",Table24[Residence Zip Code],'G - ZIP Code'!A97)</f>
        <v>0</v>
      </c>
    </row>
    <row r="98" spans="1:3" x14ac:dyDescent="0.25">
      <c r="A98">
        <v>32149</v>
      </c>
      <c r="B98" t="s">
        <v>888</v>
      </c>
      <c r="C98">
        <f>COUNTIFS(Table24[Client ID '#],"&lt;&gt;",Table24[Residence Zip Code],'G - ZIP Code'!A98)</f>
        <v>0</v>
      </c>
    </row>
    <row r="99" spans="1:3" x14ac:dyDescent="0.25">
      <c r="A99">
        <v>32157</v>
      </c>
      <c r="B99" t="s">
        <v>888</v>
      </c>
      <c r="C99">
        <f>COUNTIFS(Table24[Client ID '#],"&lt;&gt;",Table24[Residence Zip Code],'G - ZIP Code'!A99)</f>
        <v>0</v>
      </c>
    </row>
    <row r="100" spans="1:3" x14ac:dyDescent="0.25">
      <c r="A100">
        <v>32158</v>
      </c>
      <c r="B100" t="s">
        <v>888</v>
      </c>
      <c r="C100">
        <f>COUNTIFS(Table24[Client ID '#],"&lt;&gt;",Table24[Residence Zip Code],'G - ZIP Code'!A100)</f>
        <v>0</v>
      </c>
    </row>
    <row r="101" spans="1:3" x14ac:dyDescent="0.25">
      <c r="A101">
        <v>32159</v>
      </c>
      <c r="B101" t="s">
        <v>888</v>
      </c>
      <c r="C101">
        <f>COUNTIFS(Table24[Client ID '#],"&lt;&gt;",Table24[Residence Zip Code],'G - ZIP Code'!A101)</f>
        <v>0</v>
      </c>
    </row>
    <row r="102" spans="1:3" x14ac:dyDescent="0.25">
      <c r="A102">
        <v>32160</v>
      </c>
      <c r="B102" t="s">
        <v>888</v>
      </c>
      <c r="C102">
        <f>COUNTIFS(Table24[Client ID '#],"&lt;&gt;",Table24[Residence Zip Code],'G - ZIP Code'!A102)</f>
        <v>0</v>
      </c>
    </row>
    <row r="103" spans="1:3" x14ac:dyDescent="0.25">
      <c r="A103">
        <v>32162</v>
      </c>
      <c r="B103" t="s">
        <v>888</v>
      </c>
      <c r="C103">
        <f>COUNTIFS(Table24[Client ID '#],"&lt;&gt;",Table24[Residence Zip Code],'G - ZIP Code'!A103)</f>
        <v>0</v>
      </c>
    </row>
    <row r="104" spans="1:3" x14ac:dyDescent="0.25">
      <c r="A104">
        <v>32164</v>
      </c>
      <c r="B104" t="s">
        <v>888</v>
      </c>
      <c r="C104">
        <f>COUNTIFS(Table24[Client ID '#],"&lt;&gt;",Table24[Residence Zip Code],'G - ZIP Code'!A104)</f>
        <v>0</v>
      </c>
    </row>
    <row r="105" spans="1:3" x14ac:dyDescent="0.25">
      <c r="A105">
        <v>32168</v>
      </c>
      <c r="B105" t="s">
        <v>888</v>
      </c>
      <c r="C105">
        <f>COUNTIFS(Table24[Client ID '#],"&lt;&gt;",Table24[Residence Zip Code],'G - ZIP Code'!A105)</f>
        <v>0</v>
      </c>
    </row>
    <row r="106" spans="1:3" x14ac:dyDescent="0.25">
      <c r="A106">
        <v>32169</v>
      </c>
      <c r="B106" t="s">
        <v>888</v>
      </c>
      <c r="C106">
        <f>COUNTIFS(Table24[Client ID '#],"&lt;&gt;",Table24[Residence Zip Code],'G - ZIP Code'!A106)</f>
        <v>0</v>
      </c>
    </row>
    <row r="107" spans="1:3" x14ac:dyDescent="0.25">
      <c r="A107">
        <v>32170</v>
      </c>
      <c r="B107" t="s">
        <v>888</v>
      </c>
      <c r="C107">
        <f>COUNTIFS(Table24[Client ID '#],"&lt;&gt;",Table24[Residence Zip Code],'G - ZIP Code'!A107)</f>
        <v>0</v>
      </c>
    </row>
    <row r="108" spans="1:3" x14ac:dyDescent="0.25">
      <c r="A108">
        <v>32173</v>
      </c>
      <c r="B108" t="s">
        <v>888</v>
      </c>
      <c r="C108">
        <f>COUNTIFS(Table24[Client ID '#],"&lt;&gt;",Table24[Residence Zip Code],'G - ZIP Code'!A108)</f>
        <v>0</v>
      </c>
    </row>
    <row r="109" spans="1:3" x14ac:dyDescent="0.25">
      <c r="A109">
        <v>32174</v>
      </c>
      <c r="B109" t="s">
        <v>888</v>
      </c>
      <c r="C109">
        <f>COUNTIFS(Table24[Client ID '#],"&lt;&gt;",Table24[Residence Zip Code],'G - ZIP Code'!A109)</f>
        <v>0</v>
      </c>
    </row>
    <row r="110" spans="1:3" x14ac:dyDescent="0.25">
      <c r="A110">
        <v>32175</v>
      </c>
      <c r="B110" t="s">
        <v>888</v>
      </c>
      <c r="C110">
        <f>COUNTIFS(Table24[Client ID '#],"&lt;&gt;",Table24[Residence Zip Code],'G - ZIP Code'!A110)</f>
        <v>0</v>
      </c>
    </row>
    <row r="111" spans="1:3" x14ac:dyDescent="0.25">
      <c r="A111">
        <v>32176</v>
      </c>
      <c r="B111" t="s">
        <v>888</v>
      </c>
      <c r="C111">
        <f>COUNTIFS(Table24[Client ID '#],"&lt;&gt;",Table24[Residence Zip Code],'G - ZIP Code'!A111)</f>
        <v>0</v>
      </c>
    </row>
    <row r="112" spans="1:3" x14ac:dyDescent="0.25">
      <c r="A112">
        <v>32177</v>
      </c>
      <c r="B112" t="s">
        <v>888</v>
      </c>
      <c r="C112">
        <f>COUNTIFS(Table24[Client ID '#],"&lt;&gt;",Table24[Residence Zip Code],'G - ZIP Code'!A112)</f>
        <v>0</v>
      </c>
    </row>
    <row r="113" spans="1:3" x14ac:dyDescent="0.25">
      <c r="A113">
        <v>32178</v>
      </c>
      <c r="B113" t="s">
        <v>888</v>
      </c>
      <c r="C113">
        <f>COUNTIFS(Table24[Client ID '#],"&lt;&gt;",Table24[Residence Zip Code],'G - ZIP Code'!A113)</f>
        <v>0</v>
      </c>
    </row>
    <row r="114" spans="1:3" x14ac:dyDescent="0.25">
      <c r="A114">
        <v>32179</v>
      </c>
      <c r="B114" t="s">
        <v>888</v>
      </c>
      <c r="C114">
        <f>COUNTIFS(Table24[Client ID '#],"&lt;&gt;",Table24[Residence Zip Code],'G - ZIP Code'!A114)</f>
        <v>0</v>
      </c>
    </row>
    <row r="115" spans="1:3" x14ac:dyDescent="0.25">
      <c r="A115">
        <v>32180</v>
      </c>
      <c r="B115" t="s">
        <v>888</v>
      </c>
      <c r="C115">
        <f>COUNTIFS(Table24[Client ID '#],"&lt;&gt;",Table24[Residence Zip Code],'G - ZIP Code'!A115)</f>
        <v>0</v>
      </c>
    </row>
    <row r="116" spans="1:3" x14ac:dyDescent="0.25">
      <c r="A116">
        <v>32181</v>
      </c>
      <c r="B116" t="s">
        <v>888</v>
      </c>
      <c r="C116">
        <f>COUNTIFS(Table24[Client ID '#],"&lt;&gt;",Table24[Residence Zip Code],'G - ZIP Code'!A116)</f>
        <v>0</v>
      </c>
    </row>
    <row r="117" spans="1:3" x14ac:dyDescent="0.25">
      <c r="A117">
        <v>32182</v>
      </c>
      <c r="B117" t="s">
        <v>888</v>
      </c>
      <c r="C117">
        <f>COUNTIFS(Table24[Client ID '#],"&lt;&gt;",Table24[Residence Zip Code],'G - ZIP Code'!A117)</f>
        <v>0</v>
      </c>
    </row>
    <row r="118" spans="1:3" x14ac:dyDescent="0.25">
      <c r="A118">
        <v>32183</v>
      </c>
      <c r="B118" t="s">
        <v>888</v>
      </c>
      <c r="C118">
        <f>COUNTIFS(Table24[Client ID '#],"&lt;&gt;",Table24[Residence Zip Code],'G - ZIP Code'!A118)</f>
        <v>0</v>
      </c>
    </row>
    <row r="119" spans="1:3" x14ac:dyDescent="0.25">
      <c r="A119">
        <v>32185</v>
      </c>
      <c r="B119" t="s">
        <v>888</v>
      </c>
      <c r="C119">
        <f>COUNTIFS(Table24[Client ID '#],"&lt;&gt;",Table24[Residence Zip Code],'G - ZIP Code'!A119)</f>
        <v>0</v>
      </c>
    </row>
    <row r="120" spans="1:3" x14ac:dyDescent="0.25">
      <c r="A120">
        <v>32187</v>
      </c>
      <c r="B120" t="s">
        <v>888</v>
      </c>
      <c r="C120">
        <f>COUNTIFS(Table24[Client ID '#],"&lt;&gt;",Table24[Residence Zip Code],'G - ZIP Code'!A120)</f>
        <v>0</v>
      </c>
    </row>
    <row r="121" spans="1:3" x14ac:dyDescent="0.25">
      <c r="A121">
        <v>32189</v>
      </c>
      <c r="B121" t="s">
        <v>888</v>
      </c>
      <c r="C121">
        <f>COUNTIFS(Table24[Client ID '#],"&lt;&gt;",Table24[Residence Zip Code],'G - ZIP Code'!A121)</f>
        <v>0</v>
      </c>
    </row>
    <row r="122" spans="1:3" x14ac:dyDescent="0.25">
      <c r="A122">
        <v>32190</v>
      </c>
      <c r="B122" t="s">
        <v>888</v>
      </c>
      <c r="C122">
        <f>COUNTIFS(Table24[Client ID '#],"&lt;&gt;",Table24[Residence Zip Code],'G - ZIP Code'!A122)</f>
        <v>0</v>
      </c>
    </row>
    <row r="123" spans="1:3" x14ac:dyDescent="0.25">
      <c r="A123">
        <v>32192</v>
      </c>
      <c r="B123" t="s">
        <v>888</v>
      </c>
      <c r="C123">
        <f>COUNTIFS(Table24[Client ID '#],"&lt;&gt;",Table24[Residence Zip Code],'G - ZIP Code'!A123)</f>
        <v>0</v>
      </c>
    </row>
    <row r="124" spans="1:3" x14ac:dyDescent="0.25">
      <c r="A124">
        <v>32193</v>
      </c>
      <c r="B124" t="s">
        <v>888</v>
      </c>
      <c r="C124">
        <f>COUNTIFS(Table24[Client ID '#],"&lt;&gt;",Table24[Residence Zip Code],'G - ZIP Code'!A124)</f>
        <v>0</v>
      </c>
    </row>
    <row r="125" spans="1:3" x14ac:dyDescent="0.25">
      <c r="A125">
        <v>32195</v>
      </c>
      <c r="B125" t="s">
        <v>888</v>
      </c>
      <c r="C125">
        <f>COUNTIFS(Table24[Client ID '#],"&lt;&gt;",Table24[Residence Zip Code],'G - ZIP Code'!A125)</f>
        <v>0</v>
      </c>
    </row>
    <row r="126" spans="1:3" x14ac:dyDescent="0.25">
      <c r="A126">
        <v>32198</v>
      </c>
      <c r="B126" t="s">
        <v>888</v>
      </c>
      <c r="C126">
        <f>COUNTIFS(Table24[Client ID '#],"&lt;&gt;",Table24[Residence Zip Code],'G - ZIP Code'!A126)</f>
        <v>0</v>
      </c>
    </row>
    <row r="127" spans="1:3" x14ac:dyDescent="0.25">
      <c r="A127">
        <v>32201</v>
      </c>
      <c r="B127" t="s">
        <v>888</v>
      </c>
      <c r="C127">
        <f>COUNTIFS(Table24[Client ID '#],"&lt;&gt;",Table24[Residence Zip Code],'G - ZIP Code'!A127)</f>
        <v>0</v>
      </c>
    </row>
    <row r="128" spans="1:3" x14ac:dyDescent="0.25">
      <c r="A128">
        <v>32202</v>
      </c>
      <c r="B128" t="s">
        <v>888</v>
      </c>
      <c r="C128">
        <f>COUNTIFS(Table24[Client ID '#],"&lt;&gt;",Table24[Residence Zip Code],'G - ZIP Code'!A128)</f>
        <v>0</v>
      </c>
    </row>
    <row r="129" spans="1:3" x14ac:dyDescent="0.25">
      <c r="A129">
        <v>32203</v>
      </c>
      <c r="B129" t="s">
        <v>888</v>
      </c>
      <c r="C129">
        <f>COUNTIFS(Table24[Client ID '#],"&lt;&gt;",Table24[Residence Zip Code],'G - ZIP Code'!A129)</f>
        <v>0</v>
      </c>
    </row>
    <row r="130" spans="1:3" x14ac:dyDescent="0.25">
      <c r="A130">
        <v>32204</v>
      </c>
      <c r="B130" t="s">
        <v>888</v>
      </c>
      <c r="C130">
        <f>COUNTIFS(Table24[Client ID '#],"&lt;&gt;",Table24[Residence Zip Code],'G - ZIP Code'!A130)</f>
        <v>0</v>
      </c>
    </row>
    <row r="131" spans="1:3" x14ac:dyDescent="0.25">
      <c r="A131">
        <v>32205</v>
      </c>
      <c r="B131" t="s">
        <v>888</v>
      </c>
      <c r="C131">
        <f>COUNTIFS(Table24[Client ID '#],"&lt;&gt;",Table24[Residence Zip Code],'G - ZIP Code'!A131)</f>
        <v>0</v>
      </c>
    </row>
    <row r="132" spans="1:3" x14ac:dyDescent="0.25">
      <c r="A132">
        <v>32206</v>
      </c>
      <c r="B132" t="s">
        <v>888</v>
      </c>
      <c r="C132">
        <f>COUNTIFS(Table24[Client ID '#],"&lt;&gt;",Table24[Residence Zip Code],'G - ZIP Code'!A132)</f>
        <v>0</v>
      </c>
    </row>
    <row r="133" spans="1:3" x14ac:dyDescent="0.25">
      <c r="A133">
        <v>32207</v>
      </c>
      <c r="B133" t="s">
        <v>888</v>
      </c>
      <c r="C133">
        <f>COUNTIFS(Table24[Client ID '#],"&lt;&gt;",Table24[Residence Zip Code],'G - ZIP Code'!A133)</f>
        <v>0</v>
      </c>
    </row>
    <row r="134" spans="1:3" x14ac:dyDescent="0.25">
      <c r="A134">
        <v>32208</v>
      </c>
      <c r="B134" t="s">
        <v>888</v>
      </c>
      <c r="C134">
        <f>COUNTIFS(Table24[Client ID '#],"&lt;&gt;",Table24[Residence Zip Code],'G - ZIP Code'!A134)</f>
        <v>0</v>
      </c>
    </row>
    <row r="135" spans="1:3" x14ac:dyDescent="0.25">
      <c r="A135">
        <v>32209</v>
      </c>
      <c r="B135" t="s">
        <v>888</v>
      </c>
      <c r="C135">
        <f>COUNTIFS(Table24[Client ID '#],"&lt;&gt;",Table24[Residence Zip Code],'G - ZIP Code'!A135)</f>
        <v>0</v>
      </c>
    </row>
    <row r="136" spans="1:3" x14ac:dyDescent="0.25">
      <c r="A136">
        <v>32210</v>
      </c>
      <c r="B136" t="s">
        <v>888</v>
      </c>
      <c r="C136">
        <f>COUNTIFS(Table24[Client ID '#],"&lt;&gt;",Table24[Residence Zip Code],'G - ZIP Code'!A136)</f>
        <v>0</v>
      </c>
    </row>
    <row r="137" spans="1:3" x14ac:dyDescent="0.25">
      <c r="A137">
        <v>32211</v>
      </c>
      <c r="B137" t="s">
        <v>888</v>
      </c>
      <c r="C137">
        <f>COUNTIFS(Table24[Client ID '#],"&lt;&gt;",Table24[Residence Zip Code],'G - ZIP Code'!A137)</f>
        <v>0</v>
      </c>
    </row>
    <row r="138" spans="1:3" x14ac:dyDescent="0.25">
      <c r="A138">
        <v>32212</v>
      </c>
      <c r="B138" t="s">
        <v>888</v>
      </c>
      <c r="C138">
        <f>COUNTIFS(Table24[Client ID '#],"&lt;&gt;",Table24[Residence Zip Code],'G - ZIP Code'!A138)</f>
        <v>0</v>
      </c>
    </row>
    <row r="139" spans="1:3" x14ac:dyDescent="0.25">
      <c r="A139">
        <v>32214</v>
      </c>
      <c r="B139" t="s">
        <v>888</v>
      </c>
      <c r="C139">
        <f>COUNTIFS(Table24[Client ID '#],"&lt;&gt;",Table24[Residence Zip Code],'G - ZIP Code'!A139)</f>
        <v>0</v>
      </c>
    </row>
    <row r="140" spans="1:3" x14ac:dyDescent="0.25">
      <c r="A140">
        <v>32215</v>
      </c>
      <c r="B140" t="s">
        <v>888</v>
      </c>
      <c r="C140">
        <f>COUNTIFS(Table24[Client ID '#],"&lt;&gt;",Table24[Residence Zip Code],'G - ZIP Code'!A140)</f>
        <v>0</v>
      </c>
    </row>
    <row r="141" spans="1:3" x14ac:dyDescent="0.25">
      <c r="A141">
        <v>32216</v>
      </c>
      <c r="B141" t="s">
        <v>888</v>
      </c>
      <c r="C141">
        <f>COUNTIFS(Table24[Client ID '#],"&lt;&gt;",Table24[Residence Zip Code],'G - ZIP Code'!A141)</f>
        <v>0</v>
      </c>
    </row>
    <row r="142" spans="1:3" x14ac:dyDescent="0.25">
      <c r="A142">
        <v>32217</v>
      </c>
      <c r="B142" t="s">
        <v>888</v>
      </c>
      <c r="C142">
        <f>COUNTIFS(Table24[Client ID '#],"&lt;&gt;",Table24[Residence Zip Code],'G - ZIP Code'!A142)</f>
        <v>0</v>
      </c>
    </row>
    <row r="143" spans="1:3" x14ac:dyDescent="0.25">
      <c r="A143">
        <v>32218</v>
      </c>
      <c r="B143" t="s">
        <v>888</v>
      </c>
      <c r="C143">
        <f>COUNTIFS(Table24[Client ID '#],"&lt;&gt;",Table24[Residence Zip Code],'G - ZIP Code'!A143)</f>
        <v>0</v>
      </c>
    </row>
    <row r="144" spans="1:3" x14ac:dyDescent="0.25">
      <c r="A144">
        <v>32219</v>
      </c>
      <c r="B144" t="s">
        <v>888</v>
      </c>
      <c r="C144">
        <f>COUNTIFS(Table24[Client ID '#],"&lt;&gt;",Table24[Residence Zip Code],'G - ZIP Code'!A144)</f>
        <v>0</v>
      </c>
    </row>
    <row r="145" spans="1:3" x14ac:dyDescent="0.25">
      <c r="A145">
        <v>32220</v>
      </c>
      <c r="B145" t="s">
        <v>888</v>
      </c>
      <c r="C145">
        <f>COUNTIFS(Table24[Client ID '#],"&lt;&gt;",Table24[Residence Zip Code],'G - ZIP Code'!A145)</f>
        <v>0</v>
      </c>
    </row>
    <row r="146" spans="1:3" x14ac:dyDescent="0.25">
      <c r="A146">
        <v>32221</v>
      </c>
      <c r="B146" t="s">
        <v>888</v>
      </c>
      <c r="C146">
        <f>COUNTIFS(Table24[Client ID '#],"&lt;&gt;",Table24[Residence Zip Code],'G - ZIP Code'!A146)</f>
        <v>0</v>
      </c>
    </row>
    <row r="147" spans="1:3" x14ac:dyDescent="0.25">
      <c r="A147">
        <v>32222</v>
      </c>
      <c r="B147" t="s">
        <v>888</v>
      </c>
      <c r="C147">
        <f>COUNTIFS(Table24[Client ID '#],"&lt;&gt;",Table24[Residence Zip Code],'G - ZIP Code'!A147)</f>
        <v>0</v>
      </c>
    </row>
    <row r="148" spans="1:3" x14ac:dyDescent="0.25">
      <c r="A148">
        <v>32223</v>
      </c>
      <c r="B148" t="s">
        <v>888</v>
      </c>
      <c r="C148">
        <f>COUNTIFS(Table24[Client ID '#],"&lt;&gt;",Table24[Residence Zip Code],'G - ZIP Code'!A148)</f>
        <v>0</v>
      </c>
    </row>
    <row r="149" spans="1:3" x14ac:dyDescent="0.25">
      <c r="A149">
        <v>32224</v>
      </c>
      <c r="B149" t="s">
        <v>888</v>
      </c>
      <c r="C149">
        <f>COUNTIFS(Table24[Client ID '#],"&lt;&gt;",Table24[Residence Zip Code],'G - ZIP Code'!A149)</f>
        <v>0</v>
      </c>
    </row>
    <row r="150" spans="1:3" x14ac:dyDescent="0.25">
      <c r="A150">
        <v>32225</v>
      </c>
      <c r="B150" t="s">
        <v>888</v>
      </c>
      <c r="C150">
        <f>COUNTIFS(Table24[Client ID '#],"&lt;&gt;",Table24[Residence Zip Code],'G - ZIP Code'!A150)</f>
        <v>0</v>
      </c>
    </row>
    <row r="151" spans="1:3" x14ac:dyDescent="0.25">
      <c r="A151">
        <v>32226</v>
      </c>
      <c r="B151" t="s">
        <v>888</v>
      </c>
      <c r="C151">
        <f>COUNTIFS(Table24[Client ID '#],"&lt;&gt;",Table24[Residence Zip Code],'G - ZIP Code'!A151)</f>
        <v>0</v>
      </c>
    </row>
    <row r="152" spans="1:3" x14ac:dyDescent="0.25">
      <c r="A152">
        <v>32227</v>
      </c>
      <c r="B152" t="s">
        <v>888</v>
      </c>
      <c r="C152">
        <f>COUNTIFS(Table24[Client ID '#],"&lt;&gt;",Table24[Residence Zip Code],'G - ZIP Code'!A152)</f>
        <v>0</v>
      </c>
    </row>
    <row r="153" spans="1:3" x14ac:dyDescent="0.25">
      <c r="A153">
        <v>32228</v>
      </c>
      <c r="B153" t="s">
        <v>888</v>
      </c>
      <c r="C153">
        <f>COUNTIFS(Table24[Client ID '#],"&lt;&gt;",Table24[Residence Zip Code],'G - ZIP Code'!A153)</f>
        <v>0</v>
      </c>
    </row>
    <row r="154" spans="1:3" x14ac:dyDescent="0.25">
      <c r="A154">
        <v>32229</v>
      </c>
      <c r="B154" t="s">
        <v>888</v>
      </c>
      <c r="C154">
        <f>COUNTIFS(Table24[Client ID '#],"&lt;&gt;",Table24[Residence Zip Code],'G - ZIP Code'!A154)</f>
        <v>0</v>
      </c>
    </row>
    <row r="155" spans="1:3" x14ac:dyDescent="0.25">
      <c r="A155">
        <v>32230</v>
      </c>
      <c r="B155" t="s">
        <v>888</v>
      </c>
      <c r="C155">
        <f>COUNTIFS(Table24[Client ID '#],"&lt;&gt;",Table24[Residence Zip Code],'G - ZIP Code'!A155)</f>
        <v>0</v>
      </c>
    </row>
    <row r="156" spans="1:3" x14ac:dyDescent="0.25">
      <c r="A156">
        <v>32231</v>
      </c>
      <c r="B156" t="s">
        <v>888</v>
      </c>
      <c r="C156">
        <f>COUNTIFS(Table24[Client ID '#],"&lt;&gt;",Table24[Residence Zip Code],'G - ZIP Code'!A156)</f>
        <v>0</v>
      </c>
    </row>
    <row r="157" spans="1:3" x14ac:dyDescent="0.25">
      <c r="A157">
        <v>32232</v>
      </c>
      <c r="B157" t="s">
        <v>888</v>
      </c>
      <c r="C157">
        <f>COUNTIFS(Table24[Client ID '#],"&lt;&gt;",Table24[Residence Zip Code],'G - ZIP Code'!A157)</f>
        <v>0</v>
      </c>
    </row>
    <row r="158" spans="1:3" x14ac:dyDescent="0.25">
      <c r="A158">
        <v>32233</v>
      </c>
      <c r="B158" t="s">
        <v>888</v>
      </c>
      <c r="C158">
        <f>COUNTIFS(Table24[Client ID '#],"&lt;&gt;",Table24[Residence Zip Code],'G - ZIP Code'!A158)</f>
        <v>0</v>
      </c>
    </row>
    <row r="159" spans="1:3" x14ac:dyDescent="0.25">
      <c r="A159">
        <v>32234</v>
      </c>
      <c r="B159" t="s">
        <v>888</v>
      </c>
      <c r="C159">
        <f>COUNTIFS(Table24[Client ID '#],"&lt;&gt;",Table24[Residence Zip Code],'G - ZIP Code'!A159)</f>
        <v>0</v>
      </c>
    </row>
    <row r="160" spans="1:3" x14ac:dyDescent="0.25">
      <c r="A160">
        <v>32235</v>
      </c>
      <c r="B160" t="s">
        <v>888</v>
      </c>
      <c r="C160">
        <f>COUNTIFS(Table24[Client ID '#],"&lt;&gt;",Table24[Residence Zip Code],'G - ZIP Code'!A160)</f>
        <v>0</v>
      </c>
    </row>
    <row r="161" spans="1:3" x14ac:dyDescent="0.25">
      <c r="A161">
        <v>32236</v>
      </c>
      <c r="B161" t="s">
        <v>888</v>
      </c>
      <c r="C161">
        <f>COUNTIFS(Table24[Client ID '#],"&lt;&gt;",Table24[Residence Zip Code],'G - ZIP Code'!A161)</f>
        <v>0</v>
      </c>
    </row>
    <row r="162" spans="1:3" x14ac:dyDescent="0.25">
      <c r="A162">
        <v>32237</v>
      </c>
      <c r="B162" t="s">
        <v>888</v>
      </c>
      <c r="C162">
        <f>COUNTIFS(Table24[Client ID '#],"&lt;&gt;",Table24[Residence Zip Code],'G - ZIP Code'!A162)</f>
        <v>0</v>
      </c>
    </row>
    <row r="163" spans="1:3" x14ac:dyDescent="0.25">
      <c r="A163">
        <v>32238</v>
      </c>
      <c r="B163" t="s">
        <v>888</v>
      </c>
      <c r="C163">
        <f>COUNTIFS(Table24[Client ID '#],"&lt;&gt;",Table24[Residence Zip Code],'G - ZIP Code'!A163)</f>
        <v>0</v>
      </c>
    </row>
    <row r="164" spans="1:3" x14ac:dyDescent="0.25">
      <c r="A164">
        <v>32239</v>
      </c>
      <c r="B164" t="s">
        <v>888</v>
      </c>
      <c r="C164">
        <f>COUNTIFS(Table24[Client ID '#],"&lt;&gt;",Table24[Residence Zip Code],'G - ZIP Code'!A164)</f>
        <v>0</v>
      </c>
    </row>
    <row r="165" spans="1:3" x14ac:dyDescent="0.25">
      <c r="A165">
        <v>32240</v>
      </c>
      <c r="B165" t="s">
        <v>888</v>
      </c>
      <c r="C165">
        <f>COUNTIFS(Table24[Client ID '#],"&lt;&gt;",Table24[Residence Zip Code],'G - ZIP Code'!A165)</f>
        <v>0</v>
      </c>
    </row>
    <row r="166" spans="1:3" x14ac:dyDescent="0.25">
      <c r="A166">
        <v>32241</v>
      </c>
      <c r="B166" t="s">
        <v>888</v>
      </c>
      <c r="C166">
        <f>COUNTIFS(Table24[Client ID '#],"&lt;&gt;",Table24[Residence Zip Code],'G - ZIP Code'!A166)</f>
        <v>0</v>
      </c>
    </row>
    <row r="167" spans="1:3" x14ac:dyDescent="0.25">
      <c r="A167">
        <v>32244</v>
      </c>
      <c r="B167" t="s">
        <v>888</v>
      </c>
      <c r="C167">
        <f>COUNTIFS(Table24[Client ID '#],"&lt;&gt;",Table24[Residence Zip Code],'G - ZIP Code'!A167)</f>
        <v>0</v>
      </c>
    </row>
    <row r="168" spans="1:3" x14ac:dyDescent="0.25">
      <c r="A168">
        <v>32245</v>
      </c>
      <c r="B168" t="s">
        <v>888</v>
      </c>
      <c r="C168">
        <f>COUNTIFS(Table24[Client ID '#],"&lt;&gt;",Table24[Residence Zip Code],'G - ZIP Code'!A168)</f>
        <v>0</v>
      </c>
    </row>
    <row r="169" spans="1:3" x14ac:dyDescent="0.25">
      <c r="A169">
        <v>32246</v>
      </c>
      <c r="B169" t="s">
        <v>888</v>
      </c>
      <c r="C169">
        <f>COUNTIFS(Table24[Client ID '#],"&lt;&gt;",Table24[Residence Zip Code],'G - ZIP Code'!A169)</f>
        <v>0</v>
      </c>
    </row>
    <row r="170" spans="1:3" x14ac:dyDescent="0.25">
      <c r="A170">
        <v>32247</v>
      </c>
      <c r="B170" t="s">
        <v>888</v>
      </c>
      <c r="C170">
        <f>COUNTIFS(Table24[Client ID '#],"&lt;&gt;",Table24[Residence Zip Code],'G - ZIP Code'!A170)</f>
        <v>0</v>
      </c>
    </row>
    <row r="171" spans="1:3" x14ac:dyDescent="0.25">
      <c r="A171">
        <v>32250</v>
      </c>
      <c r="B171" t="s">
        <v>888</v>
      </c>
      <c r="C171">
        <f>COUNTIFS(Table24[Client ID '#],"&lt;&gt;",Table24[Residence Zip Code],'G - ZIP Code'!A171)</f>
        <v>0</v>
      </c>
    </row>
    <row r="172" spans="1:3" x14ac:dyDescent="0.25">
      <c r="A172">
        <v>32254</v>
      </c>
      <c r="B172" t="s">
        <v>888</v>
      </c>
      <c r="C172">
        <f>COUNTIFS(Table24[Client ID '#],"&lt;&gt;",Table24[Residence Zip Code],'G - ZIP Code'!A172)</f>
        <v>0</v>
      </c>
    </row>
    <row r="173" spans="1:3" x14ac:dyDescent="0.25">
      <c r="A173">
        <v>32255</v>
      </c>
      <c r="B173" t="s">
        <v>888</v>
      </c>
      <c r="C173">
        <f>COUNTIFS(Table24[Client ID '#],"&lt;&gt;",Table24[Residence Zip Code],'G - ZIP Code'!A173)</f>
        <v>0</v>
      </c>
    </row>
    <row r="174" spans="1:3" x14ac:dyDescent="0.25">
      <c r="A174">
        <v>32256</v>
      </c>
      <c r="B174" t="s">
        <v>888</v>
      </c>
      <c r="C174">
        <f>COUNTIFS(Table24[Client ID '#],"&lt;&gt;",Table24[Residence Zip Code],'G - ZIP Code'!A174)</f>
        <v>0</v>
      </c>
    </row>
    <row r="175" spans="1:3" x14ac:dyDescent="0.25">
      <c r="A175">
        <v>32257</v>
      </c>
      <c r="B175" t="s">
        <v>888</v>
      </c>
      <c r="C175">
        <f>COUNTIFS(Table24[Client ID '#],"&lt;&gt;",Table24[Residence Zip Code],'G - ZIP Code'!A175)</f>
        <v>0</v>
      </c>
    </row>
    <row r="176" spans="1:3" x14ac:dyDescent="0.25">
      <c r="A176">
        <v>32258</v>
      </c>
      <c r="B176" t="s">
        <v>888</v>
      </c>
      <c r="C176">
        <f>COUNTIFS(Table24[Client ID '#],"&lt;&gt;",Table24[Residence Zip Code],'G - ZIP Code'!A176)</f>
        <v>0</v>
      </c>
    </row>
    <row r="177" spans="1:3" x14ac:dyDescent="0.25">
      <c r="A177">
        <v>32259</v>
      </c>
      <c r="B177" t="s">
        <v>888</v>
      </c>
      <c r="C177">
        <f>COUNTIFS(Table24[Client ID '#],"&lt;&gt;",Table24[Residence Zip Code],'G - ZIP Code'!A177)</f>
        <v>0</v>
      </c>
    </row>
    <row r="178" spans="1:3" x14ac:dyDescent="0.25">
      <c r="A178">
        <v>32260</v>
      </c>
      <c r="B178" t="s">
        <v>888</v>
      </c>
      <c r="C178">
        <f>COUNTIFS(Table24[Client ID '#],"&lt;&gt;",Table24[Residence Zip Code],'G - ZIP Code'!A178)</f>
        <v>0</v>
      </c>
    </row>
    <row r="179" spans="1:3" x14ac:dyDescent="0.25">
      <c r="A179">
        <v>32266</v>
      </c>
      <c r="B179" t="s">
        <v>888</v>
      </c>
      <c r="C179">
        <f>COUNTIFS(Table24[Client ID '#],"&lt;&gt;",Table24[Residence Zip Code],'G - ZIP Code'!A179)</f>
        <v>0</v>
      </c>
    </row>
    <row r="180" spans="1:3" x14ac:dyDescent="0.25">
      <c r="A180">
        <v>32267</v>
      </c>
      <c r="B180" t="s">
        <v>888</v>
      </c>
      <c r="C180">
        <f>COUNTIFS(Table24[Client ID '#],"&lt;&gt;",Table24[Residence Zip Code],'G - ZIP Code'!A180)</f>
        <v>0</v>
      </c>
    </row>
    <row r="181" spans="1:3" x14ac:dyDescent="0.25">
      <c r="A181">
        <v>32277</v>
      </c>
      <c r="B181" t="s">
        <v>888</v>
      </c>
      <c r="C181">
        <f>COUNTIFS(Table24[Client ID '#],"&lt;&gt;",Table24[Residence Zip Code],'G - ZIP Code'!A181)</f>
        <v>0</v>
      </c>
    </row>
    <row r="182" spans="1:3" x14ac:dyDescent="0.25">
      <c r="A182">
        <v>32290</v>
      </c>
      <c r="B182" t="s">
        <v>888</v>
      </c>
      <c r="C182">
        <f>COUNTIFS(Table24[Client ID '#],"&lt;&gt;",Table24[Residence Zip Code],'G - ZIP Code'!A182)</f>
        <v>0</v>
      </c>
    </row>
    <row r="183" spans="1:3" x14ac:dyDescent="0.25">
      <c r="A183">
        <v>32301</v>
      </c>
      <c r="B183" t="s">
        <v>888</v>
      </c>
      <c r="C183">
        <f>COUNTIFS(Table24[Client ID '#],"&lt;&gt;",Table24[Residence Zip Code],'G - ZIP Code'!A183)</f>
        <v>0</v>
      </c>
    </row>
    <row r="184" spans="1:3" x14ac:dyDescent="0.25">
      <c r="A184">
        <v>32302</v>
      </c>
      <c r="B184" t="s">
        <v>888</v>
      </c>
      <c r="C184">
        <f>COUNTIFS(Table24[Client ID '#],"&lt;&gt;",Table24[Residence Zip Code],'G - ZIP Code'!A184)</f>
        <v>0</v>
      </c>
    </row>
    <row r="185" spans="1:3" x14ac:dyDescent="0.25">
      <c r="A185">
        <v>32303</v>
      </c>
      <c r="B185" t="s">
        <v>888</v>
      </c>
      <c r="C185">
        <f>COUNTIFS(Table24[Client ID '#],"&lt;&gt;",Table24[Residence Zip Code],'G - ZIP Code'!A185)</f>
        <v>0</v>
      </c>
    </row>
    <row r="186" spans="1:3" x14ac:dyDescent="0.25">
      <c r="A186">
        <v>32304</v>
      </c>
      <c r="B186" t="s">
        <v>888</v>
      </c>
      <c r="C186">
        <f>COUNTIFS(Table24[Client ID '#],"&lt;&gt;",Table24[Residence Zip Code],'G - ZIP Code'!A186)</f>
        <v>0</v>
      </c>
    </row>
    <row r="187" spans="1:3" x14ac:dyDescent="0.25">
      <c r="A187">
        <v>32305</v>
      </c>
      <c r="B187" t="s">
        <v>888</v>
      </c>
      <c r="C187">
        <f>COUNTIFS(Table24[Client ID '#],"&lt;&gt;",Table24[Residence Zip Code],'G - ZIP Code'!A187)</f>
        <v>0</v>
      </c>
    </row>
    <row r="188" spans="1:3" x14ac:dyDescent="0.25">
      <c r="A188">
        <v>32306</v>
      </c>
      <c r="B188" t="s">
        <v>888</v>
      </c>
      <c r="C188">
        <f>COUNTIFS(Table24[Client ID '#],"&lt;&gt;",Table24[Residence Zip Code],'G - ZIP Code'!A188)</f>
        <v>0</v>
      </c>
    </row>
    <row r="189" spans="1:3" x14ac:dyDescent="0.25">
      <c r="A189">
        <v>32307</v>
      </c>
      <c r="B189" t="s">
        <v>888</v>
      </c>
      <c r="C189">
        <f>COUNTIFS(Table24[Client ID '#],"&lt;&gt;",Table24[Residence Zip Code],'G - ZIP Code'!A189)</f>
        <v>0</v>
      </c>
    </row>
    <row r="190" spans="1:3" x14ac:dyDescent="0.25">
      <c r="A190">
        <v>32308</v>
      </c>
      <c r="B190" t="s">
        <v>888</v>
      </c>
      <c r="C190">
        <f>COUNTIFS(Table24[Client ID '#],"&lt;&gt;",Table24[Residence Zip Code],'G - ZIP Code'!A190)</f>
        <v>0</v>
      </c>
    </row>
    <row r="191" spans="1:3" x14ac:dyDescent="0.25">
      <c r="A191">
        <v>32309</v>
      </c>
      <c r="B191" t="s">
        <v>888</v>
      </c>
      <c r="C191">
        <f>COUNTIFS(Table24[Client ID '#],"&lt;&gt;",Table24[Residence Zip Code],'G - ZIP Code'!A191)</f>
        <v>0</v>
      </c>
    </row>
    <row r="192" spans="1:3" x14ac:dyDescent="0.25">
      <c r="A192">
        <v>32310</v>
      </c>
      <c r="B192" t="s">
        <v>888</v>
      </c>
      <c r="C192">
        <f>COUNTIFS(Table24[Client ID '#],"&lt;&gt;",Table24[Residence Zip Code],'G - ZIP Code'!A192)</f>
        <v>0</v>
      </c>
    </row>
    <row r="193" spans="1:3" x14ac:dyDescent="0.25">
      <c r="A193">
        <v>32311</v>
      </c>
      <c r="B193" t="s">
        <v>888</v>
      </c>
      <c r="C193">
        <f>COUNTIFS(Table24[Client ID '#],"&lt;&gt;",Table24[Residence Zip Code],'G - ZIP Code'!A193)</f>
        <v>0</v>
      </c>
    </row>
    <row r="194" spans="1:3" x14ac:dyDescent="0.25">
      <c r="A194">
        <v>32312</v>
      </c>
      <c r="B194" t="s">
        <v>888</v>
      </c>
      <c r="C194">
        <f>COUNTIFS(Table24[Client ID '#],"&lt;&gt;",Table24[Residence Zip Code],'G - ZIP Code'!A194)</f>
        <v>0</v>
      </c>
    </row>
    <row r="195" spans="1:3" x14ac:dyDescent="0.25">
      <c r="A195">
        <v>32313</v>
      </c>
      <c r="B195" t="s">
        <v>888</v>
      </c>
      <c r="C195">
        <f>COUNTIFS(Table24[Client ID '#],"&lt;&gt;",Table24[Residence Zip Code],'G - ZIP Code'!A195)</f>
        <v>0</v>
      </c>
    </row>
    <row r="196" spans="1:3" x14ac:dyDescent="0.25">
      <c r="A196">
        <v>32314</v>
      </c>
      <c r="B196" t="s">
        <v>888</v>
      </c>
      <c r="C196">
        <f>COUNTIFS(Table24[Client ID '#],"&lt;&gt;",Table24[Residence Zip Code],'G - ZIP Code'!A196)</f>
        <v>0</v>
      </c>
    </row>
    <row r="197" spans="1:3" x14ac:dyDescent="0.25">
      <c r="A197">
        <v>32315</v>
      </c>
      <c r="B197" t="s">
        <v>888</v>
      </c>
      <c r="C197">
        <f>COUNTIFS(Table24[Client ID '#],"&lt;&gt;",Table24[Residence Zip Code],'G - ZIP Code'!A197)</f>
        <v>0</v>
      </c>
    </row>
    <row r="198" spans="1:3" x14ac:dyDescent="0.25">
      <c r="A198">
        <v>32316</v>
      </c>
      <c r="B198" t="s">
        <v>888</v>
      </c>
      <c r="C198">
        <f>COUNTIFS(Table24[Client ID '#],"&lt;&gt;",Table24[Residence Zip Code],'G - ZIP Code'!A198)</f>
        <v>0</v>
      </c>
    </row>
    <row r="199" spans="1:3" x14ac:dyDescent="0.25">
      <c r="A199">
        <v>32317</v>
      </c>
      <c r="B199" t="s">
        <v>888</v>
      </c>
      <c r="C199">
        <f>COUNTIFS(Table24[Client ID '#],"&lt;&gt;",Table24[Residence Zip Code],'G - ZIP Code'!A199)</f>
        <v>0</v>
      </c>
    </row>
    <row r="200" spans="1:3" x14ac:dyDescent="0.25">
      <c r="A200">
        <v>32318</v>
      </c>
      <c r="B200" t="s">
        <v>888</v>
      </c>
      <c r="C200">
        <f>COUNTIFS(Table24[Client ID '#],"&lt;&gt;",Table24[Residence Zip Code],'G - ZIP Code'!A200)</f>
        <v>0</v>
      </c>
    </row>
    <row r="201" spans="1:3" x14ac:dyDescent="0.25">
      <c r="A201">
        <v>32320</v>
      </c>
      <c r="B201" t="s">
        <v>888</v>
      </c>
      <c r="C201">
        <f>COUNTIFS(Table24[Client ID '#],"&lt;&gt;",Table24[Residence Zip Code],'G - ZIP Code'!A201)</f>
        <v>0</v>
      </c>
    </row>
    <row r="202" spans="1:3" x14ac:dyDescent="0.25">
      <c r="A202">
        <v>32321</v>
      </c>
      <c r="B202" t="s">
        <v>888</v>
      </c>
      <c r="C202">
        <f>COUNTIFS(Table24[Client ID '#],"&lt;&gt;",Table24[Residence Zip Code],'G - ZIP Code'!A202)</f>
        <v>0</v>
      </c>
    </row>
    <row r="203" spans="1:3" x14ac:dyDescent="0.25">
      <c r="A203">
        <v>32322</v>
      </c>
      <c r="B203" t="s">
        <v>888</v>
      </c>
      <c r="C203">
        <f>COUNTIFS(Table24[Client ID '#],"&lt;&gt;",Table24[Residence Zip Code],'G - ZIP Code'!A203)</f>
        <v>0</v>
      </c>
    </row>
    <row r="204" spans="1:3" x14ac:dyDescent="0.25">
      <c r="A204">
        <v>32323</v>
      </c>
      <c r="B204" t="s">
        <v>888</v>
      </c>
      <c r="C204">
        <f>COUNTIFS(Table24[Client ID '#],"&lt;&gt;",Table24[Residence Zip Code],'G - ZIP Code'!A204)</f>
        <v>0</v>
      </c>
    </row>
    <row r="205" spans="1:3" x14ac:dyDescent="0.25">
      <c r="A205">
        <v>32324</v>
      </c>
      <c r="B205" t="s">
        <v>888</v>
      </c>
      <c r="C205">
        <f>COUNTIFS(Table24[Client ID '#],"&lt;&gt;",Table24[Residence Zip Code],'G - ZIP Code'!A205)</f>
        <v>0</v>
      </c>
    </row>
    <row r="206" spans="1:3" x14ac:dyDescent="0.25">
      <c r="A206">
        <v>32326</v>
      </c>
      <c r="B206" t="s">
        <v>888</v>
      </c>
      <c r="C206">
        <f>COUNTIFS(Table24[Client ID '#],"&lt;&gt;",Table24[Residence Zip Code],'G - ZIP Code'!A206)</f>
        <v>0</v>
      </c>
    </row>
    <row r="207" spans="1:3" x14ac:dyDescent="0.25">
      <c r="A207">
        <v>32327</v>
      </c>
      <c r="B207" t="s">
        <v>888</v>
      </c>
      <c r="C207">
        <f>COUNTIFS(Table24[Client ID '#],"&lt;&gt;",Table24[Residence Zip Code],'G - ZIP Code'!A207)</f>
        <v>0</v>
      </c>
    </row>
    <row r="208" spans="1:3" x14ac:dyDescent="0.25">
      <c r="A208">
        <v>32328</v>
      </c>
      <c r="B208" t="s">
        <v>888</v>
      </c>
      <c r="C208">
        <f>COUNTIFS(Table24[Client ID '#],"&lt;&gt;",Table24[Residence Zip Code],'G - ZIP Code'!A208)</f>
        <v>0</v>
      </c>
    </row>
    <row r="209" spans="1:3" x14ac:dyDescent="0.25">
      <c r="A209">
        <v>32329</v>
      </c>
      <c r="B209" t="s">
        <v>888</v>
      </c>
      <c r="C209">
        <f>COUNTIFS(Table24[Client ID '#],"&lt;&gt;",Table24[Residence Zip Code],'G - ZIP Code'!A209)</f>
        <v>0</v>
      </c>
    </row>
    <row r="210" spans="1:3" x14ac:dyDescent="0.25">
      <c r="A210">
        <v>32330</v>
      </c>
      <c r="B210" t="s">
        <v>888</v>
      </c>
      <c r="C210">
        <f>COUNTIFS(Table24[Client ID '#],"&lt;&gt;",Table24[Residence Zip Code],'G - ZIP Code'!A210)</f>
        <v>0</v>
      </c>
    </row>
    <row r="211" spans="1:3" x14ac:dyDescent="0.25">
      <c r="A211">
        <v>32331</v>
      </c>
      <c r="B211" t="s">
        <v>888</v>
      </c>
      <c r="C211">
        <f>COUNTIFS(Table24[Client ID '#],"&lt;&gt;",Table24[Residence Zip Code],'G - ZIP Code'!A211)</f>
        <v>0</v>
      </c>
    </row>
    <row r="212" spans="1:3" x14ac:dyDescent="0.25">
      <c r="A212">
        <v>32332</v>
      </c>
      <c r="B212" t="s">
        <v>888</v>
      </c>
      <c r="C212">
        <f>COUNTIFS(Table24[Client ID '#],"&lt;&gt;",Table24[Residence Zip Code],'G - ZIP Code'!A212)</f>
        <v>0</v>
      </c>
    </row>
    <row r="213" spans="1:3" x14ac:dyDescent="0.25">
      <c r="A213">
        <v>32333</v>
      </c>
      <c r="B213" t="s">
        <v>888</v>
      </c>
      <c r="C213">
        <f>COUNTIFS(Table24[Client ID '#],"&lt;&gt;",Table24[Residence Zip Code],'G - ZIP Code'!A213)</f>
        <v>0</v>
      </c>
    </row>
    <row r="214" spans="1:3" x14ac:dyDescent="0.25">
      <c r="A214">
        <v>32334</v>
      </c>
      <c r="B214" t="s">
        <v>888</v>
      </c>
      <c r="C214">
        <f>COUNTIFS(Table24[Client ID '#],"&lt;&gt;",Table24[Residence Zip Code],'G - ZIP Code'!A214)</f>
        <v>0</v>
      </c>
    </row>
    <row r="215" spans="1:3" x14ac:dyDescent="0.25">
      <c r="A215">
        <v>32335</v>
      </c>
      <c r="B215" t="s">
        <v>888</v>
      </c>
      <c r="C215">
        <f>COUNTIFS(Table24[Client ID '#],"&lt;&gt;",Table24[Residence Zip Code],'G - ZIP Code'!A215)</f>
        <v>0</v>
      </c>
    </row>
    <row r="216" spans="1:3" x14ac:dyDescent="0.25">
      <c r="A216">
        <v>32336</v>
      </c>
      <c r="B216" t="s">
        <v>888</v>
      </c>
      <c r="C216">
        <f>COUNTIFS(Table24[Client ID '#],"&lt;&gt;",Table24[Residence Zip Code],'G - ZIP Code'!A216)</f>
        <v>0</v>
      </c>
    </row>
    <row r="217" spans="1:3" x14ac:dyDescent="0.25">
      <c r="A217">
        <v>32337</v>
      </c>
      <c r="B217" t="s">
        <v>888</v>
      </c>
      <c r="C217">
        <f>COUNTIFS(Table24[Client ID '#],"&lt;&gt;",Table24[Residence Zip Code],'G - ZIP Code'!A217)</f>
        <v>0</v>
      </c>
    </row>
    <row r="218" spans="1:3" x14ac:dyDescent="0.25">
      <c r="A218">
        <v>32340</v>
      </c>
      <c r="B218" t="s">
        <v>888</v>
      </c>
      <c r="C218">
        <f>COUNTIFS(Table24[Client ID '#],"&lt;&gt;",Table24[Residence Zip Code],'G - ZIP Code'!A218)</f>
        <v>0</v>
      </c>
    </row>
    <row r="219" spans="1:3" x14ac:dyDescent="0.25">
      <c r="A219">
        <v>32341</v>
      </c>
      <c r="B219" t="s">
        <v>888</v>
      </c>
      <c r="C219">
        <f>COUNTIFS(Table24[Client ID '#],"&lt;&gt;",Table24[Residence Zip Code],'G - ZIP Code'!A219)</f>
        <v>0</v>
      </c>
    </row>
    <row r="220" spans="1:3" x14ac:dyDescent="0.25">
      <c r="A220">
        <v>32343</v>
      </c>
      <c r="B220" t="s">
        <v>888</v>
      </c>
      <c r="C220">
        <f>COUNTIFS(Table24[Client ID '#],"&lt;&gt;",Table24[Residence Zip Code],'G - ZIP Code'!A220)</f>
        <v>0</v>
      </c>
    </row>
    <row r="221" spans="1:3" x14ac:dyDescent="0.25">
      <c r="A221">
        <v>32344</v>
      </c>
      <c r="B221" t="s">
        <v>888</v>
      </c>
      <c r="C221">
        <f>COUNTIFS(Table24[Client ID '#],"&lt;&gt;",Table24[Residence Zip Code],'G - ZIP Code'!A221)</f>
        <v>0</v>
      </c>
    </row>
    <row r="222" spans="1:3" x14ac:dyDescent="0.25">
      <c r="A222">
        <v>32345</v>
      </c>
      <c r="B222" t="s">
        <v>888</v>
      </c>
      <c r="C222">
        <f>COUNTIFS(Table24[Client ID '#],"&lt;&gt;",Table24[Residence Zip Code],'G - ZIP Code'!A222)</f>
        <v>0</v>
      </c>
    </row>
    <row r="223" spans="1:3" x14ac:dyDescent="0.25">
      <c r="A223">
        <v>32346</v>
      </c>
      <c r="B223" t="s">
        <v>888</v>
      </c>
      <c r="C223">
        <f>COUNTIFS(Table24[Client ID '#],"&lt;&gt;",Table24[Residence Zip Code],'G - ZIP Code'!A223)</f>
        <v>0</v>
      </c>
    </row>
    <row r="224" spans="1:3" x14ac:dyDescent="0.25">
      <c r="A224">
        <v>32347</v>
      </c>
      <c r="B224" t="s">
        <v>888</v>
      </c>
      <c r="C224">
        <f>COUNTIFS(Table24[Client ID '#],"&lt;&gt;",Table24[Residence Zip Code],'G - ZIP Code'!A224)</f>
        <v>0</v>
      </c>
    </row>
    <row r="225" spans="1:3" x14ac:dyDescent="0.25">
      <c r="A225">
        <v>32348</v>
      </c>
      <c r="B225" t="s">
        <v>888</v>
      </c>
      <c r="C225">
        <f>COUNTIFS(Table24[Client ID '#],"&lt;&gt;",Table24[Residence Zip Code],'G - ZIP Code'!A225)</f>
        <v>0</v>
      </c>
    </row>
    <row r="226" spans="1:3" x14ac:dyDescent="0.25">
      <c r="A226">
        <v>32350</v>
      </c>
      <c r="B226" t="s">
        <v>888</v>
      </c>
      <c r="C226">
        <f>COUNTIFS(Table24[Client ID '#],"&lt;&gt;",Table24[Residence Zip Code],'G - ZIP Code'!A226)</f>
        <v>0</v>
      </c>
    </row>
    <row r="227" spans="1:3" x14ac:dyDescent="0.25">
      <c r="A227">
        <v>32351</v>
      </c>
      <c r="B227" t="s">
        <v>888</v>
      </c>
      <c r="C227">
        <f>COUNTIFS(Table24[Client ID '#],"&lt;&gt;",Table24[Residence Zip Code],'G - ZIP Code'!A227)</f>
        <v>0</v>
      </c>
    </row>
    <row r="228" spans="1:3" x14ac:dyDescent="0.25">
      <c r="A228">
        <v>32352</v>
      </c>
      <c r="B228" t="s">
        <v>888</v>
      </c>
      <c r="C228">
        <f>COUNTIFS(Table24[Client ID '#],"&lt;&gt;",Table24[Residence Zip Code],'G - ZIP Code'!A228)</f>
        <v>0</v>
      </c>
    </row>
    <row r="229" spans="1:3" x14ac:dyDescent="0.25">
      <c r="A229">
        <v>32353</v>
      </c>
      <c r="B229" t="s">
        <v>888</v>
      </c>
      <c r="C229">
        <f>COUNTIFS(Table24[Client ID '#],"&lt;&gt;",Table24[Residence Zip Code],'G - ZIP Code'!A229)</f>
        <v>0</v>
      </c>
    </row>
    <row r="230" spans="1:3" x14ac:dyDescent="0.25">
      <c r="A230">
        <v>32355</v>
      </c>
      <c r="B230" t="s">
        <v>888</v>
      </c>
      <c r="C230">
        <f>COUNTIFS(Table24[Client ID '#],"&lt;&gt;",Table24[Residence Zip Code],'G - ZIP Code'!A230)</f>
        <v>0</v>
      </c>
    </row>
    <row r="231" spans="1:3" x14ac:dyDescent="0.25">
      <c r="A231">
        <v>32356</v>
      </c>
      <c r="B231" t="s">
        <v>888</v>
      </c>
      <c r="C231">
        <f>COUNTIFS(Table24[Client ID '#],"&lt;&gt;",Table24[Residence Zip Code],'G - ZIP Code'!A231)</f>
        <v>0</v>
      </c>
    </row>
    <row r="232" spans="1:3" x14ac:dyDescent="0.25">
      <c r="A232">
        <v>32357</v>
      </c>
      <c r="B232" t="s">
        <v>888</v>
      </c>
      <c r="C232">
        <f>COUNTIFS(Table24[Client ID '#],"&lt;&gt;",Table24[Residence Zip Code],'G - ZIP Code'!A232)</f>
        <v>0</v>
      </c>
    </row>
    <row r="233" spans="1:3" x14ac:dyDescent="0.25">
      <c r="A233">
        <v>32358</v>
      </c>
      <c r="B233" t="s">
        <v>888</v>
      </c>
      <c r="C233">
        <f>COUNTIFS(Table24[Client ID '#],"&lt;&gt;",Table24[Residence Zip Code],'G - ZIP Code'!A233)</f>
        <v>0</v>
      </c>
    </row>
    <row r="234" spans="1:3" x14ac:dyDescent="0.25">
      <c r="A234">
        <v>32359</v>
      </c>
      <c r="B234" t="s">
        <v>888</v>
      </c>
      <c r="C234">
        <f>COUNTIFS(Table24[Client ID '#],"&lt;&gt;",Table24[Residence Zip Code],'G - ZIP Code'!A234)</f>
        <v>0</v>
      </c>
    </row>
    <row r="235" spans="1:3" x14ac:dyDescent="0.25">
      <c r="A235">
        <v>32360</v>
      </c>
      <c r="B235" t="s">
        <v>888</v>
      </c>
      <c r="C235">
        <f>COUNTIFS(Table24[Client ID '#],"&lt;&gt;",Table24[Residence Zip Code],'G - ZIP Code'!A235)</f>
        <v>0</v>
      </c>
    </row>
    <row r="236" spans="1:3" x14ac:dyDescent="0.25">
      <c r="A236">
        <v>32361</v>
      </c>
      <c r="B236" t="s">
        <v>888</v>
      </c>
      <c r="C236">
        <f>COUNTIFS(Table24[Client ID '#],"&lt;&gt;",Table24[Residence Zip Code],'G - ZIP Code'!A236)</f>
        <v>0</v>
      </c>
    </row>
    <row r="237" spans="1:3" x14ac:dyDescent="0.25">
      <c r="A237">
        <v>32362</v>
      </c>
      <c r="B237" t="s">
        <v>888</v>
      </c>
      <c r="C237">
        <f>COUNTIFS(Table24[Client ID '#],"&lt;&gt;",Table24[Residence Zip Code],'G - ZIP Code'!A237)</f>
        <v>0</v>
      </c>
    </row>
    <row r="238" spans="1:3" x14ac:dyDescent="0.25">
      <c r="A238">
        <v>32395</v>
      </c>
      <c r="B238" t="s">
        <v>888</v>
      </c>
      <c r="C238">
        <f>COUNTIFS(Table24[Client ID '#],"&lt;&gt;",Table24[Residence Zip Code],'G - ZIP Code'!A238)</f>
        <v>0</v>
      </c>
    </row>
    <row r="239" spans="1:3" x14ac:dyDescent="0.25">
      <c r="A239">
        <v>32399</v>
      </c>
      <c r="B239" t="s">
        <v>888</v>
      </c>
      <c r="C239">
        <f>COUNTIFS(Table24[Client ID '#],"&lt;&gt;",Table24[Residence Zip Code],'G - ZIP Code'!A239)</f>
        <v>0</v>
      </c>
    </row>
    <row r="240" spans="1:3" x14ac:dyDescent="0.25">
      <c r="A240">
        <v>32401</v>
      </c>
      <c r="B240" t="s">
        <v>888</v>
      </c>
      <c r="C240">
        <f>COUNTIFS(Table24[Client ID '#],"&lt;&gt;",Table24[Residence Zip Code],'G - ZIP Code'!A240)</f>
        <v>0</v>
      </c>
    </row>
    <row r="241" spans="1:3" x14ac:dyDescent="0.25">
      <c r="A241">
        <v>32402</v>
      </c>
      <c r="B241" t="s">
        <v>888</v>
      </c>
      <c r="C241">
        <f>COUNTIFS(Table24[Client ID '#],"&lt;&gt;",Table24[Residence Zip Code],'G - ZIP Code'!A241)</f>
        <v>0</v>
      </c>
    </row>
    <row r="242" spans="1:3" x14ac:dyDescent="0.25">
      <c r="A242">
        <v>32403</v>
      </c>
      <c r="B242" t="s">
        <v>888</v>
      </c>
      <c r="C242">
        <f>COUNTIFS(Table24[Client ID '#],"&lt;&gt;",Table24[Residence Zip Code],'G - ZIP Code'!A242)</f>
        <v>0</v>
      </c>
    </row>
    <row r="243" spans="1:3" x14ac:dyDescent="0.25">
      <c r="A243">
        <v>32404</v>
      </c>
      <c r="B243" t="s">
        <v>888</v>
      </c>
      <c r="C243">
        <f>COUNTIFS(Table24[Client ID '#],"&lt;&gt;",Table24[Residence Zip Code],'G - ZIP Code'!A243)</f>
        <v>0</v>
      </c>
    </row>
    <row r="244" spans="1:3" x14ac:dyDescent="0.25">
      <c r="A244">
        <v>32405</v>
      </c>
      <c r="B244" t="s">
        <v>888</v>
      </c>
      <c r="C244">
        <f>COUNTIFS(Table24[Client ID '#],"&lt;&gt;",Table24[Residence Zip Code],'G - ZIP Code'!A244)</f>
        <v>0</v>
      </c>
    </row>
    <row r="245" spans="1:3" x14ac:dyDescent="0.25">
      <c r="A245">
        <v>32406</v>
      </c>
      <c r="B245" t="s">
        <v>888</v>
      </c>
      <c r="C245">
        <f>COUNTIFS(Table24[Client ID '#],"&lt;&gt;",Table24[Residence Zip Code],'G - ZIP Code'!A245)</f>
        <v>0</v>
      </c>
    </row>
    <row r="246" spans="1:3" x14ac:dyDescent="0.25">
      <c r="A246">
        <v>32407</v>
      </c>
      <c r="B246" t="s">
        <v>888</v>
      </c>
      <c r="C246">
        <f>COUNTIFS(Table24[Client ID '#],"&lt;&gt;",Table24[Residence Zip Code],'G - ZIP Code'!A246)</f>
        <v>0</v>
      </c>
    </row>
    <row r="247" spans="1:3" x14ac:dyDescent="0.25">
      <c r="A247">
        <v>32408</v>
      </c>
      <c r="B247" t="s">
        <v>888</v>
      </c>
      <c r="C247">
        <f>COUNTIFS(Table24[Client ID '#],"&lt;&gt;",Table24[Residence Zip Code],'G - ZIP Code'!A247)</f>
        <v>0</v>
      </c>
    </row>
    <row r="248" spans="1:3" x14ac:dyDescent="0.25">
      <c r="A248">
        <v>32409</v>
      </c>
      <c r="B248" t="s">
        <v>888</v>
      </c>
      <c r="C248">
        <f>COUNTIFS(Table24[Client ID '#],"&lt;&gt;",Table24[Residence Zip Code],'G - ZIP Code'!A248)</f>
        <v>0</v>
      </c>
    </row>
    <row r="249" spans="1:3" x14ac:dyDescent="0.25">
      <c r="A249">
        <v>32410</v>
      </c>
      <c r="B249" t="s">
        <v>888</v>
      </c>
      <c r="C249">
        <f>COUNTIFS(Table24[Client ID '#],"&lt;&gt;",Table24[Residence Zip Code],'G - ZIP Code'!A249)</f>
        <v>0</v>
      </c>
    </row>
    <row r="250" spans="1:3" x14ac:dyDescent="0.25">
      <c r="A250">
        <v>32411</v>
      </c>
      <c r="B250" t="s">
        <v>888</v>
      </c>
      <c r="C250">
        <f>COUNTIFS(Table24[Client ID '#],"&lt;&gt;",Table24[Residence Zip Code],'G - ZIP Code'!A250)</f>
        <v>0</v>
      </c>
    </row>
    <row r="251" spans="1:3" x14ac:dyDescent="0.25">
      <c r="A251">
        <v>32412</v>
      </c>
      <c r="B251" t="s">
        <v>888</v>
      </c>
      <c r="C251">
        <f>COUNTIFS(Table24[Client ID '#],"&lt;&gt;",Table24[Residence Zip Code],'G - ZIP Code'!A251)</f>
        <v>0</v>
      </c>
    </row>
    <row r="252" spans="1:3" x14ac:dyDescent="0.25">
      <c r="A252">
        <v>32413</v>
      </c>
      <c r="B252" t="s">
        <v>888</v>
      </c>
      <c r="C252">
        <f>COUNTIFS(Table24[Client ID '#],"&lt;&gt;",Table24[Residence Zip Code],'G - ZIP Code'!A252)</f>
        <v>0</v>
      </c>
    </row>
    <row r="253" spans="1:3" x14ac:dyDescent="0.25">
      <c r="A253">
        <v>32417</v>
      </c>
      <c r="B253" t="s">
        <v>888</v>
      </c>
      <c r="C253">
        <f>COUNTIFS(Table24[Client ID '#],"&lt;&gt;",Table24[Residence Zip Code],'G - ZIP Code'!A253)</f>
        <v>0</v>
      </c>
    </row>
    <row r="254" spans="1:3" x14ac:dyDescent="0.25">
      <c r="A254">
        <v>32420</v>
      </c>
      <c r="B254" t="s">
        <v>888</v>
      </c>
      <c r="C254">
        <f>COUNTIFS(Table24[Client ID '#],"&lt;&gt;",Table24[Residence Zip Code],'G - ZIP Code'!A254)</f>
        <v>0</v>
      </c>
    </row>
    <row r="255" spans="1:3" x14ac:dyDescent="0.25">
      <c r="A255">
        <v>32421</v>
      </c>
      <c r="B255" t="s">
        <v>888</v>
      </c>
      <c r="C255">
        <f>COUNTIFS(Table24[Client ID '#],"&lt;&gt;",Table24[Residence Zip Code],'G - ZIP Code'!A255)</f>
        <v>0</v>
      </c>
    </row>
    <row r="256" spans="1:3" x14ac:dyDescent="0.25">
      <c r="A256">
        <v>32422</v>
      </c>
      <c r="B256" t="s">
        <v>888</v>
      </c>
      <c r="C256">
        <f>COUNTIFS(Table24[Client ID '#],"&lt;&gt;",Table24[Residence Zip Code],'G - ZIP Code'!A256)</f>
        <v>0</v>
      </c>
    </row>
    <row r="257" spans="1:3" x14ac:dyDescent="0.25">
      <c r="A257">
        <v>32423</v>
      </c>
      <c r="B257" t="s">
        <v>888</v>
      </c>
      <c r="C257">
        <f>COUNTIFS(Table24[Client ID '#],"&lt;&gt;",Table24[Residence Zip Code],'G - ZIP Code'!A257)</f>
        <v>0</v>
      </c>
    </row>
    <row r="258" spans="1:3" x14ac:dyDescent="0.25">
      <c r="A258">
        <v>32424</v>
      </c>
      <c r="B258" t="s">
        <v>888</v>
      </c>
      <c r="C258">
        <f>COUNTIFS(Table24[Client ID '#],"&lt;&gt;",Table24[Residence Zip Code],'G - ZIP Code'!A258)</f>
        <v>0</v>
      </c>
    </row>
    <row r="259" spans="1:3" x14ac:dyDescent="0.25">
      <c r="A259">
        <v>32425</v>
      </c>
      <c r="B259" t="s">
        <v>888</v>
      </c>
      <c r="C259">
        <f>COUNTIFS(Table24[Client ID '#],"&lt;&gt;",Table24[Residence Zip Code],'G - ZIP Code'!A259)</f>
        <v>0</v>
      </c>
    </row>
    <row r="260" spans="1:3" x14ac:dyDescent="0.25">
      <c r="A260">
        <v>32426</v>
      </c>
      <c r="B260" t="s">
        <v>888</v>
      </c>
      <c r="C260">
        <f>COUNTIFS(Table24[Client ID '#],"&lt;&gt;",Table24[Residence Zip Code],'G - ZIP Code'!A260)</f>
        <v>0</v>
      </c>
    </row>
    <row r="261" spans="1:3" x14ac:dyDescent="0.25">
      <c r="A261">
        <v>32427</v>
      </c>
      <c r="B261" t="s">
        <v>888</v>
      </c>
      <c r="C261">
        <f>COUNTIFS(Table24[Client ID '#],"&lt;&gt;",Table24[Residence Zip Code],'G - ZIP Code'!A261)</f>
        <v>0</v>
      </c>
    </row>
    <row r="262" spans="1:3" x14ac:dyDescent="0.25">
      <c r="A262">
        <v>32428</v>
      </c>
      <c r="B262" t="s">
        <v>888</v>
      </c>
      <c r="C262">
        <f>COUNTIFS(Table24[Client ID '#],"&lt;&gt;",Table24[Residence Zip Code],'G - ZIP Code'!A262)</f>
        <v>0</v>
      </c>
    </row>
    <row r="263" spans="1:3" x14ac:dyDescent="0.25">
      <c r="A263">
        <v>32430</v>
      </c>
      <c r="B263" t="s">
        <v>888</v>
      </c>
      <c r="C263">
        <f>COUNTIFS(Table24[Client ID '#],"&lt;&gt;",Table24[Residence Zip Code],'G - ZIP Code'!A263)</f>
        <v>0</v>
      </c>
    </row>
    <row r="264" spans="1:3" x14ac:dyDescent="0.25">
      <c r="A264">
        <v>32431</v>
      </c>
      <c r="B264" t="s">
        <v>888</v>
      </c>
      <c r="C264">
        <f>COUNTIFS(Table24[Client ID '#],"&lt;&gt;",Table24[Residence Zip Code],'G - ZIP Code'!A264)</f>
        <v>0</v>
      </c>
    </row>
    <row r="265" spans="1:3" x14ac:dyDescent="0.25">
      <c r="A265">
        <v>32432</v>
      </c>
      <c r="B265" t="s">
        <v>888</v>
      </c>
      <c r="C265">
        <f>COUNTIFS(Table24[Client ID '#],"&lt;&gt;",Table24[Residence Zip Code],'G - ZIP Code'!A265)</f>
        <v>0</v>
      </c>
    </row>
    <row r="266" spans="1:3" x14ac:dyDescent="0.25">
      <c r="A266">
        <v>32433</v>
      </c>
      <c r="B266" t="s">
        <v>888</v>
      </c>
      <c r="C266">
        <f>COUNTIFS(Table24[Client ID '#],"&lt;&gt;",Table24[Residence Zip Code],'G - ZIP Code'!A266)</f>
        <v>0</v>
      </c>
    </row>
    <row r="267" spans="1:3" x14ac:dyDescent="0.25">
      <c r="A267">
        <v>32434</v>
      </c>
      <c r="B267" t="s">
        <v>888</v>
      </c>
      <c r="C267">
        <f>COUNTIFS(Table24[Client ID '#],"&lt;&gt;",Table24[Residence Zip Code],'G - ZIP Code'!A267)</f>
        <v>0</v>
      </c>
    </row>
    <row r="268" spans="1:3" x14ac:dyDescent="0.25">
      <c r="A268">
        <v>32435</v>
      </c>
      <c r="B268" t="s">
        <v>888</v>
      </c>
      <c r="C268">
        <f>COUNTIFS(Table24[Client ID '#],"&lt;&gt;",Table24[Residence Zip Code],'G - ZIP Code'!A268)</f>
        <v>0</v>
      </c>
    </row>
    <row r="269" spans="1:3" x14ac:dyDescent="0.25">
      <c r="A269">
        <v>32437</v>
      </c>
      <c r="B269" t="s">
        <v>888</v>
      </c>
      <c r="C269">
        <f>COUNTIFS(Table24[Client ID '#],"&lt;&gt;",Table24[Residence Zip Code],'G - ZIP Code'!A269)</f>
        <v>0</v>
      </c>
    </row>
    <row r="270" spans="1:3" x14ac:dyDescent="0.25">
      <c r="A270">
        <v>32438</v>
      </c>
      <c r="B270" t="s">
        <v>888</v>
      </c>
      <c r="C270">
        <f>COUNTIFS(Table24[Client ID '#],"&lt;&gt;",Table24[Residence Zip Code],'G - ZIP Code'!A270)</f>
        <v>0</v>
      </c>
    </row>
    <row r="271" spans="1:3" x14ac:dyDescent="0.25">
      <c r="A271">
        <v>32439</v>
      </c>
      <c r="B271" t="s">
        <v>888</v>
      </c>
      <c r="C271">
        <f>COUNTIFS(Table24[Client ID '#],"&lt;&gt;",Table24[Residence Zip Code],'G - ZIP Code'!A271)</f>
        <v>0</v>
      </c>
    </row>
    <row r="272" spans="1:3" x14ac:dyDescent="0.25">
      <c r="A272">
        <v>32440</v>
      </c>
      <c r="B272" t="s">
        <v>888</v>
      </c>
      <c r="C272">
        <f>COUNTIFS(Table24[Client ID '#],"&lt;&gt;",Table24[Residence Zip Code],'G - ZIP Code'!A272)</f>
        <v>0</v>
      </c>
    </row>
    <row r="273" spans="1:3" x14ac:dyDescent="0.25">
      <c r="A273">
        <v>32442</v>
      </c>
      <c r="B273" t="s">
        <v>888</v>
      </c>
      <c r="C273">
        <f>COUNTIFS(Table24[Client ID '#],"&lt;&gt;",Table24[Residence Zip Code],'G - ZIP Code'!A273)</f>
        <v>0</v>
      </c>
    </row>
    <row r="274" spans="1:3" x14ac:dyDescent="0.25">
      <c r="A274">
        <v>32443</v>
      </c>
      <c r="B274" t="s">
        <v>888</v>
      </c>
      <c r="C274">
        <f>COUNTIFS(Table24[Client ID '#],"&lt;&gt;",Table24[Residence Zip Code],'G - ZIP Code'!A274)</f>
        <v>0</v>
      </c>
    </row>
    <row r="275" spans="1:3" x14ac:dyDescent="0.25">
      <c r="A275">
        <v>32444</v>
      </c>
      <c r="B275" t="s">
        <v>888</v>
      </c>
      <c r="C275">
        <f>COUNTIFS(Table24[Client ID '#],"&lt;&gt;",Table24[Residence Zip Code],'G - ZIP Code'!A275)</f>
        <v>0</v>
      </c>
    </row>
    <row r="276" spans="1:3" x14ac:dyDescent="0.25">
      <c r="A276">
        <v>32445</v>
      </c>
      <c r="B276" t="s">
        <v>888</v>
      </c>
      <c r="C276">
        <f>COUNTIFS(Table24[Client ID '#],"&lt;&gt;",Table24[Residence Zip Code],'G - ZIP Code'!A276)</f>
        <v>0</v>
      </c>
    </row>
    <row r="277" spans="1:3" x14ac:dyDescent="0.25">
      <c r="A277">
        <v>32446</v>
      </c>
      <c r="B277" t="s">
        <v>888</v>
      </c>
      <c r="C277">
        <f>COUNTIFS(Table24[Client ID '#],"&lt;&gt;",Table24[Residence Zip Code],'G - ZIP Code'!A277)</f>
        <v>0</v>
      </c>
    </row>
    <row r="278" spans="1:3" x14ac:dyDescent="0.25">
      <c r="A278">
        <v>32447</v>
      </c>
      <c r="B278" t="s">
        <v>888</v>
      </c>
      <c r="C278">
        <f>COUNTIFS(Table24[Client ID '#],"&lt;&gt;",Table24[Residence Zip Code],'G - ZIP Code'!A278)</f>
        <v>0</v>
      </c>
    </row>
    <row r="279" spans="1:3" x14ac:dyDescent="0.25">
      <c r="A279">
        <v>32448</v>
      </c>
      <c r="B279" t="s">
        <v>888</v>
      </c>
      <c r="C279">
        <f>COUNTIFS(Table24[Client ID '#],"&lt;&gt;",Table24[Residence Zip Code],'G - ZIP Code'!A279)</f>
        <v>0</v>
      </c>
    </row>
    <row r="280" spans="1:3" x14ac:dyDescent="0.25">
      <c r="A280">
        <v>32449</v>
      </c>
      <c r="B280" t="s">
        <v>888</v>
      </c>
      <c r="C280">
        <f>COUNTIFS(Table24[Client ID '#],"&lt;&gt;",Table24[Residence Zip Code],'G - ZIP Code'!A280)</f>
        <v>0</v>
      </c>
    </row>
    <row r="281" spans="1:3" x14ac:dyDescent="0.25">
      <c r="A281">
        <v>32452</v>
      </c>
      <c r="B281" t="s">
        <v>888</v>
      </c>
      <c r="C281">
        <f>COUNTIFS(Table24[Client ID '#],"&lt;&gt;",Table24[Residence Zip Code],'G - ZIP Code'!A281)</f>
        <v>0</v>
      </c>
    </row>
    <row r="282" spans="1:3" x14ac:dyDescent="0.25">
      <c r="A282">
        <v>32454</v>
      </c>
      <c r="B282" t="s">
        <v>888</v>
      </c>
      <c r="C282">
        <f>COUNTIFS(Table24[Client ID '#],"&lt;&gt;",Table24[Residence Zip Code],'G - ZIP Code'!A282)</f>
        <v>0</v>
      </c>
    </row>
    <row r="283" spans="1:3" x14ac:dyDescent="0.25">
      <c r="A283">
        <v>32455</v>
      </c>
      <c r="B283" t="s">
        <v>888</v>
      </c>
      <c r="C283">
        <f>COUNTIFS(Table24[Client ID '#],"&lt;&gt;",Table24[Residence Zip Code],'G - ZIP Code'!A283)</f>
        <v>0</v>
      </c>
    </row>
    <row r="284" spans="1:3" x14ac:dyDescent="0.25">
      <c r="A284">
        <v>32456</v>
      </c>
      <c r="B284" t="s">
        <v>888</v>
      </c>
      <c r="C284">
        <f>COUNTIFS(Table24[Client ID '#],"&lt;&gt;",Table24[Residence Zip Code],'G - ZIP Code'!A284)</f>
        <v>0</v>
      </c>
    </row>
    <row r="285" spans="1:3" x14ac:dyDescent="0.25">
      <c r="A285">
        <v>32457</v>
      </c>
      <c r="B285" t="s">
        <v>888</v>
      </c>
      <c r="C285">
        <f>COUNTIFS(Table24[Client ID '#],"&lt;&gt;",Table24[Residence Zip Code],'G - ZIP Code'!A285)</f>
        <v>0</v>
      </c>
    </row>
    <row r="286" spans="1:3" x14ac:dyDescent="0.25">
      <c r="A286">
        <v>32459</v>
      </c>
      <c r="B286" t="s">
        <v>888</v>
      </c>
      <c r="C286">
        <f>COUNTIFS(Table24[Client ID '#],"&lt;&gt;",Table24[Residence Zip Code],'G - ZIP Code'!A286)</f>
        <v>0</v>
      </c>
    </row>
    <row r="287" spans="1:3" x14ac:dyDescent="0.25">
      <c r="A287">
        <v>32460</v>
      </c>
      <c r="B287" t="s">
        <v>888</v>
      </c>
      <c r="C287">
        <f>COUNTIFS(Table24[Client ID '#],"&lt;&gt;",Table24[Residence Zip Code],'G - ZIP Code'!A287)</f>
        <v>0</v>
      </c>
    </row>
    <row r="288" spans="1:3" x14ac:dyDescent="0.25">
      <c r="A288">
        <v>32461</v>
      </c>
      <c r="B288" t="s">
        <v>888</v>
      </c>
      <c r="C288">
        <f>COUNTIFS(Table24[Client ID '#],"&lt;&gt;",Table24[Residence Zip Code],'G - ZIP Code'!A288)</f>
        <v>0</v>
      </c>
    </row>
    <row r="289" spans="1:3" x14ac:dyDescent="0.25">
      <c r="A289">
        <v>32462</v>
      </c>
      <c r="B289" t="s">
        <v>888</v>
      </c>
      <c r="C289">
        <f>COUNTIFS(Table24[Client ID '#],"&lt;&gt;",Table24[Residence Zip Code],'G - ZIP Code'!A289)</f>
        <v>0</v>
      </c>
    </row>
    <row r="290" spans="1:3" x14ac:dyDescent="0.25">
      <c r="A290">
        <v>32463</v>
      </c>
      <c r="B290" t="s">
        <v>888</v>
      </c>
      <c r="C290">
        <f>COUNTIFS(Table24[Client ID '#],"&lt;&gt;",Table24[Residence Zip Code],'G - ZIP Code'!A290)</f>
        <v>0</v>
      </c>
    </row>
    <row r="291" spans="1:3" x14ac:dyDescent="0.25">
      <c r="A291">
        <v>32464</v>
      </c>
      <c r="B291" t="s">
        <v>888</v>
      </c>
      <c r="C291">
        <f>COUNTIFS(Table24[Client ID '#],"&lt;&gt;",Table24[Residence Zip Code],'G - ZIP Code'!A291)</f>
        <v>0</v>
      </c>
    </row>
    <row r="292" spans="1:3" x14ac:dyDescent="0.25">
      <c r="A292">
        <v>32465</v>
      </c>
      <c r="B292" t="s">
        <v>888</v>
      </c>
      <c r="C292">
        <f>COUNTIFS(Table24[Client ID '#],"&lt;&gt;",Table24[Residence Zip Code],'G - ZIP Code'!A292)</f>
        <v>0</v>
      </c>
    </row>
    <row r="293" spans="1:3" x14ac:dyDescent="0.25">
      <c r="A293">
        <v>32466</v>
      </c>
      <c r="B293" t="s">
        <v>888</v>
      </c>
      <c r="C293">
        <f>COUNTIFS(Table24[Client ID '#],"&lt;&gt;",Table24[Residence Zip Code],'G - ZIP Code'!A293)</f>
        <v>0</v>
      </c>
    </row>
    <row r="294" spans="1:3" x14ac:dyDescent="0.25">
      <c r="A294">
        <v>32501</v>
      </c>
      <c r="B294" t="s">
        <v>888</v>
      </c>
      <c r="C294">
        <f>COUNTIFS(Table24[Client ID '#],"&lt;&gt;",Table24[Residence Zip Code],'G - ZIP Code'!A294)</f>
        <v>0</v>
      </c>
    </row>
    <row r="295" spans="1:3" x14ac:dyDescent="0.25">
      <c r="A295">
        <v>32502</v>
      </c>
      <c r="B295" t="s">
        <v>888</v>
      </c>
      <c r="C295">
        <f>COUNTIFS(Table24[Client ID '#],"&lt;&gt;",Table24[Residence Zip Code],'G - ZIP Code'!A295)</f>
        <v>0</v>
      </c>
    </row>
    <row r="296" spans="1:3" x14ac:dyDescent="0.25">
      <c r="A296">
        <v>32503</v>
      </c>
      <c r="B296" t="s">
        <v>888</v>
      </c>
      <c r="C296">
        <f>COUNTIFS(Table24[Client ID '#],"&lt;&gt;",Table24[Residence Zip Code],'G - ZIP Code'!A296)</f>
        <v>0</v>
      </c>
    </row>
    <row r="297" spans="1:3" x14ac:dyDescent="0.25">
      <c r="A297">
        <v>32504</v>
      </c>
      <c r="B297" t="s">
        <v>888</v>
      </c>
      <c r="C297">
        <f>COUNTIFS(Table24[Client ID '#],"&lt;&gt;",Table24[Residence Zip Code],'G - ZIP Code'!A297)</f>
        <v>0</v>
      </c>
    </row>
    <row r="298" spans="1:3" x14ac:dyDescent="0.25">
      <c r="A298">
        <v>32505</v>
      </c>
      <c r="B298" t="s">
        <v>888</v>
      </c>
      <c r="C298">
        <f>COUNTIFS(Table24[Client ID '#],"&lt;&gt;",Table24[Residence Zip Code],'G - ZIP Code'!A298)</f>
        <v>0</v>
      </c>
    </row>
    <row r="299" spans="1:3" x14ac:dyDescent="0.25">
      <c r="A299">
        <v>32506</v>
      </c>
      <c r="B299" t="s">
        <v>888</v>
      </c>
      <c r="C299">
        <f>COUNTIFS(Table24[Client ID '#],"&lt;&gt;",Table24[Residence Zip Code],'G - ZIP Code'!A299)</f>
        <v>0</v>
      </c>
    </row>
    <row r="300" spans="1:3" x14ac:dyDescent="0.25">
      <c r="A300">
        <v>32507</v>
      </c>
      <c r="B300" t="s">
        <v>888</v>
      </c>
      <c r="C300">
        <f>COUNTIFS(Table24[Client ID '#],"&lt;&gt;",Table24[Residence Zip Code],'G - ZIP Code'!A300)</f>
        <v>0</v>
      </c>
    </row>
    <row r="301" spans="1:3" x14ac:dyDescent="0.25">
      <c r="A301">
        <v>32508</v>
      </c>
      <c r="B301" t="s">
        <v>888</v>
      </c>
      <c r="C301">
        <f>COUNTIFS(Table24[Client ID '#],"&lt;&gt;",Table24[Residence Zip Code],'G - ZIP Code'!A301)</f>
        <v>0</v>
      </c>
    </row>
    <row r="302" spans="1:3" x14ac:dyDescent="0.25">
      <c r="A302">
        <v>32509</v>
      </c>
      <c r="B302" t="s">
        <v>888</v>
      </c>
      <c r="C302">
        <f>COUNTIFS(Table24[Client ID '#],"&lt;&gt;",Table24[Residence Zip Code],'G - ZIP Code'!A302)</f>
        <v>0</v>
      </c>
    </row>
    <row r="303" spans="1:3" x14ac:dyDescent="0.25">
      <c r="A303">
        <v>32511</v>
      </c>
      <c r="B303" t="s">
        <v>888</v>
      </c>
      <c r="C303">
        <f>COUNTIFS(Table24[Client ID '#],"&lt;&gt;",Table24[Residence Zip Code],'G - ZIP Code'!A303)</f>
        <v>0</v>
      </c>
    </row>
    <row r="304" spans="1:3" x14ac:dyDescent="0.25">
      <c r="A304">
        <v>32512</v>
      </c>
      <c r="B304" t="s">
        <v>888</v>
      </c>
      <c r="C304">
        <f>COUNTIFS(Table24[Client ID '#],"&lt;&gt;",Table24[Residence Zip Code],'G - ZIP Code'!A304)</f>
        <v>0</v>
      </c>
    </row>
    <row r="305" spans="1:3" x14ac:dyDescent="0.25">
      <c r="A305">
        <v>32513</v>
      </c>
      <c r="B305" t="s">
        <v>888</v>
      </c>
      <c r="C305">
        <f>COUNTIFS(Table24[Client ID '#],"&lt;&gt;",Table24[Residence Zip Code],'G - ZIP Code'!A305)</f>
        <v>0</v>
      </c>
    </row>
    <row r="306" spans="1:3" x14ac:dyDescent="0.25">
      <c r="A306">
        <v>32514</v>
      </c>
      <c r="B306" t="s">
        <v>888</v>
      </c>
      <c r="C306">
        <f>COUNTIFS(Table24[Client ID '#],"&lt;&gt;",Table24[Residence Zip Code],'G - ZIP Code'!A306)</f>
        <v>0</v>
      </c>
    </row>
    <row r="307" spans="1:3" x14ac:dyDescent="0.25">
      <c r="A307">
        <v>32516</v>
      </c>
      <c r="B307" t="s">
        <v>888</v>
      </c>
      <c r="C307">
        <f>COUNTIFS(Table24[Client ID '#],"&lt;&gt;",Table24[Residence Zip Code],'G - ZIP Code'!A307)</f>
        <v>0</v>
      </c>
    </row>
    <row r="308" spans="1:3" x14ac:dyDescent="0.25">
      <c r="A308">
        <v>32520</v>
      </c>
      <c r="B308" t="s">
        <v>888</v>
      </c>
      <c r="C308">
        <f>COUNTIFS(Table24[Client ID '#],"&lt;&gt;",Table24[Residence Zip Code],'G - ZIP Code'!A308)</f>
        <v>0</v>
      </c>
    </row>
    <row r="309" spans="1:3" x14ac:dyDescent="0.25">
      <c r="A309">
        <v>32521</v>
      </c>
      <c r="B309" t="s">
        <v>888</v>
      </c>
      <c r="C309">
        <f>COUNTIFS(Table24[Client ID '#],"&lt;&gt;",Table24[Residence Zip Code],'G - ZIP Code'!A309)</f>
        <v>0</v>
      </c>
    </row>
    <row r="310" spans="1:3" x14ac:dyDescent="0.25">
      <c r="A310">
        <v>32522</v>
      </c>
      <c r="B310" t="s">
        <v>888</v>
      </c>
      <c r="C310">
        <f>COUNTIFS(Table24[Client ID '#],"&lt;&gt;",Table24[Residence Zip Code],'G - ZIP Code'!A310)</f>
        <v>0</v>
      </c>
    </row>
    <row r="311" spans="1:3" x14ac:dyDescent="0.25">
      <c r="A311">
        <v>32523</v>
      </c>
      <c r="B311" t="s">
        <v>888</v>
      </c>
      <c r="C311">
        <f>COUNTIFS(Table24[Client ID '#],"&lt;&gt;",Table24[Residence Zip Code],'G - ZIP Code'!A311)</f>
        <v>0</v>
      </c>
    </row>
    <row r="312" spans="1:3" x14ac:dyDescent="0.25">
      <c r="A312">
        <v>32524</v>
      </c>
      <c r="B312" t="s">
        <v>888</v>
      </c>
      <c r="C312">
        <f>COUNTIFS(Table24[Client ID '#],"&lt;&gt;",Table24[Residence Zip Code],'G - ZIP Code'!A312)</f>
        <v>0</v>
      </c>
    </row>
    <row r="313" spans="1:3" x14ac:dyDescent="0.25">
      <c r="A313">
        <v>32526</v>
      </c>
      <c r="B313" t="s">
        <v>888</v>
      </c>
      <c r="C313">
        <f>COUNTIFS(Table24[Client ID '#],"&lt;&gt;",Table24[Residence Zip Code],'G - ZIP Code'!A313)</f>
        <v>0</v>
      </c>
    </row>
    <row r="314" spans="1:3" x14ac:dyDescent="0.25">
      <c r="A314">
        <v>32530</v>
      </c>
      <c r="B314" t="s">
        <v>888</v>
      </c>
      <c r="C314">
        <f>COUNTIFS(Table24[Client ID '#],"&lt;&gt;",Table24[Residence Zip Code],'G - ZIP Code'!A314)</f>
        <v>0</v>
      </c>
    </row>
    <row r="315" spans="1:3" x14ac:dyDescent="0.25">
      <c r="A315">
        <v>32531</v>
      </c>
      <c r="B315" t="s">
        <v>888</v>
      </c>
      <c r="C315">
        <f>COUNTIFS(Table24[Client ID '#],"&lt;&gt;",Table24[Residence Zip Code],'G - ZIP Code'!A315)</f>
        <v>0</v>
      </c>
    </row>
    <row r="316" spans="1:3" x14ac:dyDescent="0.25">
      <c r="A316">
        <v>32533</v>
      </c>
      <c r="B316" t="s">
        <v>888</v>
      </c>
      <c r="C316">
        <f>COUNTIFS(Table24[Client ID '#],"&lt;&gt;",Table24[Residence Zip Code],'G - ZIP Code'!A316)</f>
        <v>0</v>
      </c>
    </row>
    <row r="317" spans="1:3" x14ac:dyDescent="0.25">
      <c r="A317">
        <v>32534</v>
      </c>
      <c r="B317" t="s">
        <v>888</v>
      </c>
      <c r="C317">
        <f>COUNTIFS(Table24[Client ID '#],"&lt;&gt;",Table24[Residence Zip Code],'G - ZIP Code'!A317)</f>
        <v>0</v>
      </c>
    </row>
    <row r="318" spans="1:3" x14ac:dyDescent="0.25">
      <c r="A318">
        <v>32535</v>
      </c>
      <c r="B318" t="s">
        <v>888</v>
      </c>
      <c r="C318">
        <f>COUNTIFS(Table24[Client ID '#],"&lt;&gt;",Table24[Residence Zip Code],'G - ZIP Code'!A318)</f>
        <v>0</v>
      </c>
    </row>
    <row r="319" spans="1:3" x14ac:dyDescent="0.25">
      <c r="A319">
        <v>32536</v>
      </c>
      <c r="B319" t="s">
        <v>888</v>
      </c>
      <c r="C319">
        <f>COUNTIFS(Table24[Client ID '#],"&lt;&gt;",Table24[Residence Zip Code],'G - ZIP Code'!A319)</f>
        <v>0</v>
      </c>
    </row>
    <row r="320" spans="1:3" x14ac:dyDescent="0.25">
      <c r="A320">
        <v>32537</v>
      </c>
      <c r="B320" t="s">
        <v>888</v>
      </c>
      <c r="C320">
        <f>COUNTIFS(Table24[Client ID '#],"&lt;&gt;",Table24[Residence Zip Code],'G - ZIP Code'!A320)</f>
        <v>0</v>
      </c>
    </row>
    <row r="321" spans="1:3" x14ac:dyDescent="0.25">
      <c r="A321">
        <v>32538</v>
      </c>
      <c r="B321" t="s">
        <v>888</v>
      </c>
      <c r="C321">
        <f>COUNTIFS(Table24[Client ID '#],"&lt;&gt;",Table24[Residence Zip Code],'G - ZIP Code'!A321)</f>
        <v>0</v>
      </c>
    </row>
    <row r="322" spans="1:3" x14ac:dyDescent="0.25">
      <c r="A322">
        <v>32539</v>
      </c>
      <c r="B322" t="s">
        <v>888</v>
      </c>
      <c r="C322">
        <f>COUNTIFS(Table24[Client ID '#],"&lt;&gt;",Table24[Residence Zip Code],'G - ZIP Code'!A322)</f>
        <v>0</v>
      </c>
    </row>
    <row r="323" spans="1:3" x14ac:dyDescent="0.25">
      <c r="A323">
        <v>32540</v>
      </c>
      <c r="B323" t="s">
        <v>888</v>
      </c>
      <c r="C323">
        <f>COUNTIFS(Table24[Client ID '#],"&lt;&gt;",Table24[Residence Zip Code],'G - ZIP Code'!A323)</f>
        <v>0</v>
      </c>
    </row>
    <row r="324" spans="1:3" x14ac:dyDescent="0.25">
      <c r="A324">
        <v>32541</v>
      </c>
      <c r="B324" t="s">
        <v>888</v>
      </c>
      <c r="C324">
        <f>COUNTIFS(Table24[Client ID '#],"&lt;&gt;",Table24[Residence Zip Code],'G - ZIP Code'!A324)</f>
        <v>0</v>
      </c>
    </row>
    <row r="325" spans="1:3" x14ac:dyDescent="0.25">
      <c r="A325">
        <v>32542</v>
      </c>
      <c r="B325" t="s">
        <v>888</v>
      </c>
      <c r="C325">
        <f>COUNTIFS(Table24[Client ID '#],"&lt;&gt;",Table24[Residence Zip Code],'G - ZIP Code'!A325)</f>
        <v>0</v>
      </c>
    </row>
    <row r="326" spans="1:3" x14ac:dyDescent="0.25">
      <c r="A326">
        <v>32544</v>
      </c>
      <c r="B326" t="s">
        <v>888</v>
      </c>
      <c r="C326">
        <f>COUNTIFS(Table24[Client ID '#],"&lt;&gt;",Table24[Residence Zip Code],'G - ZIP Code'!A326)</f>
        <v>0</v>
      </c>
    </row>
    <row r="327" spans="1:3" x14ac:dyDescent="0.25">
      <c r="A327">
        <v>32547</v>
      </c>
      <c r="B327" t="s">
        <v>888</v>
      </c>
      <c r="C327">
        <f>COUNTIFS(Table24[Client ID '#],"&lt;&gt;",Table24[Residence Zip Code],'G - ZIP Code'!A327)</f>
        <v>0</v>
      </c>
    </row>
    <row r="328" spans="1:3" x14ac:dyDescent="0.25">
      <c r="A328">
        <v>32548</v>
      </c>
      <c r="B328" t="s">
        <v>888</v>
      </c>
      <c r="C328">
        <f>COUNTIFS(Table24[Client ID '#],"&lt;&gt;",Table24[Residence Zip Code],'G - ZIP Code'!A328)</f>
        <v>0</v>
      </c>
    </row>
    <row r="329" spans="1:3" x14ac:dyDescent="0.25">
      <c r="A329">
        <v>32549</v>
      </c>
      <c r="B329" t="s">
        <v>888</v>
      </c>
      <c r="C329">
        <f>COUNTIFS(Table24[Client ID '#],"&lt;&gt;",Table24[Residence Zip Code],'G - ZIP Code'!A329)</f>
        <v>0</v>
      </c>
    </row>
    <row r="330" spans="1:3" x14ac:dyDescent="0.25">
      <c r="A330">
        <v>32550</v>
      </c>
      <c r="B330" t="s">
        <v>888</v>
      </c>
      <c r="C330">
        <f>COUNTIFS(Table24[Client ID '#],"&lt;&gt;",Table24[Residence Zip Code],'G - ZIP Code'!A330)</f>
        <v>0</v>
      </c>
    </row>
    <row r="331" spans="1:3" x14ac:dyDescent="0.25">
      <c r="A331">
        <v>32559</v>
      </c>
      <c r="B331" t="s">
        <v>888</v>
      </c>
      <c r="C331">
        <f>COUNTIFS(Table24[Client ID '#],"&lt;&gt;",Table24[Residence Zip Code],'G - ZIP Code'!A331)</f>
        <v>0</v>
      </c>
    </row>
    <row r="332" spans="1:3" x14ac:dyDescent="0.25">
      <c r="A332">
        <v>32560</v>
      </c>
      <c r="B332" t="s">
        <v>888</v>
      </c>
      <c r="C332">
        <f>COUNTIFS(Table24[Client ID '#],"&lt;&gt;",Table24[Residence Zip Code],'G - ZIP Code'!A332)</f>
        <v>0</v>
      </c>
    </row>
    <row r="333" spans="1:3" x14ac:dyDescent="0.25">
      <c r="A333">
        <v>32561</v>
      </c>
      <c r="B333" t="s">
        <v>888</v>
      </c>
      <c r="C333">
        <f>COUNTIFS(Table24[Client ID '#],"&lt;&gt;",Table24[Residence Zip Code],'G - ZIP Code'!A333)</f>
        <v>0</v>
      </c>
    </row>
    <row r="334" spans="1:3" x14ac:dyDescent="0.25">
      <c r="A334">
        <v>32562</v>
      </c>
      <c r="B334" t="s">
        <v>888</v>
      </c>
      <c r="C334">
        <f>COUNTIFS(Table24[Client ID '#],"&lt;&gt;",Table24[Residence Zip Code],'G - ZIP Code'!A334)</f>
        <v>0</v>
      </c>
    </row>
    <row r="335" spans="1:3" x14ac:dyDescent="0.25">
      <c r="A335">
        <v>32563</v>
      </c>
      <c r="B335" t="s">
        <v>888</v>
      </c>
      <c r="C335">
        <f>COUNTIFS(Table24[Client ID '#],"&lt;&gt;",Table24[Residence Zip Code],'G - ZIP Code'!A335)</f>
        <v>0</v>
      </c>
    </row>
    <row r="336" spans="1:3" x14ac:dyDescent="0.25">
      <c r="A336">
        <v>32564</v>
      </c>
      <c r="B336" t="s">
        <v>888</v>
      </c>
      <c r="C336">
        <f>COUNTIFS(Table24[Client ID '#],"&lt;&gt;",Table24[Residence Zip Code],'G - ZIP Code'!A336)</f>
        <v>0</v>
      </c>
    </row>
    <row r="337" spans="1:3" x14ac:dyDescent="0.25">
      <c r="A337">
        <v>32565</v>
      </c>
      <c r="B337" t="s">
        <v>888</v>
      </c>
      <c r="C337">
        <f>COUNTIFS(Table24[Client ID '#],"&lt;&gt;",Table24[Residence Zip Code],'G - ZIP Code'!A337)</f>
        <v>0</v>
      </c>
    </row>
    <row r="338" spans="1:3" x14ac:dyDescent="0.25">
      <c r="A338">
        <v>32566</v>
      </c>
      <c r="B338" t="s">
        <v>888</v>
      </c>
      <c r="C338">
        <f>COUNTIFS(Table24[Client ID '#],"&lt;&gt;",Table24[Residence Zip Code],'G - ZIP Code'!A338)</f>
        <v>0</v>
      </c>
    </row>
    <row r="339" spans="1:3" x14ac:dyDescent="0.25">
      <c r="A339">
        <v>32567</v>
      </c>
      <c r="B339" t="s">
        <v>888</v>
      </c>
      <c r="C339">
        <f>COUNTIFS(Table24[Client ID '#],"&lt;&gt;",Table24[Residence Zip Code],'G - ZIP Code'!A339)</f>
        <v>0</v>
      </c>
    </row>
    <row r="340" spans="1:3" x14ac:dyDescent="0.25">
      <c r="A340">
        <v>32568</v>
      </c>
      <c r="B340" t="s">
        <v>888</v>
      </c>
      <c r="C340">
        <f>COUNTIFS(Table24[Client ID '#],"&lt;&gt;",Table24[Residence Zip Code],'G - ZIP Code'!A340)</f>
        <v>0</v>
      </c>
    </row>
    <row r="341" spans="1:3" x14ac:dyDescent="0.25">
      <c r="A341">
        <v>32569</v>
      </c>
      <c r="B341" t="s">
        <v>888</v>
      </c>
      <c r="C341">
        <f>COUNTIFS(Table24[Client ID '#],"&lt;&gt;",Table24[Residence Zip Code],'G - ZIP Code'!A341)</f>
        <v>0</v>
      </c>
    </row>
    <row r="342" spans="1:3" x14ac:dyDescent="0.25">
      <c r="A342">
        <v>32570</v>
      </c>
      <c r="B342" t="s">
        <v>888</v>
      </c>
      <c r="C342">
        <f>COUNTIFS(Table24[Client ID '#],"&lt;&gt;",Table24[Residence Zip Code],'G - ZIP Code'!A342)</f>
        <v>0</v>
      </c>
    </row>
    <row r="343" spans="1:3" x14ac:dyDescent="0.25">
      <c r="A343">
        <v>32571</v>
      </c>
      <c r="B343" t="s">
        <v>888</v>
      </c>
      <c r="C343">
        <f>COUNTIFS(Table24[Client ID '#],"&lt;&gt;",Table24[Residence Zip Code],'G - ZIP Code'!A343)</f>
        <v>0</v>
      </c>
    </row>
    <row r="344" spans="1:3" x14ac:dyDescent="0.25">
      <c r="A344">
        <v>32572</v>
      </c>
      <c r="B344" t="s">
        <v>888</v>
      </c>
      <c r="C344">
        <f>COUNTIFS(Table24[Client ID '#],"&lt;&gt;",Table24[Residence Zip Code],'G - ZIP Code'!A344)</f>
        <v>0</v>
      </c>
    </row>
    <row r="345" spans="1:3" x14ac:dyDescent="0.25">
      <c r="A345">
        <v>32577</v>
      </c>
      <c r="B345" t="s">
        <v>888</v>
      </c>
      <c r="C345">
        <f>COUNTIFS(Table24[Client ID '#],"&lt;&gt;",Table24[Residence Zip Code],'G - ZIP Code'!A345)</f>
        <v>0</v>
      </c>
    </row>
    <row r="346" spans="1:3" x14ac:dyDescent="0.25">
      <c r="A346">
        <v>32578</v>
      </c>
      <c r="B346" t="s">
        <v>888</v>
      </c>
      <c r="C346">
        <f>COUNTIFS(Table24[Client ID '#],"&lt;&gt;",Table24[Residence Zip Code],'G - ZIP Code'!A346)</f>
        <v>0</v>
      </c>
    </row>
    <row r="347" spans="1:3" x14ac:dyDescent="0.25">
      <c r="A347">
        <v>32579</v>
      </c>
      <c r="B347" t="s">
        <v>888</v>
      </c>
      <c r="C347">
        <f>COUNTIFS(Table24[Client ID '#],"&lt;&gt;",Table24[Residence Zip Code],'G - ZIP Code'!A347)</f>
        <v>0</v>
      </c>
    </row>
    <row r="348" spans="1:3" x14ac:dyDescent="0.25">
      <c r="A348">
        <v>32580</v>
      </c>
      <c r="B348" t="s">
        <v>888</v>
      </c>
      <c r="C348">
        <f>COUNTIFS(Table24[Client ID '#],"&lt;&gt;",Table24[Residence Zip Code],'G - ZIP Code'!A348)</f>
        <v>0</v>
      </c>
    </row>
    <row r="349" spans="1:3" x14ac:dyDescent="0.25">
      <c r="A349">
        <v>32583</v>
      </c>
      <c r="B349" t="s">
        <v>888</v>
      </c>
      <c r="C349">
        <f>COUNTIFS(Table24[Client ID '#],"&lt;&gt;",Table24[Residence Zip Code],'G - ZIP Code'!A349)</f>
        <v>0</v>
      </c>
    </row>
    <row r="350" spans="1:3" x14ac:dyDescent="0.25">
      <c r="A350">
        <v>32588</v>
      </c>
      <c r="B350" t="s">
        <v>888</v>
      </c>
      <c r="C350">
        <f>COUNTIFS(Table24[Client ID '#],"&lt;&gt;",Table24[Residence Zip Code],'G - ZIP Code'!A350)</f>
        <v>0</v>
      </c>
    </row>
    <row r="351" spans="1:3" x14ac:dyDescent="0.25">
      <c r="A351">
        <v>32590</v>
      </c>
      <c r="B351" t="s">
        <v>888</v>
      </c>
      <c r="C351">
        <f>COUNTIFS(Table24[Client ID '#],"&lt;&gt;",Table24[Residence Zip Code],'G - ZIP Code'!A351)</f>
        <v>0</v>
      </c>
    </row>
    <row r="352" spans="1:3" x14ac:dyDescent="0.25">
      <c r="A352">
        <v>32591</v>
      </c>
      <c r="B352" t="s">
        <v>888</v>
      </c>
      <c r="C352">
        <f>COUNTIFS(Table24[Client ID '#],"&lt;&gt;",Table24[Residence Zip Code],'G - ZIP Code'!A352)</f>
        <v>0</v>
      </c>
    </row>
    <row r="353" spans="1:3" x14ac:dyDescent="0.25">
      <c r="A353">
        <v>32592</v>
      </c>
      <c r="B353" t="s">
        <v>888</v>
      </c>
      <c r="C353">
        <f>COUNTIFS(Table24[Client ID '#],"&lt;&gt;",Table24[Residence Zip Code],'G - ZIP Code'!A353)</f>
        <v>0</v>
      </c>
    </row>
    <row r="354" spans="1:3" x14ac:dyDescent="0.25">
      <c r="A354">
        <v>32601</v>
      </c>
      <c r="B354" t="s">
        <v>888</v>
      </c>
      <c r="C354">
        <f>COUNTIFS(Table24[Client ID '#],"&lt;&gt;",Table24[Residence Zip Code],'G - ZIP Code'!A354)</f>
        <v>0</v>
      </c>
    </row>
    <row r="355" spans="1:3" x14ac:dyDescent="0.25">
      <c r="A355">
        <v>32602</v>
      </c>
      <c r="B355" t="s">
        <v>888</v>
      </c>
      <c r="C355">
        <f>COUNTIFS(Table24[Client ID '#],"&lt;&gt;",Table24[Residence Zip Code],'G - ZIP Code'!A355)</f>
        <v>0</v>
      </c>
    </row>
    <row r="356" spans="1:3" x14ac:dyDescent="0.25">
      <c r="A356">
        <v>32603</v>
      </c>
      <c r="B356" t="s">
        <v>888</v>
      </c>
      <c r="C356">
        <f>COUNTIFS(Table24[Client ID '#],"&lt;&gt;",Table24[Residence Zip Code],'G - ZIP Code'!A356)</f>
        <v>0</v>
      </c>
    </row>
    <row r="357" spans="1:3" x14ac:dyDescent="0.25">
      <c r="A357">
        <v>32604</v>
      </c>
      <c r="B357" t="s">
        <v>888</v>
      </c>
      <c r="C357">
        <f>COUNTIFS(Table24[Client ID '#],"&lt;&gt;",Table24[Residence Zip Code],'G - ZIP Code'!A357)</f>
        <v>0</v>
      </c>
    </row>
    <row r="358" spans="1:3" x14ac:dyDescent="0.25">
      <c r="A358">
        <v>32605</v>
      </c>
      <c r="B358" t="s">
        <v>888</v>
      </c>
      <c r="C358">
        <f>COUNTIFS(Table24[Client ID '#],"&lt;&gt;",Table24[Residence Zip Code],'G - ZIP Code'!A358)</f>
        <v>0</v>
      </c>
    </row>
    <row r="359" spans="1:3" x14ac:dyDescent="0.25">
      <c r="A359">
        <v>32606</v>
      </c>
      <c r="B359" t="s">
        <v>888</v>
      </c>
      <c r="C359">
        <f>COUNTIFS(Table24[Client ID '#],"&lt;&gt;",Table24[Residence Zip Code],'G - ZIP Code'!A359)</f>
        <v>0</v>
      </c>
    </row>
    <row r="360" spans="1:3" x14ac:dyDescent="0.25">
      <c r="A360">
        <v>32607</v>
      </c>
      <c r="B360" t="s">
        <v>888</v>
      </c>
      <c r="C360">
        <f>COUNTIFS(Table24[Client ID '#],"&lt;&gt;",Table24[Residence Zip Code],'G - ZIP Code'!A360)</f>
        <v>0</v>
      </c>
    </row>
    <row r="361" spans="1:3" x14ac:dyDescent="0.25">
      <c r="A361">
        <v>32608</v>
      </c>
      <c r="B361" t="s">
        <v>888</v>
      </c>
      <c r="C361">
        <f>COUNTIFS(Table24[Client ID '#],"&lt;&gt;",Table24[Residence Zip Code],'G - ZIP Code'!A361)</f>
        <v>0</v>
      </c>
    </row>
    <row r="362" spans="1:3" x14ac:dyDescent="0.25">
      <c r="A362">
        <v>32609</v>
      </c>
      <c r="B362" t="s">
        <v>888</v>
      </c>
      <c r="C362">
        <f>COUNTIFS(Table24[Client ID '#],"&lt;&gt;",Table24[Residence Zip Code],'G - ZIP Code'!A362)</f>
        <v>0</v>
      </c>
    </row>
    <row r="363" spans="1:3" x14ac:dyDescent="0.25">
      <c r="A363">
        <v>32610</v>
      </c>
      <c r="B363" t="s">
        <v>888</v>
      </c>
      <c r="C363">
        <f>COUNTIFS(Table24[Client ID '#],"&lt;&gt;",Table24[Residence Zip Code],'G - ZIP Code'!A363)</f>
        <v>0</v>
      </c>
    </row>
    <row r="364" spans="1:3" x14ac:dyDescent="0.25">
      <c r="A364">
        <v>32611</v>
      </c>
      <c r="B364" t="s">
        <v>888</v>
      </c>
      <c r="C364">
        <f>COUNTIFS(Table24[Client ID '#],"&lt;&gt;",Table24[Residence Zip Code],'G - ZIP Code'!A364)</f>
        <v>0</v>
      </c>
    </row>
    <row r="365" spans="1:3" x14ac:dyDescent="0.25">
      <c r="A365">
        <v>32612</v>
      </c>
      <c r="B365" t="s">
        <v>888</v>
      </c>
      <c r="C365">
        <f>COUNTIFS(Table24[Client ID '#],"&lt;&gt;",Table24[Residence Zip Code],'G - ZIP Code'!A365)</f>
        <v>0</v>
      </c>
    </row>
    <row r="366" spans="1:3" x14ac:dyDescent="0.25">
      <c r="A366">
        <v>32613</v>
      </c>
      <c r="B366" t="s">
        <v>888</v>
      </c>
      <c r="C366">
        <f>COUNTIFS(Table24[Client ID '#],"&lt;&gt;",Table24[Residence Zip Code],'G - ZIP Code'!A366)</f>
        <v>0</v>
      </c>
    </row>
    <row r="367" spans="1:3" x14ac:dyDescent="0.25">
      <c r="A367">
        <v>32614</v>
      </c>
      <c r="B367" t="s">
        <v>888</v>
      </c>
      <c r="C367">
        <f>COUNTIFS(Table24[Client ID '#],"&lt;&gt;",Table24[Residence Zip Code],'G - ZIP Code'!A367)</f>
        <v>0</v>
      </c>
    </row>
    <row r="368" spans="1:3" x14ac:dyDescent="0.25">
      <c r="A368">
        <v>32615</v>
      </c>
      <c r="B368" t="s">
        <v>888</v>
      </c>
      <c r="C368">
        <f>COUNTIFS(Table24[Client ID '#],"&lt;&gt;",Table24[Residence Zip Code],'G - ZIP Code'!A368)</f>
        <v>0</v>
      </c>
    </row>
    <row r="369" spans="1:3" x14ac:dyDescent="0.25">
      <c r="A369">
        <v>32616</v>
      </c>
      <c r="B369" t="s">
        <v>888</v>
      </c>
      <c r="C369">
        <f>COUNTIFS(Table24[Client ID '#],"&lt;&gt;",Table24[Residence Zip Code],'G - ZIP Code'!A369)</f>
        <v>0</v>
      </c>
    </row>
    <row r="370" spans="1:3" x14ac:dyDescent="0.25">
      <c r="A370">
        <v>32617</v>
      </c>
      <c r="B370" t="s">
        <v>888</v>
      </c>
      <c r="C370">
        <f>COUNTIFS(Table24[Client ID '#],"&lt;&gt;",Table24[Residence Zip Code],'G - ZIP Code'!A370)</f>
        <v>0</v>
      </c>
    </row>
    <row r="371" spans="1:3" x14ac:dyDescent="0.25">
      <c r="A371">
        <v>32618</v>
      </c>
      <c r="B371" t="s">
        <v>888</v>
      </c>
      <c r="C371">
        <f>COUNTIFS(Table24[Client ID '#],"&lt;&gt;",Table24[Residence Zip Code],'G - ZIP Code'!A371)</f>
        <v>0</v>
      </c>
    </row>
    <row r="372" spans="1:3" x14ac:dyDescent="0.25">
      <c r="A372">
        <v>32619</v>
      </c>
      <c r="B372" t="s">
        <v>888</v>
      </c>
      <c r="C372">
        <f>COUNTIFS(Table24[Client ID '#],"&lt;&gt;",Table24[Residence Zip Code],'G - ZIP Code'!A372)</f>
        <v>0</v>
      </c>
    </row>
    <row r="373" spans="1:3" x14ac:dyDescent="0.25">
      <c r="A373">
        <v>32621</v>
      </c>
      <c r="B373" t="s">
        <v>888</v>
      </c>
      <c r="C373">
        <f>COUNTIFS(Table24[Client ID '#],"&lt;&gt;",Table24[Residence Zip Code],'G - ZIP Code'!A373)</f>
        <v>0</v>
      </c>
    </row>
    <row r="374" spans="1:3" x14ac:dyDescent="0.25">
      <c r="A374">
        <v>32622</v>
      </c>
      <c r="B374" t="s">
        <v>888</v>
      </c>
      <c r="C374">
        <f>COUNTIFS(Table24[Client ID '#],"&lt;&gt;",Table24[Residence Zip Code],'G - ZIP Code'!A374)</f>
        <v>0</v>
      </c>
    </row>
    <row r="375" spans="1:3" x14ac:dyDescent="0.25">
      <c r="A375">
        <v>32625</v>
      </c>
      <c r="B375" t="s">
        <v>888</v>
      </c>
      <c r="C375">
        <f>COUNTIFS(Table24[Client ID '#],"&lt;&gt;",Table24[Residence Zip Code],'G - ZIP Code'!A375)</f>
        <v>0</v>
      </c>
    </row>
    <row r="376" spans="1:3" x14ac:dyDescent="0.25">
      <c r="A376">
        <v>32626</v>
      </c>
      <c r="B376" t="s">
        <v>888</v>
      </c>
      <c r="C376">
        <f>COUNTIFS(Table24[Client ID '#],"&lt;&gt;",Table24[Residence Zip Code],'G - ZIP Code'!A376)</f>
        <v>0</v>
      </c>
    </row>
    <row r="377" spans="1:3" x14ac:dyDescent="0.25">
      <c r="A377">
        <v>32627</v>
      </c>
      <c r="B377" t="s">
        <v>888</v>
      </c>
      <c r="C377">
        <f>COUNTIFS(Table24[Client ID '#],"&lt;&gt;",Table24[Residence Zip Code],'G - ZIP Code'!A377)</f>
        <v>0</v>
      </c>
    </row>
    <row r="378" spans="1:3" x14ac:dyDescent="0.25">
      <c r="A378">
        <v>32628</v>
      </c>
      <c r="B378" t="s">
        <v>888</v>
      </c>
      <c r="C378">
        <f>COUNTIFS(Table24[Client ID '#],"&lt;&gt;",Table24[Residence Zip Code],'G - ZIP Code'!A378)</f>
        <v>0</v>
      </c>
    </row>
    <row r="379" spans="1:3" x14ac:dyDescent="0.25">
      <c r="A379">
        <v>32631</v>
      </c>
      <c r="B379" t="s">
        <v>888</v>
      </c>
      <c r="C379">
        <f>COUNTIFS(Table24[Client ID '#],"&lt;&gt;",Table24[Residence Zip Code],'G - ZIP Code'!A379)</f>
        <v>0</v>
      </c>
    </row>
    <row r="380" spans="1:3" x14ac:dyDescent="0.25">
      <c r="A380">
        <v>32633</v>
      </c>
      <c r="B380" t="s">
        <v>888</v>
      </c>
      <c r="C380">
        <f>COUNTIFS(Table24[Client ID '#],"&lt;&gt;",Table24[Residence Zip Code],'G - ZIP Code'!A380)</f>
        <v>0</v>
      </c>
    </row>
    <row r="381" spans="1:3" x14ac:dyDescent="0.25">
      <c r="A381">
        <v>32634</v>
      </c>
      <c r="B381" t="s">
        <v>888</v>
      </c>
      <c r="C381">
        <f>COUNTIFS(Table24[Client ID '#],"&lt;&gt;",Table24[Residence Zip Code],'G - ZIP Code'!A381)</f>
        <v>0</v>
      </c>
    </row>
    <row r="382" spans="1:3" x14ac:dyDescent="0.25">
      <c r="A382">
        <v>32635</v>
      </c>
      <c r="B382" t="s">
        <v>888</v>
      </c>
      <c r="C382">
        <f>COUNTIFS(Table24[Client ID '#],"&lt;&gt;",Table24[Residence Zip Code],'G - ZIP Code'!A382)</f>
        <v>0</v>
      </c>
    </row>
    <row r="383" spans="1:3" x14ac:dyDescent="0.25">
      <c r="A383">
        <v>32639</v>
      </c>
      <c r="B383" t="s">
        <v>888</v>
      </c>
      <c r="C383">
        <f>COUNTIFS(Table24[Client ID '#],"&lt;&gt;",Table24[Residence Zip Code],'G - ZIP Code'!A383)</f>
        <v>0</v>
      </c>
    </row>
    <row r="384" spans="1:3" x14ac:dyDescent="0.25">
      <c r="A384">
        <v>32640</v>
      </c>
      <c r="B384" t="s">
        <v>888</v>
      </c>
      <c r="C384">
        <f>COUNTIFS(Table24[Client ID '#],"&lt;&gt;",Table24[Residence Zip Code],'G - ZIP Code'!A384)</f>
        <v>0</v>
      </c>
    </row>
    <row r="385" spans="1:3" x14ac:dyDescent="0.25">
      <c r="A385">
        <v>32641</v>
      </c>
      <c r="B385" t="s">
        <v>888</v>
      </c>
      <c r="C385">
        <f>COUNTIFS(Table24[Client ID '#],"&lt;&gt;",Table24[Residence Zip Code],'G - ZIP Code'!A385)</f>
        <v>0</v>
      </c>
    </row>
    <row r="386" spans="1:3" x14ac:dyDescent="0.25">
      <c r="A386">
        <v>32643</v>
      </c>
      <c r="B386" t="s">
        <v>888</v>
      </c>
      <c r="C386">
        <f>COUNTIFS(Table24[Client ID '#],"&lt;&gt;",Table24[Residence Zip Code],'G - ZIP Code'!A386)</f>
        <v>0</v>
      </c>
    </row>
    <row r="387" spans="1:3" x14ac:dyDescent="0.25">
      <c r="A387">
        <v>32644</v>
      </c>
      <c r="B387" t="s">
        <v>888</v>
      </c>
      <c r="C387">
        <f>COUNTIFS(Table24[Client ID '#],"&lt;&gt;",Table24[Residence Zip Code],'G - ZIP Code'!A387)</f>
        <v>0</v>
      </c>
    </row>
    <row r="388" spans="1:3" x14ac:dyDescent="0.25">
      <c r="A388">
        <v>32648</v>
      </c>
      <c r="B388" t="s">
        <v>888</v>
      </c>
      <c r="C388">
        <f>COUNTIFS(Table24[Client ID '#],"&lt;&gt;",Table24[Residence Zip Code],'G - ZIP Code'!A388)</f>
        <v>0</v>
      </c>
    </row>
    <row r="389" spans="1:3" x14ac:dyDescent="0.25">
      <c r="A389">
        <v>32653</v>
      </c>
      <c r="B389" t="s">
        <v>888</v>
      </c>
      <c r="C389">
        <f>COUNTIFS(Table24[Client ID '#],"&lt;&gt;",Table24[Residence Zip Code],'G - ZIP Code'!A389)</f>
        <v>0</v>
      </c>
    </row>
    <row r="390" spans="1:3" x14ac:dyDescent="0.25">
      <c r="A390">
        <v>32654</v>
      </c>
      <c r="B390" t="s">
        <v>888</v>
      </c>
      <c r="C390">
        <f>COUNTIFS(Table24[Client ID '#],"&lt;&gt;",Table24[Residence Zip Code],'G - ZIP Code'!A390)</f>
        <v>0</v>
      </c>
    </row>
    <row r="391" spans="1:3" x14ac:dyDescent="0.25">
      <c r="A391">
        <v>32655</v>
      </c>
      <c r="B391" t="s">
        <v>888</v>
      </c>
      <c r="C391">
        <f>COUNTIFS(Table24[Client ID '#],"&lt;&gt;",Table24[Residence Zip Code],'G - ZIP Code'!A391)</f>
        <v>0</v>
      </c>
    </row>
    <row r="392" spans="1:3" x14ac:dyDescent="0.25">
      <c r="A392">
        <v>32656</v>
      </c>
      <c r="B392" t="s">
        <v>888</v>
      </c>
      <c r="C392">
        <f>COUNTIFS(Table24[Client ID '#],"&lt;&gt;",Table24[Residence Zip Code],'G - ZIP Code'!A392)</f>
        <v>0</v>
      </c>
    </row>
    <row r="393" spans="1:3" x14ac:dyDescent="0.25">
      <c r="A393">
        <v>32658</v>
      </c>
      <c r="B393" t="s">
        <v>888</v>
      </c>
      <c r="C393">
        <f>COUNTIFS(Table24[Client ID '#],"&lt;&gt;",Table24[Residence Zip Code],'G - ZIP Code'!A393)</f>
        <v>0</v>
      </c>
    </row>
    <row r="394" spans="1:3" x14ac:dyDescent="0.25">
      <c r="A394">
        <v>32662</v>
      </c>
      <c r="B394" t="s">
        <v>888</v>
      </c>
      <c r="C394">
        <f>COUNTIFS(Table24[Client ID '#],"&lt;&gt;",Table24[Residence Zip Code],'G - ZIP Code'!A394)</f>
        <v>0</v>
      </c>
    </row>
    <row r="395" spans="1:3" x14ac:dyDescent="0.25">
      <c r="A395">
        <v>32663</v>
      </c>
      <c r="B395" t="s">
        <v>888</v>
      </c>
      <c r="C395">
        <f>COUNTIFS(Table24[Client ID '#],"&lt;&gt;",Table24[Residence Zip Code],'G - ZIP Code'!A395)</f>
        <v>0</v>
      </c>
    </row>
    <row r="396" spans="1:3" x14ac:dyDescent="0.25">
      <c r="A396">
        <v>32664</v>
      </c>
      <c r="B396" t="s">
        <v>888</v>
      </c>
      <c r="C396">
        <f>COUNTIFS(Table24[Client ID '#],"&lt;&gt;",Table24[Residence Zip Code],'G - ZIP Code'!A396)</f>
        <v>0</v>
      </c>
    </row>
    <row r="397" spans="1:3" x14ac:dyDescent="0.25">
      <c r="A397">
        <v>32666</v>
      </c>
      <c r="B397" t="s">
        <v>888</v>
      </c>
      <c r="C397">
        <f>COUNTIFS(Table24[Client ID '#],"&lt;&gt;",Table24[Residence Zip Code],'G - ZIP Code'!A397)</f>
        <v>0</v>
      </c>
    </row>
    <row r="398" spans="1:3" x14ac:dyDescent="0.25">
      <c r="A398">
        <v>32667</v>
      </c>
      <c r="B398" t="s">
        <v>888</v>
      </c>
      <c r="C398">
        <f>COUNTIFS(Table24[Client ID '#],"&lt;&gt;",Table24[Residence Zip Code],'G - ZIP Code'!A398)</f>
        <v>0</v>
      </c>
    </row>
    <row r="399" spans="1:3" x14ac:dyDescent="0.25">
      <c r="A399">
        <v>32668</v>
      </c>
      <c r="B399" t="s">
        <v>888</v>
      </c>
      <c r="C399">
        <f>COUNTIFS(Table24[Client ID '#],"&lt;&gt;",Table24[Residence Zip Code],'G - ZIP Code'!A399)</f>
        <v>0</v>
      </c>
    </row>
    <row r="400" spans="1:3" x14ac:dyDescent="0.25">
      <c r="A400">
        <v>32669</v>
      </c>
      <c r="B400" t="s">
        <v>888</v>
      </c>
      <c r="C400">
        <f>COUNTIFS(Table24[Client ID '#],"&lt;&gt;",Table24[Residence Zip Code],'G - ZIP Code'!A400)</f>
        <v>0</v>
      </c>
    </row>
    <row r="401" spans="1:3" x14ac:dyDescent="0.25">
      <c r="A401">
        <v>32680</v>
      </c>
      <c r="B401" t="s">
        <v>888</v>
      </c>
      <c r="C401">
        <f>COUNTIFS(Table24[Client ID '#],"&lt;&gt;",Table24[Residence Zip Code],'G - ZIP Code'!A401)</f>
        <v>0</v>
      </c>
    </row>
    <row r="402" spans="1:3" x14ac:dyDescent="0.25">
      <c r="A402">
        <v>32681</v>
      </c>
      <c r="B402" t="s">
        <v>888</v>
      </c>
      <c r="C402">
        <f>COUNTIFS(Table24[Client ID '#],"&lt;&gt;",Table24[Residence Zip Code],'G - ZIP Code'!A402)</f>
        <v>0</v>
      </c>
    </row>
    <row r="403" spans="1:3" x14ac:dyDescent="0.25">
      <c r="A403">
        <v>32683</v>
      </c>
      <c r="B403" t="s">
        <v>888</v>
      </c>
      <c r="C403">
        <f>COUNTIFS(Table24[Client ID '#],"&lt;&gt;",Table24[Residence Zip Code],'G - ZIP Code'!A403)</f>
        <v>0</v>
      </c>
    </row>
    <row r="404" spans="1:3" x14ac:dyDescent="0.25">
      <c r="A404">
        <v>32686</v>
      </c>
      <c r="B404" t="s">
        <v>888</v>
      </c>
      <c r="C404">
        <f>COUNTIFS(Table24[Client ID '#],"&lt;&gt;",Table24[Residence Zip Code],'G - ZIP Code'!A404)</f>
        <v>0</v>
      </c>
    </row>
    <row r="405" spans="1:3" x14ac:dyDescent="0.25">
      <c r="A405">
        <v>32692</v>
      </c>
      <c r="B405" t="s">
        <v>888</v>
      </c>
      <c r="C405">
        <f>COUNTIFS(Table24[Client ID '#],"&lt;&gt;",Table24[Residence Zip Code],'G - ZIP Code'!A405)</f>
        <v>0</v>
      </c>
    </row>
    <row r="406" spans="1:3" x14ac:dyDescent="0.25">
      <c r="A406">
        <v>32693</v>
      </c>
      <c r="B406" t="s">
        <v>888</v>
      </c>
      <c r="C406">
        <f>COUNTIFS(Table24[Client ID '#],"&lt;&gt;",Table24[Residence Zip Code],'G - ZIP Code'!A406)</f>
        <v>0</v>
      </c>
    </row>
    <row r="407" spans="1:3" x14ac:dyDescent="0.25">
      <c r="A407">
        <v>32694</v>
      </c>
      <c r="B407" t="s">
        <v>888</v>
      </c>
      <c r="C407">
        <f>COUNTIFS(Table24[Client ID '#],"&lt;&gt;",Table24[Residence Zip Code],'G - ZIP Code'!A407)</f>
        <v>0</v>
      </c>
    </row>
    <row r="408" spans="1:3" x14ac:dyDescent="0.25">
      <c r="A408">
        <v>32696</v>
      </c>
      <c r="B408" t="s">
        <v>888</v>
      </c>
      <c r="C408">
        <f>COUNTIFS(Table24[Client ID '#],"&lt;&gt;",Table24[Residence Zip Code],'G - ZIP Code'!A408)</f>
        <v>0</v>
      </c>
    </row>
    <row r="409" spans="1:3" x14ac:dyDescent="0.25">
      <c r="A409">
        <v>32697</v>
      </c>
      <c r="B409" t="s">
        <v>888</v>
      </c>
      <c r="C409">
        <f>COUNTIFS(Table24[Client ID '#],"&lt;&gt;",Table24[Residence Zip Code],'G - ZIP Code'!A409)</f>
        <v>0</v>
      </c>
    </row>
    <row r="410" spans="1:3" x14ac:dyDescent="0.25">
      <c r="A410">
        <v>32701</v>
      </c>
      <c r="B410" t="s">
        <v>888</v>
      </c>
      <c r="C410">
        <f>COUNTIFS(Table24[Client ID '#],"&lt;&gt;",Table24[Residence Zip Code],'G - ZIP Code'!A410)</f>
        <v>0</v>
      </c>
    </row>
    <row r="411" spans="1:3" x14ac:dyDescent="0.25">
      <c r="A411">
        <v>32702</v>
      </c>
      <c r="B411" t="s">
        <v>888</v>
      </c>
      <c r="C411">
        <f>COUNTIFS(Table24[Client ID '#],"&lt;&gt;",Table24[Residence Zip Code],'G - ZIP Code'!A411)</f>
        <v>0</v>
      </c>
    </row>
    <row r="412" spans="1:3" x14ac:dyDescent="0.25">
      <c r="A412">
        <v>32703</v>
      </c>
      <c r="B412" t="s">
        <v>888</v>
      </c>
      <c r="C412">
        <f>COUNTIFS(Table24[Client ID '#],"&lt;&gt;",Table24[Residence Zip Code],'G - ZIP Code'!A412)</f>
        <v>0</v>
      </c>
    </row>
    <row r="413" spans="1:3" x14ac:dyDescent="0.25">
      <c r="A413">
        <v>32704</v>
      </c>
      <c r="B413" t="s">
        <v>888</v>
      </c>
      <c r="C413">
        <f>COUNTIFS(Table24[Client ID '#],"&lt;&gt;",Table24[Residence Zip Code],'G - ZIP Code'!A413)</f>
        <v>0</v>
      </c>
    </row>
    <row r="414" spans="1:3" x14ac:dyDescent="0.25">
      <c r="A414">
        <v>32706</v>
      </c>
      <c r="B414" t="s">
        <v>888</v>
      </c>
      <c r="C414">
        <f>COUNTIFS(Table24[Client ID '#],"&lt;&gt;",Table24[Residence Zip Code],'G - ZIP Code'!A414)</f>
        <v>0</v>
      </c>
    </row>
    <row r="415" spans="1:3" x14ac:dyDescent="0.25">
      <c r="A415">
        <v>32707</v>
      </c>
      <c r="B415" t="s">
        <v>888</v>
      </c>
      <c r="C415">
        <f>COUNTIFS(Table24[Client ID '#],"&lt;&gt;",Table24[Residence Zip Code],'G - ZIP Code'!A415)</f>
        <v>0</v>
      </c>
    </row>
    <row r="416" spans="1:3" x14ac:dyDescent="0.25">
      <c r="A416">
        <v>32708</v>
      </c>
      <c r="B416" t="s">
        <v>888</v>
      </c>
      <c r="C416">
        <f>COUNTIFS(Table24[Client ID '#],"&lt;&gt;",Table24[Residence Zip Code],'G - ZIP Code'!A416)</f>
        <v>0</v>
      </c>
    </row>
    <row r="417" spans="1:3" x14ac:dyDescent="0.25">
      <c r="A417">
        <v>32709</v>
      </c>
      <c r="B417" t="s">
        <v>888</v>
      </c>
      <c r="C417">
        <f>COUNTIFS(Table24[Client ID '#],"&lt;&gt;",Table24[Residence Zip Code],'G - ZIP Code'!A417)</f>
        <v>0</v>
      </c>
    </row>
    <row r="418" spans="1:3" x14ac:dyDescent="0.25">
      <c r="A418">
        <v>32710</v>
      </c>
      <c r="B418" t="s">
        <v>888</v>
      </c>
      <c r="C418">
        <f>COUNTIFS(Table24[Client ID '#],"&lt;&gt;",Table24[Residence Zip Code],'G - ZIP Code'!A418)</f>
        <v>0</v>
      </c>
    </row>
    <row r="419" spans="1:3" x14ac:dyDescent="0.25">
      <c r="A419">
        <v>32712</v>
      </c>
      <c r="B419" t="s">
        <v>888</v>
      </c>
      <c r="C419">
        <f>COUNTIFS(Table24[Client ID '#],"&lt;&gt;",Table24[Residence Zip Code],'G - ZIP Code'!A419)</f>
        <v>0</v>
      </c>
    </row>
    <row r="420" spans="1:3" x14ac:dyDescent="0.25">
      <c r="A420">
        <v>32713</v>
      </c>
      <c r="B420" t="s">
        <v>888</v>
      </c>
      <c r="C420">
        <f>COUNTIFS(Table24[Client ID '#],"&lt;&gt;",Table24[Residence Zip Code],'G - ZIP Code'!A420)</f>
        <v>0</v>
      </c>
    </row>
    <row r="421" spans="1:3" x14ac:dyDescent="0.25">
      <c r="A421">
        <v>32714</v>
      </c>
      <c r="B421" t="s">
        <v>888</v>
      </c>
      <c r="C421">
        <f>COUNTIFS(Table24[Client ID '#],"&lt;&gt;",Table24[Residence Zip Code],'G - ZIP Code'!A421)</f>
        <v>0</v>
      </c>
    </row>
    <row r="422" spans="1:3" x14ac:dyDescent="0.25">
      <c r="A422">
        <v>32715</v>
      </c>
      <c r="B422" t="s">
        <v>888</v>
      </c>
      <c r="C422">
        <f>COUNTIFS(Table24[Client ID '#],"&lt;&gt;",Table24[Residence Zip Code],'G - ZIP Code'!A422)</f>
        <v>0</v>
      </c>
    </row>
    <row r="423" spans="1:3" x14ac:dyDescent="0.25">
      <c r="A423">
        <v>32716</v>
      </c>
      <c r="B423" t="s">
        <v>888</v>
      </c>
      <c r="C423">
        <f>COUNTIFS(Table24[Client ID '#],"&lt;&gt;",Table24[Residence Zip Code],'G - ZIP Code'!A423)</f>
        <v>0</v>
      </c>
    </row>
    <row r="424" spans="1:3" x14ac:dyDescent="0.25">
      <c r="A424">
        <v>32718</v>
      </c>
      <c r="B424" t="s">
        <v>888</v>
      </c>
      <c r="C424">
        <f>COUNTIFS(Table24[Client ID '#],"&lt;&gt;",Table24[Residence Zip Code],'G - ZIP Code'!A424)</f>
        <v>0</v>
      </c>
    </row>
    <row r="425" spans="1:3" x14ac:dyDescent="0.25">
      <c r="A425">
        <v>32719</v>
      </c>
      <c r="B425" t="s">
        <v>888</v>
      </c>
      <c r="C425">
        <f>COUNTIFS(Table24[Client ID '#],"&lt;&gt;",Table24[Residence Zip Code],'G - ZIP Code'!A425)</f>
        <v>0</v>
      </c>
    </row>
    <row r="426" spans="1:3" x14ac:dyDescent="0.25">
      <c r="A426">
        <v>32720</v>
      </c>
      <c r="B426" t="s">
        <v>888</v>
      </c>
      <c r="C426">
        <f>COUNTIFS(Table24[Client ID '#],"&lt;&gt;",Table24[Residence Zip Code],'G - ZIP Code'!A426)</f>
        <v>0</v>
      </c>
    </row>
    <row r="427" spans="1:3" x14ac:dyDescent="0.25">
      <c r="A427">
        <v>32721</v>
      </c>
      <c r="B427" t="s">
        <v>888</v>
      </c>
      <c r="C427">
        <f>COUNTIFS(Table24[Client ID '#],"&lt;&gt;",Table24[Residence Zip Code],'G - ZIP Code'!A427)</f>
        <v>0</v>
      </c>
    </row>
    <row r="428" spans="1:3" x14ac:dyDescent="0.25">
      <c r="A428">
        <v>32722</v>
      </c>
      <c r="B428" t="s">
        <v>888</v>
      </c>
      <c r="C428">
        <f>COUNTIFS(Table24[Client ID '#],"&lt;&gt;",Table24[Residence Zip Code],'G - ZIP Code'!A428)</f>
        <v>0</v>
      </c>
    </row>
    <row r="429" spans="1:3" x14ac:dyDescent="0.25">
      <c r="A429">
        <v>32723</v>
      </c>
      <c r="B429" t="s">
        <v>888</v>
      </c>
      <c r="C429">
        <f>COUNTIFS(Table24[Client ID '#],"&lt;&gt;",Table24[Residence Zip Code],'G - ZIP Code'!A429)</f>
        <v>0</v>
      </c>
    </row>
    <row r="430" spans="1:3" x14ac:dyDescent="0.25">
      <c r="A430">
        <v>32724</v>
      </c>
      <c r="B430" t="s">
        <v>888</v>
      </c>
      <c r="C430">
        <f>COUNTIFS(Table24[Client ID '#],"&lt;&gt;",Table24[Residence Zip Code],'G - ZIP Code'!A430)</f>
        <v>0</v>
      </c>
    </row>
    <row r="431" spans="1:3" x14ac:dyDescent="0.25">
      <c r="A431">
        <v>32725</v>
      </c>
      <c r="B431" t="s">
        <v>888</v>
      </c>
      <c r="C431">
        <f>COUNTIFS(Table24[Client ID '#],"&lt;&gt;",Table24[Residence Zip Code],'G - ZIP Code'!A431)</f>
        <v>0</v>
      </c>
    </row>
    <row r="432" spans="1:3" x14ac:dyDescent="0.25">
      <c r="A432">
        <v>32726</v>
      </c>
      <c r="B432" t="s">
        <v>888</v>
      </c>
      <c r="C432">
        <f>COUNTIFS(Table24[Client ID '#],"&lt;&gt;",Table24[Residence Zip Code],'G - ZIP Code'!A432)</f>
        <v>0</v>
      </c>
    </row>
    <row r="433" spans="1:3" x14ac:dyDescent="0.25">
      <c r="A433">
        <v>32727</v>
      </c>
      <c r="B433" t="s">
        <v>888</v>
      </c>
      <c r="C433">
        <f>COUNTIFS(Table24[Client ID '#],"&lt;&gt;",Table24[Residence Zip Code],'G - ZIP Code'!A433)</f>
        <v>0</v>
      </c>
    </row>
    <row r="434" spans="1:3" x14ac:dyDescent="0.25">
      <c r="A434">
        <v>32728</v>
      </c>
      <c r="B434" t="s">
        <v>888</v>
      </c>
      <c r="C434">
        <f>COUNTIFS(Table24[Client ID '#],"&lt;&gt;",Table24[Residence Zip Code],'G - ZIP Code'!A434)</f>
        <v>0</v>
      </c>
    </row>
    <row r="435" spans="1:3" x14ac:dyDescent="0.25">
      <c r="A435">
        <v>32730</v>
      </c>
      <c r="B435" t="s">
        <v>888</v>
      </c>
      <c r="C435">
        <f>COUNTIFS(Table24[Client ID '#],"&lt;&gt;",Table24[Residence Zip Code],'G - ZIP Code'!A435)</f>
        <v>0</v>
      </c>
    </row>
    <row r="436" spans="1:3" x14ac:dyDescent="0.25">
      <c r="A436">
        <v>32732</v>
      </c>
      <c r="B436" t="s">
        <v>888</v>
      </c>
      <c r="C436">
        <f>COUNTIFS(Table24[Client ID '#],"&lt;&gt;",Table24[Residence Zip Code],'G - ZIP Code'!A436)</f>
        <v>0</v>
      </c>
    </row>
    <row r="437" spans="1:3" x14ac:dyDescent="0.25">
      <c r="A437">
        <v>32733</v>
      </c>
      <c r="B437" t="s">
        <v>888</v>
      </c>
      <c r="C437">
        <f>COUNTIFS(Table24[Client ID '#],"&lt;&gt;",Table24[Residence Zip Code],'G - ZIP Code'!A437)</f>
        <v>0</v>
      </c>
    </row>
    <row r="438" spans="1:3" x14ac:dyDescent="0.25">
      <c r="A438">
        <v>32735</v>
      </c>
      <c r="B438" t="s">
        <v>888</v>
      </c>
      <c r="C438">
        <f>COUNTIFS(Table24[Client ID '#],"&lt;&gt;",Table24[Residence Zip Code],'G - ZIP Code'!A438)</f>
        <v>0</v>
      </c>
    </row>
    <row r="439" spans="1:3" x14ac:dyDescent="0.25">
      <c r="A439">
        <v>32736</v>
      </c>
      <c r="B439" t="s">
        <v>888</v>
      </c>
      <c r="C439">
        <f>COUNTIFS(Table24[Client ID '#],"&lt;&gt;",Table24[Residence Zip Code],'G - ZIP Code'!A439)</f>
        <v>0</v>
      </c>
    </row>
    <row r="440" spans="1:3" x14ac:dyDescent="0.25">
      <c r="A440">
        <v>32738</v>
      </c>
      <c r="B440" t="s">
        <v>888</v>
      </c>
      <c r="C440">
        <f>COUNTIFS(Table24[Client ID '#],"&lt;&gt;",Table24[Residence Zip Code],'G - ZIP Code'!A440)</f>
        <v>0</v>
      </c>
    </row>
    <row r="441" spans="1:3" x14ac:dyDescent="0.25">
      <c r="A441">
        <v>32739</v>
      </c>
      <c r="B441" t="s">
        <v>888</v>
      </c>
      <c r="C441">
        <f>COUNTIFS(Table24[Client ID '#],"&lt;&gt;",Table24[Residence Zip Code],'G - ZIP Code'!A441)</f>
        <v>0</v>
      </c>
    </row>
    <row r="442" spans="1:3" x14ac:dyDescent="0.25">
      <c r="A442">
        <v>32744</v>
      </c>
      <c r="B442" t="s">
        <v>888</v>
      </c>
      <c r="C442">
        <f>COUNTIFS(Table24[Client ID '#],"&lt;&gt;",Table24[Residence Zip Code],'G - ZIP Code'!A442)</f>
        <v>0</v>
      </c>
    </row>
    <row r="443" spans="1:3" x14ac:dyDescent="0.25">
      <c r="A443">
        <v>32745</v>
      </c>
      <c r="B443" t="s">
        <v>888</v>
      </c>
      <c r="C443">
        <f>COUNTIFS(Table24[Client ID '#],"&lt;&gt;",Table24[Residence Zip Code],'G - ZIP Code'!A443)</f>
        <v>0</v>
      </c>
    </row>
    <row r="444" spans="1:3" x14ac:dyDescent="0.25">
      <c r="A444">
        <v>32746</v>
      </c>
      <c r="B444" t="s">
        <v>888</v>
      </c>
      <c r="C444">
        <f>COUNTIFS(Table24[Client ID '#],"&lt;&gt;",Table24[Residence Zip Code],'G - ZIP Code'!A444)</f>
        <v>0</v>
      </c>
    </row>
    <row r="445" spans="1:3" x14ac:dyDescent="0.25">
      <c r="A445">
        <v>32747</v>
      </c>
      <c r="B445" t="s">
        <v>888</v>
      </c>
      <c r="C445">
        <f>COUNTIFS(Table24[Client ID '#],"&lt;&gt;",Table24[Residence Zip Code],'G - ZIP Code'!A445)</f>
        <v>0</v>
      </c>
    </row>
    <row r="446" spans="1:3" x14ac:dyDescent="0.25">
      <c r="A446">
        <v>32750</v>
      </c>
      <c r="B446" t="s">
        <v>888</v>
      </c>
      <c r="C446">
        <f>COUNTIFS(Table24[Client ID '#],"&lt;&gt;",Table24[Residence Zip Code],'G - ZIP Code'!A446)</f>
        <v>0</v>
      </c>
    </row>
    <row r="447" spans="1:3" x14ac:dyDescent="0.25">
      <c r="A447">
        <v>32751</v>
      </c>
      <c r="B447" t="s">
        <v>888</v>
      </c>
      <c r="C447">
        <f>COUNTIFS(Table24[Client ID '#],"&lt;&gt;",Table24[Residence Zip Code],'G - ZIP Code'!A447)</f>
        <v>0</v>
      </c>
    </row>
    <row r="448" spans="1:3" x14ac:dyDescent="0.25">
      <c r="A448">
        <v>32752</v>
      </c>
      <c r="B448" t="s">
        <v>888</v>
      </c>
      <c r="C448">
        <f>COUNTIFS(Table24[Client ID '#],"&lt;&gt;",Table24[Residence Zip Code],'G - ZIP Code'!A448)</f>
        <v>0</v>
      </c>
    </row>
    <row r="449" spans="1:3" x14ac:dyDescent="0.25">
      <c r="A449">
        <v>32753</v>
      </c>
      <c r="B449" t="s">
        <v>888</v>
      </c>
      <c r="C449">
        <f>COUNTIFS(Table24[Client ID '#],"&lt;&gt;",Table24[Residence Zip Code],'G - ZIP Code'!A449)</f>
        <v>0</v>
      </c>
    </row>
    <row r="450" spans="1:3" x14ac:dyDescent="0.25">
      <c r="A450">
        <v>32754</v>
      </c>
      <c r="B450" t="s">
        <v>888</v>
      </c>
      <c r="C450">
        <f>COUNTIFS(Table24[Client ID '#],"&lt;&gt;",Table24[Residence Zip Code],'G - ZIP Code'!A450)</f>
        <v>0</v>
      </c>
    </row>
    <row r="451" spans="1:3" x14ac:dyDescent="0.25">
      <c r="A451">
        <v>32756</v>
      </c>
      <c r="B451" t="s">
        <v>888</v>
      </c>
      <c r="C451">
        <f>COUNTIFS(Table24[Client ID '#],"&lt;&gt;",Table24[Residence Zip Code],'G - ZIP Code'!A451)</f>
        <v>0</v>
      </c>
    </row>
    <row r="452" spans="1:3" x14ac:dyDescent="0.25">
      <c r="A452">
        <v>32757</v>
      </c>
      <c r="B452" t="s">
        <v>888</v>
      </c>
      <c r="C452">
        <f>COUNTIFS(Table24[Client ID '#],"&lt;&gt;",Table24[Residence Zip Code],'G - ZIP Code'!A452)</f>
        <v>0</v>
      </c>
    </row>
    <row r="453" spans="1:3" x14ac:dyDescent="0.25">
      <c r="A453">
        <v>32759</v>
      </c>
      <c r="B453" t="s">
        <v>888</v>
      </c>
      <c r="C453">
        <f>COUNTIFS(Table24[Client ID '#],"&lt;&gt;",Table24[Residence Zip Code],'G - ZIP Code'!A453)</f>
        <v>0</v>
      </c>
    </row>
    <row r="454" spans="1:3" x14ac:dyDescent="0.25">
      <c r="A454">
        <v>32762</v>
      </c>
      <c r="B454" t="s">
        <v>888</v>
      </c>
      <c r="C454">
        <f>COUNTIFS(Table24[Client ID '#],"&lt;&gt;",Table24[Residence Zip Code],'G - ZIP Code'!A454)</f>
        <v>0</v>
      </c>
    </row>
    <row r="455" spans="1:3" x14ac:dyDescent="0.25">
      <c r="A455">
        <v>32763</v>
      </c>
      <c r="B455" t="s">
        <v>888</v>
      </c>
      <c r="C455">
        <f>COUNTIFS(Table24[Client ID '#],"&lt;&gt;",Table24[Residence Zip Code],'G - ZIP Code'!A455)</f>
        <v>0</v>
      </c>
    </row>
    <row r="456" spans="1:3" x14ac:dyDescent="0.25">
      <c r="A456">
        <v>32764</v>
      </c>
      <c r="B456" t="s">
        <v>888</v>
      </c>
      <c r="C456">
        <f>COUNTIFS(Table24[Client ID '#],"&lt;&gt;",Table24[Residence Zip Code],'G - ZIP Code'!A456)</f>
        <v>0</v>
      </c>
    </row>
    <row r="457" spans="1:3" x14ac:dyDescent="0.25">
      <c r="A457">
        <v>32765</v>
      </c>
      <c r="B457" t="s">
        <v>888</v>
      </c>
      <c r="C457">
        <f>COUNTIFS(Table24[Client ID '#],"&lt;&gt;",Table24[Residence Zip Code],'G - ZIP Code'!A457)</f>
        <v>0</v>
      </c>
    </row>
    <row r="458" spans="1:3" x14ac:dyDescent="0.25">
      <c r="A458">
        <v>32766</v>
      </c>
      <c r="B458" t="s">
        <v>888</v>
      </c>
      <c r="C458">
        <f>COUNTIFS(Table24[Client ID '#],"&lt;&gt;",Table24[Residence Zip Code],'G - ZIP Code'!A458)</f>
        <v>0</v>
      </c>
    </row>
    <row r="459" spans="1:3" x14ac:dyDescent="0.25">
      <c r="A459">
        <v>32767</v>
      </c>
      <c r="B459" t="s">
        <v>888</v>
      </c>
      <c r="C459">
        <f>COUNTIFS(Table24[Client ID '#],"&lt;&gt;",Table24[Residence Zip Code],'G - ZIP Code'!A459)</f>
        <v>0</v>
      </c>
    </row>
    <row r="460" spans="1:3" x14ac:dyDescent="0.25">
      <c r="A460">
        <v>32768</v>
      </c>
      <c r="B460" t="s">
        <v>888</v>
      </c>
      <c r="C460">
        <f>COUNTIFS(Table24[Client ID '#],"&lt;&gt;",Table24[Residence Zip Code],'G - ZIP Code'!A460)</f>
        <v>0</v>
      </c>
    </row>
    <row r="461" spans="1:3" x14ac:dyDescent="0.25">
      <c r="A461">
        <v>32771</v>
      </c>
      <c r="B461" t="s">
        <v>888</v>
      </c>
      <c r="C461">
        <f>COUNTIFS(Table24[Client ID '#],"&lt;&gt;",Table24[Residence Zip Code],'G - ZIP Code'!A461)</f>
        <v>0</v>
      </c>
    </row>
    <row r="462" spans="1:3" x14ac:dyDescent="0.25">
      <c r="A462">
        <v>32772</v>
      </c>
      <c r="B462" t="s">
        <v>888</v>
      </c>
      <c r="C462">
        <f>COUNTIFS(Table24[Client ID '#],"&lt;&gt;",Table24[Residence Zip Code],'G - ZIP Code'!A462)</f>
        <v>0</v>
      </c>
    </row>
    <row r="463" spans="1:3" x14ac:dyDescent="0.25">
      <c r="A463">
        <v>32773</v>
      </c>
      <c r="B463" t="s">
        <v>888</v>
      </c>
      <c r="C463">
        <f>COUNTIFS(Table24[Client ID '#],"&lt;&gt;",Table24[Residence Zip Code],'G - ZIP Code'!A463)</f>
        <v>0</v>
      </c>
    </row>
    <row r="464" spans="1:3" x14ac:dyDescent="0.25">
      <c r="A464">
        <v>32774</v>
      </c>
      <c r="B464" t="s">
        <v>888</v>
      </c>
      <c r="C464">
        <f>COUNTIFS(Table24[Client ID '#],"&lt;&gt;",Table24[Residence Zip Code],'G - ZIP Code'!A464)</f>
        <v>0</v>
      </c>
    </row>
    <row r="465" spans="1:3" x14ac:dyDescent="0.25">
      <c r="A465">
        <v>32775</v>
      </c>
      <c r="B465" t="s">
        <v>888</v>
      </c>
      <c r="C465">
        <f>COUNTIFS(Table24[Client ID '#],"&lt;&gt;",Table24[Residence Zip Code],'G - ZIP Code'!A465)</f>
        <v>0</v>
      </c>
    </row>
    <row r="466" spans="1:3" x14ac:dyDescent="0.25">
      <c r="A466">
        <v>32776</v>
      </c>
      <c r="B466" t="s">
        <v>888</v>
      </c>
      <c r="C466">
        <f>COUNTIFS(Table24[Client ID '#],"&lt;&gt;",Table24[Residence Zip Code],'G - ZIP Code'!A466)</f>
        <v>0</v>
      </c>
    </row>
    <row r="467" spans="1:3" x14ac:dyDescent="0.25">
      <c r="A467">
        <v>32777</v>
      </c>
      <c r="B467" t="s">
        <v>888</v>
      </c>
      <c r="C467">
        <f>COUNTIFS(Table24[Client ID '#],"&lt;&gt;",Table24[Residence Zip Code],'G - ZIP Code'!A467)</f>
        <v>0</v>
      </c>
    </row>
    <row r="468" spans="1:3" x14ac:dyDescent="0.25">
      <c r="A468">
        <v>32778</v>
      </c>
      <c r="B468" t="s">
        <v>888</v>
      </c>
      <c r="C468">
        <f>COUNTIFS(Table24[Client ID '#],"&lt;&gt;",Table24[Residence Zip Code],'G - ZIP Code'!A468)</f>
        <v>0</v>
      </c>
    </row>
    <row r="469" spans="1:3" x14ac:dyDescent="0.25">
      <c r="A469">
        <v>32779</v>
      </c>
      <c r="B469" t="s">
        <v>888</v>
      </c>
      <c r="C469">
        <f>COUNTIFS(Table24[Client ID '#],"&lt;&gt;",Table24[Residence Zip Code],'G - ZIP Code'!A469)</f>
        <v>0</v>
      </c>
    </row>
    <row r="470" spans="1:3" x14ac:dyDescent="0.25">
      <c r="A470">
        <v>32780</v>
      </c>
      <c r="B470" t="s">
        <v>888</v>
      </c>
      <c r="C470">
        <f>COUNTIFS(Table24[Client ID '#],"&lt;&gt;",Table24[Residence Zip Code],'G - ZIP Code'!A470)</f>
        <v>0</v>
      </c>
    </row>
    <row r="471" spans="1:3" x14ac:dyDescent="0.25">
      <c r="A471">
        <v>32781</v>
      </c>
      <c r="B471" t="s">
        <v>888</v>
      </c>
      <c r="C471">
        <f>COUNTIFS(Table24[Client ID '#],"&lt;&gt;",Table24[Residence Zip Code],'G - ZIP Code'!A471)</f>
        <v>0</v>
      </c>
    </row>
    <row r="472" spans="1:3" x14ac:dyDescent="0.25">
      <c r="A472">
        <v>32782</v>
      </c>
      <c r="B472" t="s">
        <v>888</v>
      </c>
      <c r="C472">
        <f>COUNTIFS(Table24[Client ID '#],"&lt;&gt;",Table24[Residence Zip Code],'G - ZIP Code'!A472)</f>
        <v>0</v>
      </c>
    </row>
    <row r="473" spans="1:3" x14ac:dyDescent="0.25">
      <c r="A473">
        <v>32783</v>
      </c>
      <c r="B473" t="s">
        <v>888</v>
      </c>
      <c r="C473">
        <f>COUNTIFS(Table24[Client ID '#],"&lt;&gt;",Table24[Residence Zip Code],'G - ZIP Code'!A473)</f>
        <v>0</v>
      </c>
    </row>
    <row r="474" spans="1:3" x14ac:dyDescent="0.25">
      <c r="A474">
        <v>32784</v>
      </c>
      <c r="B474" t="s">
        <v>888</v>
      </c>
      <c r="C474">
        <f>COUNTIFS(Table24[Client ID '#],"&lt;&gt;",Table24[Residence Zip Code],'G - ZIP Code'!A474)</f>
        <v>0</v>
      </c>
    </row>
    <row r="475" spans="1:3" x14ac:dyDescent="0.25">
      <c r="A475">
        <v>32789</v>
      </c>
      <c r="B475" t="s">
        <v>888</v>
      </c>
      <c r="C475">
        <f>COUNTIFS(Table24[Client ID '#],"&lt;&gt;",Table24[Residence Zip Code],'G - ZIP Code'!A475)</f>
        <v>0</v>
      </c>
    </row>
    <row r="476" spans="1:3" x14ac:dyDescent="0.25">
      <c r="A476">
        <v>32790</v>
      </c>
      <c r="B476" t="s">
        <v>888</v>
      </c>
      <c r="C476">
        <f>COUNTIFS(Table24[Client ID '#],"&lt;&gt;",Table24[Residence Zip Code],'G - ZIP Code'!A476)</f>
        <v>0</v>
      </c>
    </row>
    <row r="477" spans="1:3" x14ac:dyDescent="0.25">
      <c r="A477">
        <v>32791</v>
      </c>
      <c r="B477" t="s">
        <v>888</v>
      </c>
      <c r="C477">
        <f>COUNTIFS(Table24[Client ID '#],"&lt;&gt;",Table24[Residence Zip Code],'G - ZIP Code'!A477)</f>
        <v>0</v>
      </c>
    </row>
    <row r="478" spans="1:3" x14ac:dyDescent="0.25">
      <c r="A478">
        <v>32792</v>
      </c>
      <c r="B478" t="s">
        <v>888</v>
      </c>
      <c r="C478">
        <f>COUNTIFS(Table24[Client ID '#],"&lt;&gt;",Table24[Residence Zip Code],'G - ZIP Code'!A478)</f>
        <v>0</v>
      </c>
    </row>
    <row r="479" spans="1:3" x14ac:dyDescent="0.25">
      <c r="A479">
        <v>32793</v>
      </c>
      <c r="B479" t="s">
        <v>888</v>
      </c>
      <c r="C479">
        <f>COUNTIFS(Table24[Client ID '#],"&lt;&gt;",Table24[Residence Zip Code],'G - ZIP Code'!A479)</f>
        <v>0</v>
      </c>
    </row>
    <row r="480" spans="1:3" x14ac:dyDescent="0.25">
      <c r="A480">
        <v>32794</v>
      </c>
      <c r="B480" t="s">
        <v>888</v>
      </c>
      <c r="C480">
        <f>COUNTIFS(Table24[Client ID '#],"&lt;&gt;",Table24[Residence Zip Code],'G - ZIP Code'!A480)</f>
        <v>0</v>
      </c>
    </row>
    <row r="481" spans="1:3" x14ac:dyDescent="0.25">
      <c r="A481">
        <v>32795</v>
      </c>
      <c r="B481" t="s">
        <v>888</v>
      </c>
      <c r="C481">
        <f>COUNTIFS(Table24[Client ID '#],"&lt;&gt;",Table24[Residence Zip Code],'G - ZIP Code'!A481)</f>
        <v>0</v>
      </c>
    </row>
    <row r="482" spans="1:3" x14ac:dyDescent="0.25">
      <c r="A482">
        <v>32796</v>
      </c>
      <c r="B482" t="s">
        <v>888</v>
      </c>
      <c r="C482">
        <f>COUNTIFS(Table24[Client ID '#],"&lt;&gt;",Table24[Residence Zip Code],'G - ZIP Code'!A482)</f>
        <v>0</v>
      </c>
    </row>
    <row r="483" spans="1:3" x14ac:dyDescent="0.25">
      <c r="A483">
        <v>32798</v>
      </c>
      <c r="B483" t="s">
        <v>888</v>
      </c>
      <c r="C483">
        <f>COUNTIFS(Table24[Client ID '#],"&lt;&gt;",Table24[Residence Zip Code],'G - ZIP Code'!A483)</f>
        <v>0</v>
      </c>
    </row>
    <row r="484" spans="1:3" x14ac:dyDescent="0.25">
      <c r="A484">
        <v>32799</v>
      </c>
      <c r="B484" t="s">
        <v>888</v>
      </c>
      <c r="C484">
        <f>COUNTIFS(Table24[Client ID '#],"&lt;&gt;",Table24[Residence Zip Code],'G - ZIP Code'!A484)</f>
        <v>0</v>
      </c>
    </row>
    <row r="485" spans="1:3" x14ac:dyDescent="0.25">
      <c r="A485">
        <v>32801</v>
      </c>
      <c r="B485" t="s">
        <v>888</v>
      </c>
      <c r="C485">
        <f>COUNTIFS(Table24[Client ID '#],"&lt;&gt;",Table24[Residence Zip Code],'G - ZIP Code'!A485)</f>
        <v>0</v>
      </c>
    </row>
    <row r="486" spans="1:3" x14ac:dyDescent="0.25">
      <c r="A486">
        <v>32802</v>
      </c>
      <c r="B486" t="s">
        <v>888</v>
      </c>
      <c r="C486">
        <f>COUNTIFS(Table24[Client ID '#],"&lt;&gt;",Table24[Residence Zip Code],'G - ZIP Code'!A486)</f>
        <v>0</v>
      </c>
    </row>
    <row r="487" spans="1:3" x14ac:dyDescent="0.25">
      <c r="A487">
        <v>32803</v>
      </c>
      <c r="B487" t="s">
        <v>888</v>
      </c>
      <c r="C487">
        <f>COUNTIFS(Table24[Client ID '#],"&lt;&gt;",Table24[Residence Zip Code],'G - ZIP Code'!A487)</f>
        <v>0</v>
      </c>
    </row>
    <row r="488" spans="1:3" x14ac:dyDescent="0.25">
      <c r="A488">
        <v>32804</v>
      </c>
      <c r="B488" t="s">
        <v>888</v>
      </c>
      <c r="C488">
        <f>COUNTIFS(Table24[Client ID '#],"&lt;&gt;",Table24[Residence Zip Code],'G - ZIP Code'!A488)</f>
        <v>0</v>
      </c>
    </row>
    <row r="489" spans="1:3" x14ac:dyDescent="0.25">
      <c r="A489">
        <v>32805</v>
      </c>
      <c r="B489" t="s">
        <v>888</v>
      </c>
      <c r="C489">
        <f>COUNTIFS(Table24[Client ID '#],"&lt;&gt;",Table24[Residence Zip Code],'G - ZIP Code'!A489)</f>
        <v>0</v>
      </c>
    </row>
    <row r="490" spans="1:3" x14ac:dyDescent="0.25">
      <c r="A490">
        <v>32806</v>
      </c>
      <c r="B490" t="s">
        <v>888</v>
      </c>
      <c r="C490">
        <f>COUNTIFS(Table24[Client ID '#],"&lt;&gt;",Table24[Residence Zip Code],'G - ZIP Code'!A490)</f>
        <v>0</v>
      </c>
    </row>
    <row r="491" spans="1:3" x14ac:dyDescent="0.25">
      <c r="A491">
        <v>32807</v>
      </c>
      <c r="B491" t="s">
        <v>888</v>
      </c>
      <c r="C491">
        <f>COUNTIFS(Table24[Client ID '#],"&lt;&gt;",Table24[Residence Zip Code],'G - ZIP Code'!A491)</f>
        <v>0</v>
      </c>
    </row>
    <row r="492" spans="1:3" x14ac:dyDescent="0.25">
      <c r="A492">
        <v>32808</v>
      </c>
      <c r="B492" t="s">
        <v>888</v>
      </c>
      <c r="C492">
        <f>COUNTIFS(Table24[Client ID '#],"&lt;&gt;",Table24[Residence Zip Code],'G - ZIP Code'!A492)</f>
        <v>0</v>
      </c>
    </row>
    <row r="493" spans="1:3" x14ac:dyDescent="0.25">
      <c r="A493">
        <v>32809</v>
      </c>
      <c r="B493" t="s">
        <v>888</v>
      </c>
      <c r="C493">
        <f>COUNTIFS(Table24[Client ID '#],"&lt;&gt;",Table24[Residence Zip Code],'G - ZIP Code'!A493)</f>
        <v>0</v>
      </c>
    </row>
    <row r="494" spans="1:3" x14ac:dyDescent="0.25">
      <c r="A494">
        <v>32810</v>
      </c>
      <c r="B494" t="s">
        <v>888</v>
      </c>
      <c r="C494">
        <f>COUNTIFS(Table24[Client ID '#],"&lt;&gt;",Table24[Residence Zip Code],'G - ZIP Code'!A494)</f>
        <v>0</v>
      </c>
    </row>
    <row r="495" spans="1:3" x14ac:dyDescent="0.25">
      <c r="A495">
        <v>32811</v>
      </c>
      <c r="B495" t="s">
        <v>888</v>
      </c>
      <c r="C495">
        <f>COUNTIFS(Table24[Client ID '#],"&lt;&gt;",Table24[Residence Zip Code],'G - ZIP Code'!A495)</f>
        <v>0</v>
      </c>
    </row>
    <row r="496" spans="1:3" x14ac:dyDescent="0.25">
      <c r="A496">
        <v>32812</v>
      </c>
      <c r="B496" t="s">
        <v>888</v>
      </c>
      <c r="C496">
        <f>COUNTIFS(Table24[Client ID '#],"&lt;&gt;",Table24[Residence Zip Code],'G - ZIP Code'!A496)</f>
        <v>0</v>
      </c>
    </row>
    <row r="497" spans="1:3" x14ac:dyDescent="0.25">
      <c r="A497">
        <v>32814</v>
      </c>
      <c r="B497" t="s">
        <v>888</v>
      </c>
      <c r="C497">
        <f>COUNTIFS(Table24[Client ID '#],"&lt;&gt;",Table24[Residence Zip Code],'G - ZIP Code'!A497)</f>
        <v>0</v>
      </c>
    </row>
    <row r="498" spans="1:3" x14ac:dyDescent="0.25">
      <c r="A498">
        <v>32815</v>
      </c>
      <c r="B498" t="s">
        <v>888</v>
      </c>
      <c r="C498">
        <f>COUNTIFS(Table24[Client ID '#],"&lt;&gt;",Table24[Residence Zip Code],'G - ZIP Code'!A498)</f>
        <v>0</v>
      </c>
    </row>
    <row r="499" spans="1:3" x14ac:dyDescent="0.25">
      <c r="A499">
        <v>32816</v>
      </c>
      <c r="B499" t="s">
        <v>888</v>
      </c>
      <c r="C499">
        <f>COUNTIFS(Table24[Client ID '#],"&lt;&gt;",Table24[Residence Zip Code],'G - ZIP Code'!A499)</f>
        <v>0</v>
      </c>
    </row>
    <row r="500" spans="1:3" x14ac:dyDescent="0.25">
      <c r="A500">
        <v>32817</v>
      </c>
      <c r="B500" t="s">
        <v>888</v>
      </c>
      <c r="C500">
        <f>COUNTIFS(Table24[Client ID '#],"&lt;&gt;",Table24[Residence Zip Code],'G - ZIP Code'!A500)</f>
        <v>0</v>
      </c>
    </row>
    <row r="501" spans="1:3" x14ac:dyDescent="0.25">
      <c r="A501">
        <v>32818</v>
      </c>
      <c r="B501" t="s">
        <v>888</v>
      </c>
      <c r="C501">
        <f>COUNTIFS(Table24[Client ID '#],"&lt;&gt;",Table24[Residence Zip Code],'G - ZIP Code'!A501)</f>
        <v>0</v>
      </c>
    </row>
    <row r="502" spans="1:3" x14ac:dyDescent="0.25">
      <c r="A502">
        <v>32819</v>
      </c>
      <c r="B502" t="s">
        <v>888</v>
      </c>
      <c r="C502">
        <f>COUNTIFS(Table24[Client ID '#],"&lt;&gt;",Table24[Residence Zip Code],'G - ZIP Code'!A502)</f>
        <v>0</v>
      </c>
    </row>
    <row r="503" spans="1:3" x14ac:dyDescent="0.25">
      <c r="A503">
        <v>32820</v>
      </c>
      <c r="B503" t="s">
        <v>888</v>
      </c>
      <c r="C503">
        <f>COUNTIFS(Table24[Client ID '#],"&lt;&gt;",Table24[Residence Zip Code],'G - ZIP Code'!A503)</f>
        <v>0</v>
      </c>
    </row>
    <row r="504" spans="1:3" x14ac:dyDescent="0.25">
      <c r="A504">
        <v>32821</v>
      </c>
      <c r="B504" t="s">
        <v>888</v>
      </c>
      <c r="C504">
        <f>COUNTIFS(Table24[Client ID '#],"&lt;&gt;",Table24[Residence Zip Code],'G - ZIP Code'!A504)</f>
        <v>0</v>
      </c>
    </row>
    <row r="505" spans="1:3" x14ac:dyDescent="0.25">
      <c r="A505">
        <v>32822</v>
      </c>
      <c r="B505" t="s">
        <v>888</v>
      </c>
      <c r="C505">
        <f>COUNTIFS(Table24[Client ID '#],"&lt;&gt;",Table24[Residence Zip Code],'G - ZIP Code'!A505)</f>
        <v>0</v>
      </c>
    </row>
    <row r="506" spans="1:3" x14ac:dyDescent="0.25">
      <c r="A506">
        <v>32824</v>
      </c>
      <c r="B506" t="s">
        <v>888</v>
      </c>
      <c r="C506">
        <f>COUNTIFS(Table24[Client ID '#],"&lt;&gt;",Table24[Residence Zip Code],'G - ZIP Code'!A506)</f>
        <v>0</v>
      </c>
    </row>
    <row r="507" spans="1:3" x14ac:dyDescent="0.25">
      <c r="A507">
        <v>32825</v>
      </c>
      <c r="B507" t="s">
        <v>888</v>
      </c>
      <c r="C507">
        <f>COUNTIFS(Table24[Client ID '#],"&lt;&gt;",Table24[Residence Zip Code],'G - ZIP Code'!A507)</f>
        <v>0</v>
      </c>
    </row>
    <row r="508" spans="1:3" x14ac:dyDescent="0.25">
      <c r="A508">
        <v>32826</v>
      </c>
      <c r="B508" t="s">
        <v>888</v>
      </c>
      <c r="C508">
        <f>COUNTIFS(Table24[Client ID '#],"&lt;&gt;",Table24[Residence Zip Code],'G - ZIP Code'!A508)</f>
        <v>0</v>
      </c>
    </row>
    <row r="509" spans="1:3" x14ac:dyDescent="0.25">
      <c r="A509">
        <v>32827</v>
      </c>
      <c r="B509" t="s">
        <v>888</v>
      </c>
      <c r="C509">
        <f>COUNTIFS(Table24[Client ID '#],"&lt;&gt;",Table24[Residence Zip Code],'G - ZIP Code'!A509)</f>
        <v>0</v>
      </c>
    </row>
    <row r="510" spans="1:3" x14ac:dyDescent="0.25">
      <c r="A510">
        <v>32828</v>
      </c>
      <c r="B510" t="s">
        <v>888</v>
      </c>
      <c r="C510">
        <f>COUNTIFS(Table24[Client ID '#],"&lt;&gt;",Table24[Residence Zip Code],'G - ZIP Code'!A510)</f>
        <v>0</v>
      </c>
    </row>
    <row r="511" spans="1:3" x14ac:dyDescent="0.25">
      <c r="A511">
        <v>32829</v>
      </c>
      <c r="B511" t="s">
        <v>888</v>
      </c>
      <c r="C511">
        <f>COUNTIFS(Table24[Client ID '#],"&lt;&gt;",Table24[Residence Zip Code],'G - ZIP Code'!A511)</f>
        <v>0</v>
      </c>
    </row>
    <row r="512" spans="1:3" x14ac:dyDescent="0.25">
      <c r="A512">
        <v>32830</v>
      </c>
      <c r="B512" t="s">
        <v>888</v>
      </c>
      <c r="C512">
        <f>COUNTIFS(Table24[Client ID '#],"&lt;&gt;",Table24[Residence Zip Code],'G - ZIP Code'!A512)</f>
        <v>0</v>
      </c>
    </row>
    <row r="513" spans="1:3" x14ac:dyDescent="0.25">
      <c r="A513">
        <v>32831</v>
      </c>
      <c r="B513" t="s">
        <v>888</v>
      </c>
      <c r="C513">
        <f>COUNTIFS(Table24[Client ID '#],"&lt;&gt;",Table24[Residence Zip Code],'G - ZIP Code'!A513)</f>
        <v>0</v>
      </c>
    </row>
    <row r="514" spans="1:3" x14ac:dyDescent="0.25">
      <c r="A514">
        <v>32832</v>
      </c>
      <c r="B514" t="s">
        <v>888</v>
      </c>
      <c r="C514">
        <f>COUNTIFS(Table24[Client ID '#],"&lt;&gt;",Table24[Residence Zip Code],'G - ZIP Code'!A514)</f>
        <v>0</v>
      </c>
    </row>
    <row r="515" spans="1:3" x14ac:dyDescent="0.25">
      <c r="A515">
        <v>32833</v>
      </c>
      <c r="B515" t="s">
        <v>888</v>
      </c>
      <c r="C515">
        <f>COUNTIFS(Table24[Client ID '#],"&lt;&gt;",Table24[Residence Zip Code],'G - ZIP Code'!A515)</f>
        <v>0</v>
      </c>
    </row>
    <row r="516" spans="1:3" x14ac:dyDescent="0.25">
      <c r="A516">
        <v>32834</v>
      </c>
      <c r="B516" t="s">
        <v>888</v>
      </c>
      <c r="C516">
        <f>COUNTIFS(Table24[Client ID '#],"&lt;&gt;",Table24[Residence Zip Code],'G - ZIP Code'!A516)</f>
        <v>0</v>
      </c>
    </row>
    <row r="517" spans="1:3" x14ac:dyDescent="0.25">
      <c r="A517">
        <v>32835</v>
      </c>
      <c r="B517" t="s">
        <v>888</v>
      </c>
      <c r="C517">
        <f>COUNTIFS(Table24[Client ID '#],"&lt;&gt;",Table24[Residence Zip Code],'G - ZIP Code'!A517)</f>
        <v>0</v>
      </c>
    </row>
    <row r="518" spans="1:3" x14ac:dyDescent="0.25">
      <c r="A518">
        <v>32836</v>
      </c>
      <c r="B518" t="s">
        <v>888</v>
      </c>
      <c r="C518">
        <f>COUNTIFS(Table24[Client ID '#],"&lt;&gt;",Table24[Residence Zip Code],'G - ZIP Code'!A518)</f>
        <v>0</v>
      </c>
    </row>
    <row r="519" spans="1:3" x14ac:dyDescent="0.25">
      <c r="A519">
        <v>32837</v>
      </c>
      <c r="B519" t="s">
        <v>888</v>
      </c>
      <c r="C519">
        <f>COUNTIFS(Table24[Client ID '#],"&lt;&gt;",Table24[Residence Zip Code],'G - ZIP Code'!A519)</f>
        <v>0</v>
      </c>
    </row>
    <row r="520" spans="1:3" x14ac:dyDescent="0.25">
      <c r="A520">
        <v>32839</v>
      </c>
      <c r="B520" t="s">
        <v>888</v>
      </c>
      <c r="C520">
        <f>COUNTIFS(Table24[Client ID '#],"&lt;&gt;",Table24[Residence Zip Code],'G - ZIP Code'!A520)</f>
        <v>0</v>
      </c>
    </row>
    <row r="521" spans="1:3" x14ac:dyDescent="0.25">
      <c r="A521">
        <v>32853</v>
      </c>
      <c r="B521" t="s">
        <v>888</v>
      </c>
      <c r="C521">
        <f>COUNTIFS(Table24[Client ID '#],"&lt;&gt;",Table24[Residence Zip Code],'G - ZIP Code'!A521)</f>
        <v>0</v>
      </c>
    </row>
    <row r="522" spans="1:3" x14ac:dyDescent="0.25">
      <c r="A522">
        <v>32854</v>
      </c>
      <c r="B522" t="s">
        <v>888</v>
      </c>
      <c r="C522">
        <f>COUNTIFS(Table24[Client ID '#],"&lt;&gt;",Table24[Residence Zip Code],'G - ZIP Code'!A522)</f>
        <v>0</v>
      </c>
    </row>
    <row r="523" spans="1:3" x14ac:dyDescent="0.25">
      <c r="A523">
        <v>32855</v>
      </c>
      <c r="B523" t="s">
        <v>888</v>
      </c>
      <c r="C523">
        <f>COUNTIFS(Table24[Client ID '#],"&lt;&gt;",Table24[Residence Zip Code],'G - ZIP Code'!A523)</f>
        <v>0</v>
      </c>
    </row>
    <row r="524" spans="1:3" x14ac:dyDescent="0.25">
      <c r="A524">
        <v>32856</v>
      </c>
      <c r="B524" t="s">
        <v>888</v>
      </c>
      <c r="C524">
        <f>COUNTIFS(Table24[Client ID '#],"&lt;&gt;",Table24[Residence Zip Code],'G - ZIP Code'!A524)</f>
        <v>0</v>
      </c>
    </row>
    <row r="525" spans="1:3" x14ac:dyDescent="0.25">
      <c r="A525">
        <v>32857</v>
      </c>
      <c r="B525" t="s">
        <v>888</v>
      </c>
      <c r="C525">
        <f>COUNTIFS(Table24[Client ID '#],"&lt;&gt;",Table24[Residence Zip Code],'G - ZIP Code'!A525)</f>
        <v>0</v>
      </c>
    </row>
    <row r="526" spans="1:3" x14ac:dyDescent="0.25">
      <c r="A526">
        <v>32858</v>
      </c>
      <c r="B526" t="s">
        <v>888</v>
      </c>
      <c r="C526">
        <f>COUNTIFS(Table24[Client ID '#],"&lt;&gt;",Table24[Residence Zip Code],'G - ZIP Code'!A526)</f>
        <v>0</v>
      </c>
    </row>
    <row r="527" spans="1:3" x14ac:dyDescent="0.25">
      <c r="A527">
        <v>32859</v>
      </c>
      <c r="B527" t="s">
        <v>888</v>
      </c>
      <c r="C527">
        <f>COUNTIFS(Table24[Client ID '#],"&lt;&gt;",Table24[Residence Zip Code],'G - ZIP Code'!A527)</f>
        <v>0</v>
      </c>
    </row>
    <row r="528" spans="1:3" x14ac:dyDescent="0.25">
      <c r="A528">
        <v>32860</v>
      </c>
      <c r="B528" t="s">
        <v>888</v>
      </c>
      <c r="C528">
        <f>COUNTIFS(Table24[Client ID '#],"&lt;&gt;",Table24[Residence Zip Code],'G - ZIP Code'!A528)</f>
        <v>0</v>
      </c>
    </row>
    <row r="529" spans="1:3" x14ac:dyDescent="0.25">
      <c r="A529">
        <v>32861</v>
      </c>
      <c r="B529" t="s">
        <v>888</v>
      </c>
      <c r="C529">
        <f>COUNTIFS(Table24[Client ID '#],"&lt;&gt;",Table24[Residence Zip Code],'G - ZIP Code'!A529)</f>
        <v>0</v>
      </c>
    </row>
    <row r="530" spans="1:3" x14ac:dyDescent="0.25">
      <c r="A530">
        <v>32862</v>
      </c>
      <c r="B530" t="s">
        <v>888</v>
      </c>
      <c r="C530">
        <f>COUNTIFS(Table24[Client ID '#],"&lt;&gt;",Table24[Residence Zip Code],'G - ZIP Code'!A530)</f>
        <v>0</v>
      </c>
    </row>
    <row r="531" spans="1:3" x14ac:dyDescent="0.25">
      <c r="A531">
        <v>32867</v>
      </c>
      <c r="B531" t="s">
        <v>888</v>
      </c>
      <c r="C531">
        <f>COUNTIFS(Table24[Client ID '#],"&lt;&gt;",Table24[Residence Zip Code],'G - ZIP Code'!A531)</f>
        <v>0</v>
      </c>
    </row>
    <row r="532" spans="1:3" x14ac:dyDescent="0.25">
      <c r="A532">
        <v>32868</v>
      </c>
      <c r="B532" t="s">
        <v>888</v>
      </c>
      <c r="C532">
        <f>COUNTIFS(Table24[Client ID '#],"&lt;&gt;",Table24[Residence Zip Code],'G - ZIP Code'!A532)</f>
        <v>0</v>
      </c>
    </row>
    <row r="533" spans="1:3" x14ac:dyDescent="0.25">
      <c r="A533">
        <v>32869</v>
      </c>
      <c r="B533" t="s">
        <v>888</v>
      </c>
      <c r="C533">
        <f>COUNTIFS(Table24[Client ID '#],"&lt;&gt;",Table24[Residence Zip Code],'G - ZIP Code'!A533)</f>
        <v>0</v>
      </c>
    </row>
    <row r="534" spans="1:3" x14ac:dyDescent="0.25">
      <c r="A534">
        <v>32872</v>
      </c>
      <c r="B534" t="s">
        <v>888</v>
      </c>
      <c r="C534">
        <f>COUNTIFS(Table24[Client ID '#],"&lt;&gt;",Table24[Residence Zip Code],'G - ZIP Code'!A534)</f>
        <v>0</v>
      </c>
    </row>
    <row r="535" spans="1:3" x14ac:dyDescent="0.25">
      <c r="A535">
        <v>32877</v>
      </c>
      <c r="B535" t="s">
        <v>888</v>
      </c>
      <c r="C535">
        <f>COUNTIFS(Table24[Client ID '#],"&lt;&gt;",Table24[Residence Zip Code],'G - ZIP Code'!A535)</f>
        <v>0</v>
      </c>
    </row>
    <row r="536" spans="1:3" x14ac:dyDescent="0.25">
      <c r="A536">
        <v>32878</v>
      </c>
      <c r="B536" t="s">
        <v>888</v>
      </c>
      <c r="C536">
        <f>COUNTIFS(Table24[Client ID '#],"&lt;&gt;",Table24[Residence Zip Code],'G - ZIP Code'!A536)</f>
        <v>0</v>
      </c>
    </row>
    <row r="537" spans="1:3" x14ac:dyDescent="0.25">
      <c r="A537">
        <v>32885</v>
      </c>
      <c r="B537" t="s">
        <v>888</v>
      </c>
      <c r="C537">
        <f>COUNTIFS(Table24[Client ID '#],"&lt;&gt;",Table24[Residence Zip Code],'G - ZIP Code'!A537)</f>
        <v>0</v>
      </c>
    </row>
    <row r="538" spans="1:3" x14ac:dyDescent="0.25">
      <c r="A538">
        <v>32886</v>
      </c>
      <c r="B538" t="s">
        <v>888</v>
      </c>
      <c r="C538">
        <f>COUNTIFS(Table24[Client ID '#],"&lt;&gt;",Table24[Residence Zip Code],'G - ZIP Code'!A538)</f>
        <v>0</v>
      </c>
    </row>
    <row r="539" spans="1:3" x14ac:dyDescent="0.25">
      <c r="A539">
        <v>32887</v>
      </c>
      <c r="B539" t="s">
        <v>888</v>
      </c>
      <c r="C539">
        <f>COUNTIFS(Table24[Client ID '#],"&lt;&gt;",Table24[Residence Zip Code],'G - ZIP Code'!A539)</f>
        <v>0</v>
      </c>
    </row>
    <row r="540" spans="1:3" x14ac:dyDescent="0.25">
      <c r="A540">
        <v>32890</v>
      </c>
      <c r="B540" t="s">
        <v>888</v>
      </c>
      <c r="C540">
        <f>COUNTIFS(Table24[Client ID '#],"&lt;&gt;",Table24[Residence Zip Code],'G - ZIP Code'!A540)</f>
        <v>0</v>
      </c>
    </row>
    <row r="541" spans="1:3" x14ac:dyDescent="0.25">
      <c r="A541">
        <v>32891</v>
      </c>
      <c r="B541" t="s">
        <v>888</v>
      </c>
      <c r="C541">
        <f>COUNTIFS(Table24[Client ID '#],"&lt;&gt;",Table24[Residence Zip Code],'G - ZIP Code'!A541)</f>
        <v>0</v>
      </c>
    </row>
    <row r="542" spans="1:3" x14ac:dyDescent="0.25">
      <c r="A542">
        <v>32893</v>
      </c>
      <c r="B542" t="s">
        <v>888</v>
      </c>
      <c r="C542">
        <f>COUNTIFS(Table24[Client ID '#],"&lt;&gt;",Table24[Residence Zip Code],'G - ZIP Code'!A542)</f>
        <v>0</v>
      </c>
    </row>
    <row r="543" spans="1:3" x14ac:dyDescent="0.25">
      <c r="A543">
        <v>32896</v>
      </c>
      <c r="B543" t="s">
        <v>888</v>
      </c>
      <c r="C543">
        <f>COUNTIFS(Table24[Client ID '#],"&lt;&gt;",Table24[Residence Zip Code],'G - ZIP Code'!A543)</f>
        <v>0</v>
      </c>
    </row>
    <row r="544" spans="1:3" x14ac:dyDescent="0.25">
      <c r="A544">
        <v>32897</v>
      </c>
      <c r="B544" t="s">
        <v>888</v>
      </c>
      <c r="C544">
        <f>COUNTIFS(Table24[Client ID '#],"&lt;&gt;",Table24[Residence Zip Code],'G - ZIP Code'!A544)</f>
        <v>0</v>
      </c>
    </row>
    <row r="545" spans="1:3" x14ac:dyDescent="0.25">
      <c r="A545">
        <v>32898</v>
      </c>
      <c r="B545" t="s">
        <v>888</v>
      </c>
      <c r="C545">
        <f>COUNTIFS(Table24[Client ID '#],"&lt;&gt;",Table24[Residence Zip Code],'G - ZIP Code'!A545)</f>
        <v>0</v>
      </c>
    </row>
    <row r="546" spans="1:3" x14ac:dyDescent="0.25">
      <c r="A546">
        <v>32899</v>
      </c>
      <c r="B546" t="s">
        <v>888</v>
      </c>
      <c r="C546">
        <f>COUNTIFS(Table24[Client ID '#],"&lt;&gt;",Table24[Residence Zip Code],'G - ZIP Code'!A546)</f>
        <v>0</v>
      </c>
    </row>
    <row r="547" spans="1:3" x14ac:dyDescent="0.25">
      <c r="A547">
        <v>32901</v>
      </c>
      <c r="B547" t="s">
        <v>888</v>
      </c>
      <c r="C547">
        <f>COUNTIFS(Table24[Client ID '#],"&lt;&gt;",Table24[Residence Zip Code],'G - ZIP Code'!A547)</f>
        <v>0</v>
      </c>
    </row>
    <row r="548" spans="1:3" x14ac:dyDescent="0.25">
      <c r="A548">
        <v>32902</v>
      </c>
      <c r="B548" t="s">
        <v>888</v>
      </c>
      <c r="C548">
        <f>COUNTIFS(Table24[Client ID '#],"&lt;&gt;",Table24[Residence Zip Code],'G - ZIP Code'!A548)</f>
        <v>0</v>
      </c>
    </row>
    <row r="549" spans="1:3" x14ac:dyDescent="0.25">
      <c r="A549">
        <v>32903</v>
      </c>
      <c r="B549" t="s">
        <v>888</v>
      </c>
      <c r="C549">
        <f>COUNTIFS(Table24[Client ID '#],"&lt;&gt;",Table24[Residence Zip Code],'G - ZIP Code'!A549)</f>
        <v>0</v>
      </c>
    </row>
    <row r="550" spans="1:3" x14ac:dyDescent="0.25">
      <c r="A550">
        <v>32904</v>
      </c>
      <c r="B550" t="s">
        <v>888</v>
      </c>
      <c r="C550">
        <f>COUNTIFS(Table24[Client ID '#],"&lt;&gt;",Table24[Residence Zip Code],'G - ZIP Code'!A550)</f>
        <v>0</v>
      </c>
    </row>
    <row r="551" spans="1:3" x14ac:dyDescent="0.25">
      <c r="A551">
        <v>32905</v>
      </c>
      <c r="B551" t="s">
        <v>888</v>
      </c>
      <c r="C551">
        <f>COUNTIFS(Table24[Client ID '#],"&lt;&gt;",Table24[Residence Zip Code],'G - ZIP Code'!A551)</f>
        <v>0</v>
      </c>
    </row>
    <row r="552" spans="1:3" x14ac:dyDescent="0.25">
      <c r="A552">
        <v>32906</v>
      </c>
      <c r="B552" t="s">
        <v>888</v>
      </c>
      <c r="C552">
        <f>COUNTIFS(Table24[Client ID '#],"&lt;&gt;",Table24[Residence Zip Code],'G - ZIP Code'!A552)</f>
        <v>0</v>
      </c>
    </row>
    <row r="553" spans="1:3" x14ac:dyDescent="0.25">
      <c r="A553">
        <v>32907</v>
      </c>
      <c r="B553" t="s">
        <v>888</v>
      </c>
      <c r="C553">
        <f>COUNTIFS(Table24[Client ID '#],"&lt;&gt;",Table24[Residence Zip Code],'G - ZIP Code'!A553)</f>
        <v>0</v>
      </c>
    </row>
    <row r="554" spans="1:3" x14ac:dyDescent="0.25">
      <c r="A554">
        <v>32908</v>
      </c>
      <c r="B554" t="s">
        <v>888</v>
      </c>
      <c r="C554">
        <f>COUNTIFS(Table24[Client ID '#],"&lt;&gt;",Table24[Residence Zip Code],'G - ZIP Code'!A554)</f>
        <v>0</v>
      </c>
    </row>
    <row r="555" spans="1:3" x14ac:dyDescent="0.25">
      <c r="A555">
        <v>32909</v>
      </c>
      <c r="B555" t="s">
        <v>888</v>
      </c>
      <c r="C555">
        <f>COUNTIFS(Table24[Client ID '#],"&lt;&gt;",Table24[Residence Zip Code],'G - ZIP Code'!A555)</f>
        <v>0</v>
      </c>
    </row>
    <row r="556" spans="1:3" x14ac:dyDescent="0.25">
      <c r="A556">
        <v>32910</v>
      </c>
      <c r="B556" t="s">
        <v>888</v>
      </c>
      <c r="C556">
        <f>COUNTIFS(Table24[Client ID '#],"&lt;&gt;",Table24[Residence Zip Code],'G - ZIP Code'!A556)</f>
        <v>0</v>
      </c>
    </row>
    <row r="557" spans="1:3" x14ac:dyDescent="0.25">
      <c r="A557">
        <v>32911</v>
      </c>
      <c r="B557" t="s">
        <v>888</v>
      </c>
      <c r="C557">
        <f>COUNTIFS(Table24[Client ID '#],"&lt;&gt;",Table24[Residence Zip Code],'G - ZIP Code'!A557)</f>
        <v>0</v>
      </c>
    </row>
    <row r="558" spans="1:3" x14ac:dyDescent="0.25">
      <c r="A558">
        <v>32912</v>
      </c>
      <c r="B558" t="s">
        <v>888</v>
      </c>
      <c r="C558">
        <f>COUNTIFS(Table24[Client ID '#],"&lt;&gt;",Table24[Residence Zip Code],'G - ZIP Code'!A558)</f>
        <v>0</v>
      </c>
    </row>
    <row r="559" spans="1:3" x14ac:dyDescent="0.25">
      <c r="A559">
        <v>32919</v>
      </c>
      <c r="B559" t="s">
        <v>888</v>
      </c>
      <c r="C559">
        <f>COUNTIFS(Table24[Client ID '#],"&lt;&gt;",Table24[Residence Zip Code],'G - ZIP Code'!A559)</f>
        <v>0</v>
      </c>
    </row>
    <row r="560" spans="1:3" x14ac:dyDescent="0.25">
      <c r="A560">
        <v>32920</v>
      </c>
      <c r="B560" t="s">
        <v>888</v>
      </c>
      <c r="C560">
        <f>COUNTIFS(Table24[Client ID '#],"&lt;&gt;",Table24[Residence Zip Code],'G - ZIP Code'!A560)</f>
        <v>0</v>
      </c>
    </row>
    <row r="561" spans="1:3" x14ac:dyDescent="0.25">
      <c r="A561">
        <v>32922</v>
      </c>
      <c r="B561" t="s">
        <v>888</v>
      </c>
      <c r="C561">
        <f>COUNTIFS(Table24[Client ID '#],"&lt;&gt;",Table24[Residence Zip Code],'G - ZIP Code'!A561)</f>
        <v>0</v>
      </c>
    </row>
    <row r="562" spans="1:3" x14ac:dyDescent="0.25">
      <c r="A562">
        <v>32923</v>
      </c>
      <c r="B562" t="s">
        <v>888</v>
      </c>
      <c r="C562">
        <f>COUNTIFS(Table24[Client ID '#],"&lt;&gt;",Table24[Residence Zip Code],'G - ZIP Code'!A562)</f>
        <v>0</v>
      </c>
    </row>
    <row r="563" spans="1:3" x14ac:dyDescent="0.25">
      <c r="A563">
        <v>32924</v>
      </c>
      <c r="B563" t="s">
        <v>888</v>
      </c>
      <c r="C563">
        <f>COUNTIFS(Table24[Client ID '#],"&lt;&gt;",Table24[Residence Zip Code],'G - ZIP Code'!A563)</f>
        <v>0</v>
      </c>
    </row>
    <row r="564" spans="1:3" x14ac:dyDescent="0.25">
      <c r="A564">
        <v>32925</v>
      </c>
      <c r="B564" t="s">
        <v>888</v>
      </c>
      <c r="C564">
        <f>COUNTIFS(Table24[Client ID '#],"&lt;&gt;",Table24[Residence Zip Code],'G - ZIP Code'!A564)</f>
        <v>0</v>
      </c>
    </row>
    <row r="565" spans="1:3" x14ac:dyDescent="0.25">
      <c r="A565">
        <v>32926</v>
      </c>
      <c r="B565" t="s">
        <v>888</v>
      </c>
      <c r="C565">
        <f>COUNTIFS(Table24[Client ID '#],"&lt;&gt;",Table24[Residence Zip Code],'G - ZIP Code'!A565)</f>
        <v>0</v>
      </c>
    </row>
    <row r="566" spans="1:3" x14ac:dyDescent="0.25">
      <c r="A566">
        <v>32927</v>
      </c>
      <c r="B566" t="s">
        <v>888</v>
      </c>
      <c r="C566">
        <f>COUNTIFS(Table24[Client ID '#],"&lt;&gt;",Table24[Residence Zip Code],'G - ZIP Code'!A566)</f>
        <v>0</v>
      </c>
    </row>
    <row r="567" spans="1:3" x14ac:dyDescent="0.25">
      <c r="A567">
        <v>32931</v>
      </c>
      <c r="B567" t="s">
        <v>888</v>
      </c>
      <c r="C567">
        <f>COUNTIFS(Table24[Client ID '#],"&lt;&gt;",Table24[Residence Zip Code],'G - ZIP Code'!A567)</f>
        <v>0</v>
      </c>
    </row>
    <row r="568" spans="1:3" x14ac:dyDescent="0.25">
      <c r="A568">
        <v>32932</v>
      </c>
      <c r="B568" t="s">
        <v>888</v>
      </c>
      <c r="C568">
        <f>COUNTIFS(Table24[Client ID '#],"&lt;&gt;",Table24[Residence Zip Code],'G - ZIP Code'!A568)</f>
        <v>0</v>
      </c>
    </row>
    <row r="569" spans="1:3" x14ac:dyDescent="0.25">
      <c r="A569">
        <v>32934</v>
      </c>
      <c r="B569" t="s">
        <v>888</v>
      </c>
      <c r="C569">
        <f>COUNTIFS(Table24[Client ID '#],"&lt;&gt;",Table24[Residence Zip Code],'G - ZIP Code'!A569)</f>
        <v>0</v>
      </c>
    </row>
    <row r="570" spans="1:3" x14ac:dyDescent="0.25">
      <c r="A570">
        <v>32935</v>
      </c>
      <c r="B570" t="s">
        <v>888</v>
      </c>
      <c r="C570">
        <f>COUNTIFS(Table24[Client ID '#],"&lt;&gt;",Table24[Residence Zip Code],'G - ZIP Code'!A570)</f>
        <v>0</v>
      </c>
    </row>
    <row r="571" spans="1:3" x14ac:dyDescent="0.25">
      <c r="A571">
        <v>32936</v>
      </c>
      <c r="B571" t="s">
        <v>888</v>
      </c>
      <c r="C571">
        <f>COUNTIFS(Table24[Client ID '#],"&lt;&gt;",Table24[Residence Zip Code],'G - ZIP Code'!A571)</f>
        <v>0</v>
      </c>
    </row>
    <row r="572" spans="1:3" x14ac:dyDescent="0.25">
      <c r="A572">
        <v>32937</v>
      </c>
      <c r="B572" t="s">
        <v>888</v>
      </c>
      <c r="C572">
        <f>COUNTIFS(Table24[Client ID '#],"&lt;&gt;",Table24[Residence Zip Code],'G - ZIP Code'!A572)</f>
        <v>0</v>
      </c>
    </row>
    <row r="573" spans="1:3" x14ac:dyDescent="0.25">
      <c r="A573">
        <v>32940</v>
      </c>
      <c r="B573" t="s">
        <v>888</v>
      </c>
      <c r="C573">
        <f>COUNTIFS(Table24[Client ID '#],"&lt;&gt;",Table24[Residence Zip Code],'G - ZIP Code'!A573)</f>
        <v>0</v>
      </c>
    </row>
    <row r="574" spans="1:3" x14ac:dyDescent="0.25">
      <c r="A574">
        <v>32941</v>
      </c>
      <c r="B574" t="s">
        <v>888</v>
      </c>
      <c r="C574">
        <f>COUNTIFS(Table24[Client ID '#],"&lt;&gt;",Table24[Residence Zip Code],'G - ZIP Code'!A574)</f>
        <v>0</v>
      </c>
    </row>
    <row r="575" spans="1:3" x14ac:dyDescent="0.25">
      <c r="A575">
        <v>32948</v>
      </c>
      <c r="B575" t="s">
        <v>888</v>
      </c>
      <c r="C575">
        <f>COUNTIFS(Table24[Client ID '#],"&lt;&gt;",Table24[Residence Zip Code],'G - ZIP Code'!A575)</f>
        <v>0</v>
      </c>
    </row>
    <row r="576" spans="1:3" x14ac:dyDescent="0.25">
      <c r="A576">
        <v>32949</v>
      </c>
      <c r="B576" t="s">
        <v>888</v>
      </c>
      <c r="C576">
        <f>COUNTIFS(Table24[Client ID '#],"&lt;&gt;",Table24[Residence Zip Code],'G - ZIP Code'!A576)</f>
        <v>0</v>
      </c>
    </row>
    <row r="577" spans="1:3" x14ac:dyDescent="0.25">
      <c r="A577">
        <v>32950</v>
      </c>
      <c r="B577" t="s">
        <v>888</v>
      </c>
      <c r="C577">
        <f>COUNTIFS(Table24[Client ID '#],"&lt;&gt;",Table24[Residence Zip Code],'G - ZIP Code'!A577)</f>
        <v>0</v>
      </c>
    </row>
    <row r="578" spans="1:3" x14ac:dyDescent="0.25">
      <c r="A578">
        <v>32951</v>
      </c>
      <c r="B578" t="s">
        <v>888</v>
      </c>
      <c r="C578">
        <f>COUNTIFS(Table24[Client ID '#],"&lt;&gt;",Table24[Residence Zip Code],'G - ZIP Code'!A578)</f>
        <v>0</v>
      </c>
    </row>
    <row r="579" spans="1:3" x14ac:dyDescent="0.25">
      <c r="A579">
        <v>32952</v>
      </c>
      <c r="B579" t="s">
        <v>888</v>
      </c>
      <c r="C579">
        <f>COUNTIFS(Table24[Client ID '#],"&lt;&gt;",Table24[Residence Zip Code],'G - ZIP Code'!A579)</f>
        <v>0</v>
      </c>
    </row>
    <row r="580" spans="1:3" x14ac:dyDescent="0.25">
      <c r="A580">
        <v>32953</v>
      </c>
      <c r="B580" t="s">
        <v>888</v>
      </c>
      <c r="C580">
        <f>COUNTIFS(Table24[Client ID '#],"&lt;&gt;",Table24[Residence Zip Code],'G - ZIP Code'!A580)</f>
        <v>0</v>
      </c>
    </row>
    <row r="581" spans="1:3" x14ac:dyDescent="0.25">
      <c r="A581">
        <v>32954</v>
      </c>
      <c r="B581" t="s">
        <v>888</v>
      </c>
      <c r="C581">
        <f>COUNTIFS(Table24[Client ID '#],"&lt;&gt;",Table24[Residence Zip Code],'G - ZIP Code'!A581)</f>
        <v>0</v>
      </c>
    </row>
    <row r="582" spans="1:3" x14ac:dyDescent="0.25">
      <c r="A582">
        <v>32955</v>
      </c>
      <c r="B582" t="s">
        <v>888</v>
      </c>
      <c r="C582">
        <f>COUNTIFS(Table24[Client ID '#],"&lt;&gt;",Table24[Residence Zip Code],'G - ZIP Code'!A582)</f>
        <v>0</v>
      </c>
    </row>
    <row r="583" spans="1:3" x14ac:dyDescent="0.25">
      <c r="A583">
        <v>32956</v>
      </c>
      <c r="B583" t="s">
        <v>888</v>
      </c>
      <c r="C583">
        <f>COUNTIFS(Table24[Client ID '#],"&lt;&gt;",Table24[Residence Zip Code],'G - ZIP Code'!A583)</f>
        <v>0</v>
      </c>
    </row>
    <row r="584" spans="1:3" x14ac:dyDescent="0.25">
      <c r="A584">
        <v>32957</v>
      </c>
      <c r="B584" t="s">
        <v>888</v>
      </c>
      <c r="C584">
        <f>COUNTIFS(Table24[Client ID '#],"&lt;&gt;",Table24[Residence Zip Code],'G - ZIP Code'!A584)</f>
        <v>0</v>
      </c>
    </row>
    <row r="585" spans="1:3" x14ac:dyDescent="0.25">
      <c r="A585">
        <v>32958</v>
      </c>
      <c r="B585" t="s">
        <v>888</v>
      </c>
      <c r="C585">
        <f>COUNTIFS(Table24[Client ID '#],"&lt;&gt;",Table24[Residence Zip Code],'G - ZIP Code'!A585)</f>
        <v>0</v>
      </c>
    </row>
    <row r="586" spans="1:3" x14ac:dyDescent="0.25">
      <c r="A586">
        <v>32959</v>
      </c>
      <c r="B586" t="s">
        <v>888</v>
      </c>
      <c r="C586">
        <f>COUNTIFS(Table24[Client ID '#],"&lt;&gt;",Table24[Residence Zip Code],'G - ZIP Code'!A586)</f>
        <v>0</v>
      </c>
    </row>
    <row r="587" spans="1:3" x14ac:dyDescent="0.25">
      <c r="A587">
        <v>32960</v>
      </c>
      <c r="B587" t="s">
        <v>888</v>
      </c>
      <c r="C587">
        <f>COUNTIFS(Table24[Client ID '#],"&lt;&gt;",Table24[Residence Zip Code],'G - ZIP Code'!A587)</f>
        <v>0</v>
      </c>
    </row>
    <row r="588" spans="1:3" x14ac:dyDescent="0.25">
      <c r="A588">
        <v>32961</v>
      </c>
      <c r="B588" t="s">
        <v>888</v>
      </c>
      <c r="C588">
        <f>COUNTIFS(Table24[Client ID '#],"&lt;&gt;",Table24[Residence Zip Code],'G - ZIP Code'!A588)</f>
        <v>0</v>
      </c>
    </row>
    <row r="589" spans="1:3" x14ac:dyDescent="0.25">
      <c r="A589">
        <v>32962</v>
      </c>
      <c r="B589" t="s">
        <v>888</v>
      </c>
      <c r="C589">
        <f>COUNTIFS(Table24[Client ID '#],"&lt;&gt;",Table24[Residence Zip Code],'G - ZIP Code'!A589)</f>
        <v>0</v>
      </c>
    </row>
    <row r="590" spans="1:3" x14ac:dyDescent="0.25">
      <c r="A590">
        <v>32963</v>
      </c>
      <c r="B590" t="s">
        <v>888</v>
      </c>
      <c r="C590">
        <f>COUNTIFS(Table24[Client ID '#],"&lt;&gt;",Table24[Residence Zip Code],'G - ZIP Code'!A590)</f>
        <v>0</v>
      </c>
    </row>
    <row r="591" spans="1:3" x14ac:dyDescent="0.25">
      <c r="A591">
        <v>32964</v>
      </c>
      <c r="B591" t="s">
        <v>888</v>
      </c>
      <c r="C591">
        <f>COUNTIFS(Table24[Client ID '#],"&lt;&gt;",Table24[Residence Zip Code],'G - ZIP Code'!A591)</f>
        <v>0</v>
      </c>
    </row>
    <row r="592" spans="1:3" x14ac:dyDescent="0.25">
      <c r="A592">
        <v>32965</v>
      </c>
      <c r="B592" t="s">
        <v>888</v>
      </c>
      <c r="C592">
        <f>COUNTIFS(Table24[Client ID '#],"&lt;&gt;",Table24[Residence Zip Code],'G - ZIP Code'!A592)</f>
        <v>0</v>
      </c>
    </row>
    <row r="593" spans="1:3" x14ac:dyDescent="0.25">
      <c r="A593">
        <v>32966</v>
      </c>
      <c r="B593" t="s">
        <v>888</v>
      </c>
      <c r="C593">
        <f>COUNTIFS(Table24[Client ID '#],"&lt;&gt;",Table24[Residence Zip Code],'G - ZIP Code'!A593)</f>
        <v>0</v>
      </c>
    </row>
    <row r="594" spans="1:3" x14ac:dyDescent="0.25">
      <c r="A594">
        <v>32967</v>
      </c>
      <c r="B594" t="s">
        <v>888</v>
      </c>
      <c r="C594">
        <f>COUNTIFS(Table24[Client ID '#],"&lt;&gt;",Table24[Residence Zip Code],'G - ZIP Code'!A594)</f>
        <v>0</v>
      </c>
    </row>
    <row r="595" spans="1:3" x14ac:dyDescent="0.25">
      <c r="A595">
        <v>32968</v>
      </c>
      <c r="B595" t="s">
        <v>888</v>
      </c>
      <c r="C595">
        <f>COUNTIFS(Table24[Client ID '#],"&lt;&gt;",Table24[Residence Zip Code],'G - ZIP Code'!A595)</f>
        <v>0</v>
      </c>
    </row>
    <row r="596" spans="1:3" x14ac:dyDescent="0.25">
      <c r="A596">
        <v>32969</v>
      </c>
      <c r="B596" t="s">
        <v>888</v>
      </c>
      <c r="C596">
        <f>COUNTIFS(Table24[Client ID '#],"&lt;&gt;",Table24[Residence Zip Code],'G - ZIP Code'!A596)</f>
        <v>0</v>
      </c>
    </row>
    <row r="597" spans="1:3" x14ac:dyDescent="0.25">
      <c r="A597">
        <v>32970</v>
      </c>
      <c r="B597" t="s">
        <v>888</v>
      </c>
      <c r="C597">
        <f>COUNTIFS(Table24[Client ID '#],"&lt;&gt;",Table24[Residence Zip Code],'G - ZIP Code'!A597)</f>
        <v>0</v>
      </c>
    </row>
    <row r="598" spans="1:3" x14ac:dyDescent="0.25">
      <c r="A598">
        <v>32971</v>
      </c>
      <c r="B598" t="s">
        <v>888</v>
      </c>
      <c r="C598">
        <f>COUNTIFS(Table24[Client ID '#],"&lt;&gt;",Table24[Residence Zip Code],'G - ZIP Code'!A598)</f>
        <v>0</v>
      </c>
    </row>
    <row r="599" spans="1:3" x14ac:dyDescent="0.25">
      <c r="A599">
        <v>32976</v>
      </c>
      <c r="B599" t="s">
        <v>888</v>
      </c>
      <c r="C599">
        <f>COUNTIFS(Table24[Client ID '#],"&lt;&gt;",Table24[Residence Zip Code],'G - ZIP Code'!A599)</f>
        <v>0</v>
      </c>
    </row>
    <row r="600" spans="1:3" x14ac:dyDescent="0.25">
      <c r="A600">
        <v>32978</v>
      </c>
      <c r="B600" t="s">
        <v>888</v>
      </c>
      <c r="C600">
        <f>COUNTIFS(Table24[Client ID '#],"&lt;&gt;",Table24[Residence Zip Code],'G - ZIP Code'!A600)</f>
        <v>0</v>
      </c>
    </row>
    <row r="601" spans="1:3" x14ac:dyDescent="0.25">
      <c r="A601">
        <v>33001</v>
      </c>
      <c r="B601" t="s">
        <v>888</v>
      </c>
      <c r="C601">
        <f>COUNTIFS(Table24[Client ID '#],"&lt;&gt;",Table24[Residence Zip Code],'G - ZIP Code'!A601)</f>
        <v>0</v>
      </c>
    </row>
    <row r="602" spans="1:3" x14ac:dyDescent="0.25">
      <c r="A602">
        <v>33002</v>
      </c>
      <c r="B602" t="s">
        <v>888</v>
      </c>
      <c r="C602">
        <f>COUNTIFS(Table24[Client ID '#],"&lt;&gt;",Table24[Residence Zip Code],'G - ZIP Code'!A602)</f>
        <v>0</v>
      </c>
    </row>
    <row r="603" spans="1:3" x14ac:dyDescent="0.25">
      <c r="A603">
        <v>33004</v>
      </c>
      <c r="B603" t="s">
        <v>888</v>
      </c>
      <c r="C603">
        <f>COUNTIFS(Table24[Client ID '#],"&lt;&gt;",Table24[Residence Zip Code],'G - ZIP Code'!A603)</f>
        <v>0</v>
      </c>
    </row>
    <row r="604" spans="1:3" x14ac:dyDescent="0.25">
      <c r="A604">
        <v>33008</v>
      </c>
      <c r="B604" t="s">
        <v>888</v>
      </c>
      <c r="C604">
        <f>COUNTIFS(Table24[Client ID '#],"&lt;&gt;",Table24[Residence Zip Code],'G - ZIP Code'!A604)</f>
        <v>0</v>
      </c>
    </row>
    <row r="605" spans="1:3" x14ac:dyDescent="0.25">
      <c r="A605">
        <v>33009</v>
      </c>
      <c r="B605" t="s">
        <v>888</v>
      </c>
      <c r="C605">
        <f>COUNTIFS(Table24[Client ID '#],"&lt;&gt;",Table24[Residence Zip Code],'G - ZIP Code'!A605)</f>
        <v>0</v>
      </c>
    </row>
    <row r="606" spans="1:3" x14ac:dyDescent="0.25">
      <c r="A606">
        <v>33010</v>
      </c>
      <c r="B606" t="s">
        <v>888</v>
      </c>
      <c r="C606">
        <f>COUNTIFS(Table24[Client ID '#],"&lt;&gt;",Table24[Residence Zip Code],'G - ZIP Code'!A606)</f>
        <v>0</v>
      </c>
    </row>
    <row r="607" spans="1:3" x14ac:dyDescent="0.25">
      <c r="A607">
        <v>33011</v>
      </c>
      <c r="B607" t="s">
        <v>888</v>
      </c>
      <c r="C607">
        <f>COUNTIFS(Table24[Client ID '#],"&lt;&gt;",Table24[Residence Zip Code],'G - ZIP Code'!A607)</f>
        <v>0</v>
      </c>
    </row>
    <row r="608" spans="1:3" x14ac:dyDescent="0.25">
      <c r="A608">
        <v>33012</v>
      </c>
      <c r="B608" t="s">
        <v>888</v>
      </c>
      <c r="C608">
        <f>COUNTIFS(Table24[Client ID '#],"&lt;&gt;",Table24[Residence Zip Code],'G - ZIP Code'!A608)</f>
        <v>0</v>
      </c>
    </row>
    <row r="609" spans="1:3" x14ac:dyDescent="0.25">
      <c r="A609">
        <v>33013</v>
      </c>
      <c r="B609" t="s">
        <v>888</v>
      </c>
      <c r="C609">
        <f>COUNTIFS(Table24[Client ID '#],"&lt;&gt;",Table24[Residence Zip Code],'G - ZIP Code'!A609)</f>
        <v>0</v>
      </c>
    </row>
    <row r="610" spans="1:3" x14ac:dyDescent="0.25">
      <c r="A610">
        <v>33014</v>
      </c>
      <c r="B610" t="s">
        <v>888</v>
      </c>
      <c r="C610">
        <f>COUNTIFS(Table24[Client ID '#],"&lt;&gt;",Table24[Residence Zip Code],'G - ZIP Code'!A610)</f>
        <v>0</v>
      </c>
    </row>
    <row r="611" spans="1:3" x14ac:dyDescent="0.25">
      <c r="A611">
        <v>33015</v>
      </c>
      <c r="B611" t="s">
        <v>888</v>
      </c>
      <c r="C611">
        <f>COUNTIFS(Table24[Client ID '#],"&lt;&gt;",Table24[Residence Zip Code],'G - ZIP Code'!A611)</f>
        <v>0</v>
      </c>
    </row>
    <row r="612" spans="1:3" x14ac:dyDescent="0.25">
      <c r="A612">
        <v>33016</v>
      </c>
      <c r="B612" t="s">
        <v>888</v>
      </c>
      <c r="C612">
        <f>COUNTIFS(Table24[Client ID '#],"&lt;&gt;",Table24[Residence Zip Code],'G - ZIP Code'!A612)</f>
        <v>0</v>
      </c>
    </row>
    <row r="613" spans="1:3" x14ac:dyDescent="0.25">
      <c r="A613">
        <v>33017</v>
      </c>
      <c r="B613" t="s">
        <v>888</v>
      </c>
      <c r="C613">
        <f>COUNTIFS(Table24[Client ID '#],"&lt;&gt;",Table24[Residence Zip Code],'G - ZIP Code'!A613)</f>
        <v>0</v>
      </c>
    </row>
    <row r="614" spans="1:3" x14ac:dyDescent="0.25">
      <c r="A614">
        <v>33018</v>
      </c>
      <c r="B614" t="s">
        <v>888</v>
      </c>
      <c r="C614">
        <f>COUNTIFS(Table24[Client ID '#],"&lt;&gt;",Table24[Residence Zip Code],'G - ZIP Code'!A614)</f>
        <v>0</v>
      </c>
    </row>
    <row r="615" spans="1:3" x14ac:dyDescent="0.25">
      <c r="A615">
        <v>33019</v>
      </c>
      <c r="B615" t="s">
        <v>888</v>
      </c>
      <c r="C615">
        <f>COUNTIFS(Table24[Client ID '#],"&lt;&gt;",Table24[Residence Zip Code],'G - ZIP Code'!A615)</f>
        <v>0</v>
      </c>
    </row>
    <row r="616" spans="1:3" x14ac:dyDescent="0.25">
      <c r="A616">
        <v>33020</v>
      </c>
      <c r="B616" t="s">
        <v>888</v>
      </c>
      <c r="C616">
        <f>COUNTIFS(Table24[Client ID '#],"&lt;&gt;",Table24[Residence Zip Code],'G - ZIP Code'!A616)</f>
        <v>0</v>
      </c>
    </row>
    <row r="617" spans="1:3" x14ac:dyDescent="0.25">
      <c r="A617">
        <v>33021</v>
      </c>
      <c r="B617" t="s">
        <v>888</v>
      </c>
      <c r="C617">
        <f>COUNTIFS(Table24[Client ID '#],"&lt;&gt;",Table24[Residence Zip Code],'G - ZIP Code'!A617)</f>
        <v>0</v>
      </c>
    </row>
    <row r="618" spans="1:3" x14ac:dyDescent="0.25">
      <c r="A618">
        <v>33022</v>
      </c>
      <c r="B618" t="s">
        <v>888</v>
      </c>
      <c r="C618">
        <f>COUNTIFS(Table24[Client ID '#],"&lt;&gt;",Table24[Residence Zip Code],'G - ZIP Code'!A618)</f>
        <v>0</v>
      </c>
    </row>
    <row r="619" spans="1:3" x14ac:dyDescent="0.25">
      <c r="A619">
        <v>33023</v>
      </c>
      <c r="B619" t="s">
        <v>888</v>
      </c>
      <c r="C619">
        <f>COUNTIFS(Table24[Client ID '#],"&lt;&gt;",Table24[Residence Zip Code],'G - ZIP Code'!A619)</f>
        <v>0</v>
      </c>
    </row>
    <row r="620" spans="1:3" x14ac:dyDescent="0.25">
      <c r="A620">
        <v>33024</v>
      </c>
      <c r="B620" t="s">
        <v>888</v>
      </c>
      <c r="C620">
        <f>COUNTIFS(Table24[Client ID '#],"&lt;&gt;",Table24[Residence Zip Code],'G - ZIP Code'!A620)</f>
        <v>0</v>
      </c>
    </row>
    <row r="621" spans="1:3" x14ac:dyDescent="0.25">
      <c r="A621">
        <v>33025</v>
      </c>
      <c r="B621" t="s">
        <v>888</v>
      </c>
      <c r="C621">
        <f>COUNTIFS(Table24[Client ID '#],"&lt;&gt;",Table24[Residence Zip Code],'G - ZIP Code'!A621)</f>
        <v>0</v>
      </c>
    </row>
    <row r="622" spans="1:3" x14ac:dyDescent="0.25">
      <c r="A622">
        <v>33026</v>
      </c>
      <c r="B622" t="s">
        <v>888</v>
      </c>
      <c r="C622">
        <f>COUNTIFS(Table24[Client ID '#],"&lt;&gt;",Table24[Residence Zip Code],'G - ZIP Code'!A622)</f>
        <v>0</v>
      </c>
    </row>
    <row r="623" spans="1:3" x14ac:dyDescent="0.25">
      <c r="A623">
        <v>33027</v>
      </c>
      <c r="B623" t="s">
        <v>888</v>
      </c>
      <c r="C623">
        <f>COUNTIFS(Table24[Client ID '#],"&lt;&gt;",Table24[Residence Zip Code],'G - ZIP Code'!A623)</f>
        <v>0</v>
      </c>
    </row>
    <row r="624" spans="1:3" x14ac:dyDescent="0.25">
      <c r="A624">
        <v>33028</v>
      </c>
      <c r="B624" t="s">
        <v>888</v>
      </c>
      <c r="C624">
        <f>COUNTIFS(Table24[Client ID '#],"&lt;&gt;",Table24[Residence Zip Code],'G - ZIP Code'!A624)</f>
        <v>0</v>
      </c>
    </row>
    <row r="625" spans="1:3" x14ac:dyDescent="0.25">
      <c r="A625">
        <v>33029</v>
      </c>
      <c r="B625" t="s">
        <v>888</v>
      </c>
      <c r="C625">
        <f>COUNTIFS(Table24[Client ID '#],"&lt;&gt;",Table24[Residence Zip Code],'G - ZIP Code'!A625)</f>
        <v>0</v>
      </c>
    </row>
    <row r="626" spans="1:3" x14ac:dyDescent="0.25">
      <c r="A626">
        <v>33030</v>
      </c>
      <c r="B626" t="s">
        <v>888</v>
      </c>
      <c r="C626">
        <f>COUNTIFS(Table24[Client ID '#],"&lt;&gt;",Table24[Residence Zip Code],'G - ZIP Code'!A626)</f>
        <v>0</v>
      </c>
    </row>
    <row r="627" spans="1:3" x14ac:dyDescent="0.25">
      <c r="A627">
        <v>33031</v>
      </c>
      <c r="B627" t="s">
        <v>888</v>
      </c>
      <c r="C627">
        <f>COUNTIFS(Table24[Client ID '#],"&lt;&gt;",Table24[Residence Zip Code],'G - ZIP Code'!A627)</f>
        <v>0</v>
      </c>
    </row>
    <row r="628" spans="1:3" x14ac:dyDescent="0.25">
      <c r="A628">
        <v>33032</v>
      </c>
      <c r="B628" t="s">
        <v>888</v>
      </c>
      <c r="C628">
        <f>COUNTIFS(Table24[Client ID '#],"&lt;&gt;",Table24[Residence Zip Code],'G - ZIP Code'!A628)</f>
        <v>0</v>
      </c>
    </row>
    <row r="629" spans="1:3" x14ac:dyDescent="0.25">
      <c r="A629">
        <v>33033</v>
      </c>
      <c r="B629" t="s">
        <v>888</v>
      </c>
      <c r="C629">
        <f>COUNTIFS(Table24[Client ID '#],"&lt;&gt;",Table24[Residence Zip Code],'G - ZIP Code'!A629)</f>
        <v>0</v>
      </c>
    </row>
    <row r="630" spans="1:3" x14ac:dyDescent="0.25">
      <c r="A630">
        <v>33034</v>
      </c>
      <c r="B630" t="s">
        <v>888</v>
      </c>
      <c r="C630">
        <f>COUNTIFS(Table24[Client ID '#],"&lt;&gt;",Table24[Residence Zip Code],'G - ZIP Code'!A630)</f>
        <v>0</v>
      </c>
    </row>
    <row r="631" spans="1:3" x14ac:dyDescent="0.25">
      <c r="A631">
        <v>33035</v>
      </c>
      <c r="B631" t="s">
        <v>888</v>
      </c>
      <c r="C631">
        <f>COUNTIFS(Table24[Client ID '#],"&lt;&gt;",Table24[Residence Zip Code],'G - ZIP Code'!A631)</f>
        <v>0</v>
      </c>
    </row>
    <row r="632" spans="1:3" x14ac:dyDescent="0.25">
      <c r="A632">
        <v>33036</v>
      </c>
      <c r="B632" t="s">
        <v>888</v>
      </c>
      <c r="C632">
        <f>COUNTIFS(Table24[Client ID '#],"&lt;&gt;",Table24[Residence Zip Code],'G - ZIP Code'!A632)</f>
        <v>0</v>
      </c>
    </row>
    <row r="633" spans="1:3" x14ac:dyDescent="0.25">
      <c r="A633">
        <v>33037</v>
      </c>
      <c r="B633" t="s">
        <v>888</v>
      </c>
      <c r="C633">
        <f>COUNTIFS(Table24[Client ID '#],"&lt;&gt;",Table24[Residence Zip Code],'G - ZIP Code'!A633)</f>
        <v>0</v>
      </c>
    </row>
    <row r="634" spans="1:3" x14ac:dyDescent="0.25">
      <c r="A634">
        <v>33039</v>
      </c>
      <c r="B634" t="s">
        <v>888</v>
      </c>
      <c r="C634">
        <f>COUNTIFS(Table24[Client ID '#],"&lt;&gt;",Table24[Residence Zip Code],'G - ZIP Code'!A634)</f>
        <v>0</v>
      </c>
    </row>
    <row r="635" spans="1:3" x14ac:dyDescent="0.25">
      <c r="A635">
        <v>33040</v>
      </c>
      <c r="B635" t="s">
        <v>888</v>
      </c>
      <c r="C635">
        <f>COUNTIFS(Table24[Client ID '#],"&lt;&gt;",Table24[Residence Zip Code],'G - ZIP Code'!A635)</f>
        <v>0</v>
      </c>
    </row>
    <row r="636" spans="1:3" x14ac:dyDescent="0.25">
      <c r="A636">
        <v>33041</v>
      </c>
      <c r="B636" t="s">
        <v>888</v>
      </c>
      <c r="C636">
        <f>COUNTIFS(Table24[Client ID '#],"&lt;&gt;",Table24[Residence Zip Code],'G - ZIP Code'!A636)</f>
        <v>0</v>
      </c>
    </row>
    <row r="637" spans="1:3" x14ac:dyDescent="0.25">
      <c r="A637">
        <v>33042</v>
      </c>
      <c r="B637" t="s">
        <v>888</v>
      </c>
      <c r="C637">
        <f>COUNTIFS(Table24[Client ID '#],"&lt;&gt;",Table24[Residence Zip Code],'G - ZIP Code'!A637)</f>
        <v>0</v>
      </c>
    </row>
    <row r="638" spans="1:3" x14ac:dyDescent="0.25">
      <c r="A638">
        <v>33043</v>
      </c>
      <c r="B638" t="s">
        <v>888</v>
      </c>
      <c r="C638">
        <f>COUNTIFS(Table24[Client ID '#],"&lt;&gt;",Table24[Residence Zip Code],'G - ZIP Code'!A638)</f>
        <v>0</v>
      </c>
    </row>
    <row r="639" spans="1:3" x14ac:dyDescent="0.25">
      <c r="A639">
        <v>33045</v>
      </c>
      <c r="B639" t="s">
        <v>888</v>
      </c>
      <c r="C639">
        <f>COUNTIFS(Table24[Client ID '#],"&lt;&gt;",Table24[Residence Zip Code],'G - ZIP Code'!A639)</f>
        <v>0</v>
      </c>
    </row>
    <row r="640" spans="1:3" x14ac:dyDescent="0.25">
      <c r="A640">
        <v>33050</v>
      </c>
      <c r="B640" t="s">
        <v>888</v>
      </c>
      <c r="C640">
        <f>COUNTIFS(Table24[Client ID '#],"&lt;&gt;",Table24[Residence Zip Code],'G - ZIP Code'!A640)</f>
        <v>0</v>
      </c>
    </row>
    <row r="641" spans="1:3" x14ac:dyDescent="0.25">
      <c r="A641">
        <v>33051</v>
      </c>
      <c r="B641" t="s">
        <v>888</v>
      </c>
      <c r="C641">
        <f>COUNTIFS(Table24[Client ID '#],"&lt;&gt;",Table24[Residence Zip Code],'G - ZIP Code'!A641)</f>
        <v>0</v>
      </c>
    </row>
    <row r="642" spans="1:3" x14ac:dyDescent="0.25">
      <c r="A642">
        <v>33052</v>
      </c>
      <c r="B642" t="s">
        <v>888</v>
      </c>
      <c r="C642">
        <f>COUNTIFS(Table24[Client ID '#],"&lt;&gt;",Table24[Residence Zip Code],'G - ZIP Code'!A642)</f>
        <v>0</v>
      </c>
    </row>
    <row r="643" spans="1:3" x14ac:dyDescent="0.25">
      <c r="A643">
        <v>33054</v>
      </c>
      <c r="B643" t="s">
        <v>888</v>
      </c>
      <c r="C643">
        <f>COUNTIFS(Table24[Client ID '#],"&lt;&gt;",Table24[Residence Zip Code],'G - ZIP Code'!A643)</f>
        <v>0</v>
      </c>
    </row>
    <row r="644" spans="1:3" x14ac:dyDescent="0.25">
      <c r="A644">
        <v>33055</v>
      </c>
      <c r="B644" t="s">
        <v>888</v>
      </c>
      <c r="C644">
        <f>COUNTIFS(Table24[Client ID '#],"&lt;&gt;",Table24[Residence Zip Code],'G - ZIP Code'!A644)</f>
        <v>0</v>
      </c>
    </row>
    <row r="645" spans="1:3" x14ac:dyDescent="0.25">
      <c r="A645">
        <v>33056</v>
      </c>
      <c r="B645" t="s">
        <v>888</v>
      </c>
      <c r="C645">
        <f>COUNTIFS(Table24[Client ID '#],"&lt;&gt;",Table24[Residence Zip Code],'G - ZIP Code'!A645)</f>
        <v>0</v>
      </c>
    </row>
    <row r="646" spans="1:3" x14ac:dyDescent="0.25">
      <c r="A646">
        <v>33060</v>
      </c>
      <c r="B646" t="s">
        <v>888</v>
      </c>
      <c r="C646">
        <f>COUNTIFS(Table24[Client ID '#],"&lt;&gt;",Table24[Residence Zip Code],'G - ZIP Code'!A646)</f>
        <v>0</v>
      </c>
    </row>
    <row r="647" spans="1:3" x14ac:dyDescent="0.25">
      <c r="A647">
        <v>33061</v>
      </c>
      <c r="B647" t="s">
        <v>888</v>
      </c>
      <c r="C647">
        <f>COUNTIFS(Table24[Client ID '#],"&lt;&gt;",Table24[Residence Zip Code],'G - ZIP Code'!A647)</f>
        <v>0</v>
      </c>
    </row>
    <row r="648" spans="1:3" x14ac:dyDescent="0.25">
      <c r="A648">
        <v>33062</v>
      </c>
      <c r="B648" t="s">
        <v>888</v>
      </c>
      <c r="C648">
        <f>COUNTIFS(Table24[Client ID '#],"&lt;&gt;",Table24[Residence Zip Code],'G - ZIP Code'!A648)</f>
        <v>0</v>
      </c>
    </row>
    <row r="649" spans="1:3" x14ac:dyDescent="0.25">
      <c r="A649">
        <v>33063</v>
      </c>
      <c r="B649" t="s">
        <v>888</v>
      </c>
      <c r="C649">
        <f>COUNTIFS(Table24[Client ID '#],"&lt;&gt;",Table24[Residence Zip Code],'G - ZIP Code'!A649)</f>
        <v>0</v>
      </c>
    </row>
    <row r="650" spans="1:3" x14ac:dyDescent="0.25">
      <c r="A650">
        <v>33064</v>
      </c>
      <c r="B650" t="s">
        <v>888</v>
      </c>
      <c r="C650">
        <f>COUNTIFS(Table24[Client ID '#],"&lt;&gt;",Table24[Residence Zip Code],'G - ZIP Code'!A650)</f>
        <v>0</v>
      </c>
    </row>
    <row r="651" spans="1:3" x14ac:dyDescent="0.25">
      <c r="A651">
        <v>33065</v>
      </c>
      <c r="B651" t="s">
        <v>888</v>
      </c>
      <c r="C651">
        <f>COUNTIFS(Table24[Client ID '#],"&lt;&gt;",Table24[Residence Zip Code],'G - ZIP Code'!A651)</f>
        <v>0</v>
      </c>
    </row>
    <row r="652" spans="1:3" x14ac:dyDescent="0.25">
      <c r="A652">
        <v>33066</v>
      </c>
      <c r="B652" t="s">
        <v>888</v>
      </c>
      <c r="C652">
        <f>COUNTIFS(Table24[Client ID '#],"&lt;&gt;",Table24[Residence Zip Code],'G - ZIP Code'!A652)</f>
        <v>0</v>
      </c>
    </row>
    <row r="653" spans="1:3" x14ac:dyDescent="0.25">
      <c r="A653">
        <v>33067</v>
      </c>
      <c r="B653" t="s">
        <v>888</v>
      </c>
      <c r="C653">
        <f>COUNTIFS(Table24[Client ID '#],"&lt;&gt;",Table24[Residence Zip Code],'G - ZIP Code'!A653)</f>
        <v>0</v>
      </c>
    </row>
    <row r="654" spans="1:3" x14ac:dyDescent="0.25">
      <c r="A654">
        <v>33068</v>
      </c>
      <c r="B654" t="s">
        <v>888</v>
      </c>
      <c r="C654">
        <f>COUNTIFS(Table24[Client ID '#],"&lt;&gt;",Table24[Residence Zip Code],'G - ZIP Code'!A654)</f>
        <v>0</v>
      </c>
    </row>
    <row r="655" spans="1:3" x14ac:dyDescent="0.25">
      <c r="A655">
        <v>33069</v>
      </c>
      <c r="B655" t="s">
        <v>888</v>
      </c>
      <c r="C655">
        <f>COUNTIFS(Table24[Client ID '#],"&lt;&gt;",Table24[Residence Zip Code],'G - ZIP Code'!A655)</f>
        <v>0</v>
      </c>
    </row>
    <row r="656" spans="1:3" x14ac:dyDescent="0.25">
      <c r="A656">
        <v>33070</v>
      </c>
      <c r="B656" t="s">
        <v>888</v>
      </c>
      <c r="C656">
        <f>COUNTIFS(Table24[Client ID '#],"&lt;&gt;",Table24[Residence Zip Code],'G - ZIP Code'!A656)</f>
        <v>0</v>
      </c>
    </row>
    <row r="657" spans="1:3" x14ac:dyDescent="0.25">
      <c r="A657">
        <v>33071</v>
      </c>
      <c r="B657" t="s">
        <v>888</v>
      </c>
      <c r="C657">
        <f>COUNTIFS(Table24[Client ID '#],"&lt;&gt;",Table24[Residence Zip Code],'G - ZIP Code'!A657)</f>
        <v>0</v>
      </c>
    </row>
    <row r="658" spans="1:3" x14ac:dyDescent="0.25">
      <c r="A658">
        <v>33072</v>
      </c>
      <c r="B658" t="s">
        <v>888</v>
      </c>
      <c r="C658">
        <f>COUNTIFS(Table24[Client ID '#],"&lt;&gt;",Table24[Residence Zip Code],'G - ZIP Code'!A658)</f>
        <v>0</v>
      </c>
    </row>
    <row r="659" spans="1:3" x14ac:dyDescent="0.25">
      <c r="A659">
        <v>33073</v>
      </c>
      <c r="B659" t="s">
        <v>888</v>
      </c>
      <c r="C659">
        <f>COUNTIFS(Table24[Client ID '#],"&lt;&gt;",Table24[Residence Zip Code],'G - ZIP Code'!A659)</f>
        <v>0</v>
      </c>
    </row>
    <row r="660" spans="1:3" x14ac:dyDescent="0.25">
      <c r="A660">
        <v>33074</v>
      </c>
      <c r="B660" t="s">
        <v>888</v>
      </c>
      <c r="C660">
        <f>COUNTIFS(Table24[Client ID '#],"&lt;&gt;",Table24[Residence Zip Code],'G - ZIP Code'!A660)</f>
        <v>0</v>
      </c>
    </row>
    <row r="661" spans="1:3" x14ac:dyDescent="0.25">
      <c r="A661">
        <v>33075</v>
      </c>
      <c r="B661" t="s">
        <v>888</v>
      </c>
      <c r="C661">
        <f>COUNTIFS(Table24[Client ID '#],"&lt;&gt;",Table24[Residence Zip Code],'G - ZIP Code'!A661)</f>
        <v>0</v>
      </c>
    </row>
    <row r="662" spans="1:3" x14ac:dyDescent="0.25">
      <c r="A662">
        <v>33076</v>
      </c>
      <c r="B662" t="s">
        <v>888</v>
      </c>
      <c r="C662">
        <f>COUNTIFS(Table24[Client ID '#],"&lt;&gt;",Table24[Residence Zip Code],'G - ZIP Code'!A662)</f>
        <v>0</v>
      </c>
    </row>
    <row r="663" spans="1:3" x14ac:dyDescent="0.25">
      <c r="A663">
        <v>33077</v>
      </c>
      <c r="B663" t="s">
        <v>888</v>
      </c>
      <c r="C663">
        <f>COUNTIFS(Table24[Client ID '#],"&lt;&gt;",Table24[Residence Zip Code],'G - ZIP Code'!A663)</f>
        <v>0</v>
      </c>
    </row>
    <row r="664" spans="1:3" x14ac:dyDescent="0.25">
      <c r="A664">
        <v>33081</v>
      </c>
      <c r="B664" t="s">
        <v>888</v>
      </c>
      <c r="C664">
        <f>COUNTIFS(Table24[Client ID '#],"&lt;&gt;",Table24[Residence Zip Code],'G - ZIP Code'!A664)</f>
        <v>0</v>
      </c>
    </row>
    <row r="665" spans="1:3" x14ac:dyDescent="0.25">
      <c r="A665">
        <v>33082</v>
      </c>
      <c r="B665" t="s">
        <v>888</v>
      </c>
      <c r="C665">
        <f>COUNTIFS(Table24[Client ID '#],"&lt;&gt;",Table24[Residence Zip Code],'G - ZIP Code'!A665)</f>
        <v>0</v>
      </c>
    </row>
    <row r="666" spans="1:3" x14ac:dyDescent="0.25">
      <c r="A666">
        <v>33083</v>
      </c>
      <c r="B666" t="s">
        <v>888</v>
      </c>
      <c r="C666">
        <f>COUNTIFS(Table24[Client ID '#],"&lt;&gt;",Table24[Residence Zip Code],'G - ZIP Code'!A666)</f>
        <v>0</v>
      </c>
    </row>
    <row r="667" spans="1:3" x14ac:dyDescent="0.25">
      <c r="A667">
        <v>33084</v>
      </c>
      <c r="B667" t="s">
        <v>888</v>
      </c>
      <c r="C667">
        <f>COUNTIFS(Table24[Client ID '#],"&lt;&gt;",Table24[Residence Zip Code],'G - ZIP Code'!A667)</f>
        <v>0</v>
      </c>
    </row>
    <row r="668" spans="1:3" x14ac:dyDescent="0.25">
      <c r="A668">
        <v>33090</v>
      </c>
      <c r="B668" t="s">
        <v>888</v>
      </c>
      <c r="C668">
        <f>COUNTIFS(Table24[Client ID '#],"&lt;&gt;",Table24[Residence Zip Code],'G - ZIP Code'!A668)</f>
        <v>0</v>
      </c>
    </row>
    <row r="669" spans="1:3" x14ac:dyDescent="0.25">
      <c r="A669">
        <v>33092</v>
      </c>
      <c r="B669" t="s">
        <v>888</v>
      </c>
      <c r="C669">
        <f>COUNTIFS(Table24[Client ID '#],"&lt;&gt;",Table24[Residence Zip Code],'G - ZIP Code'!A669)</f>
        <v>0</v>
      </c>
    </row>
    <row r="670" spans="1:3" x14ac:dyDescent="0.25">
      <c r="A670">
        <v>33093</v>
      </c>
      <c r="B670" t="s">
        <v>888</v>
      </c>
      <c r="C670">
        <f>COUNTIFS(Table24[Client ID '#],"&lt;&gt;",Table24[Residence Zip Code],'G - ZIP Code'!A670)</f>
        <v>0</v>
      </c>
    </row>
    <row r="671" spans="1:3" x14ac:dyDescent="0.25">
      <c r="A671">
        <v>33093</v>
      </c>
      <c r="B671" t="s">
        <v>888</v>
      </c>
      <c r="C671">
        <f>COUNTIFS(Table24[Client ID '#],"&lt;&gt;",Table24[Residence Zip Code],'G - ZIP Code'!A671)</f>
        <v>0</v>
      </c>
    </row>
    <row r="672" spans="1:3" x14ac:dyDescent="0.25">
      <c r="A672">
        <v>33097</v>
      </c>
      <c r="B672" t="s">
        <v>888</v>
      </c>
      <c r="C672">
        <f>COUNTIFS(Table24[Client ID '#],"&lt;&gt;",Table24[Residence Zip Code],'G - ZIP Code'!A672)</f>
        <v>0</v>
      </c>
    </row>
    <row r="673" spans="1:3" x14ac:dyDescent="0.25">
      <c r="A673">
        <v>33101</v>
      </c>
      <c r="B673" t="s">
        <v>888</v>
      </c>
      <c r="C673">
        <f>COUNTIFS(Table24[Client ID '#],"&lt;&gt;",Table24[Residence Zip Code],'G - ZIP Code'!A673)</f>
        <v>0</v>
      </c>
    </row>
    <row r="674" spans="1:3" x14ac:dyDescent="0.25">
      <c r="A674">
        <v>33102</v>
      </c>
      <c r="B674" t="s">
        <v>888</v>
      </c>
      <c r="C674">
        <f>COUNTIFS(Table24[Client ID '#],"&lt;&gt;",Table24[Residence Zip Code],'G - ZIP Code'!A674)</f>
        <v>0</v>
      </c>
    </row>
    <row r="675" spans="1:3" x14ac:dyDescent="0.25">
      <c r="A675">
        <v>33107</v>
      </c>
      <c r="B675" t="s">
        <v>888</v>
      </c>
      <c r="C675">
        <f>COUNTIFS(Table24[Client ID '#],"&lt;&gt;",Table24[Residence Zip Code],'G - ZIP Code'!A675)</f>
        <v>0</v>
      </c>
    </row>
    <row r="676" spans="1:3" x14ac:dyDescent="0.25">
      <c r="A676">
        <v>33109</v>
      </c>
      <c r="B676" t="s">
        <v>888</v>
      </c>
      <c r="C676">
        <f>COUNTIFS(Table24[Client ID '#],"&lt;&gt;",Table24[Residence Zip Code],'G - ZIP Code'!A676)</f>
        <v>0</v>
      </c>
    </row>
    <row r="677" spans="1:3" x14ac:dyDescent="0.25">
      <c r="A677">
        <v>33110</v>
      </c>
      <c r="B677" t="s">
        <v>888</v>
      </c>
      <c r="C677">
        <f>COUNTIFS(Table24[Client ID '#],"&lt;&gt;",Table24[Residence Zip Code],'G - ZIP Code'!A677)</f>
        <v>0</v>
      </c>
    </row>
    <row r="678" spans="1:3" x14ac:dyDescent="0.25">
      <c r="A678">
        <v>33111</v>
      </c>
      <c r="B678" t="s">
        <v>888</v>
      </c>
      <c r="C678">
        <f>COUNTIFS(Table24[Client ID '#],"&lt;&gt;",Table24[Residence Zip Code],'G - ZIP Code'!A678)</f>
        <v>0</v>
      </c>
    </row>
    <row r="679" spans="1:3" x14ac:dyDescent="0.25">
      <c r="A679">
        <v>33112</v>
      </c>
      <c r="B679" t="s">
        <v>888</v>
      </c>
      <c r="C679">
        <f>COUNTIFS(Table24[Client ID '#],"&lt;&gt;",Table24[Residence Zip Code],'G - ZIP Code'!A679)</f>
        <v>0</v>
      </c>
    </row>
    <row r="680" spans="1:3" x14ac:dyDescent="0.25">
      <c r="A680">
        <v>33114</v>
      </c>
      <c r="B680" t="s">
        <v>888</v>
      </c>
      <c r="C680">
        <f>COUNTIFS(Table24[Client ID '#],"&lt;&gt;",Table24[Residence Zip Code],'G - ZIP Code'!A680)</f>
        <v>0</v>
      </c>
    </row>
    <row r="681" spans="1:3" x14ac:dyDescent="0.25">
      <c r="A681">
        <v>33116</v>
      </c>
      <c r="B681" t="s">
        <v>888</v>
      </c>
      <c r="C681">
        <f>COUNTIFS(Table24[Client ID '#],"&lt;&gt;",Table24[Residence Zip Code],'G - ZIP Code'!A681)</f>
        <v>0</v>
      </c>
    </row>
    <row r="682" spans="1:3" x14ac:dyDescent="0.25">
      <c r="A682">
        <v>33119</v>
      </c>
      <c r="B682" t="s">
        <v>888</v>
      </c>
      <c r="C682">
        <f>COUNTIFS(Table24[Client ID '#],"&lt;&gt;",Table24[Residence Zip Code],'G - ZIP Code'!A682)</f>
        <v>0</v>
      </c>
    </row>
    <row r="683" spans="1:3" x14ac:dyDescent="0.25">
      <c r="A683">
        <v>33121</v>
      </c>
      <c r="B683" t="s">
        <v>888</v>
      </c>
      <c r="C683">
        <f>COUNTIFS(Table24[Client ID '#],"&lt;&gt;",Table24[Residence Zip Code],'G - ZIP Code'!A683)</f>
        <v>0</v>
      </c>
    </row>
    <row r="684" spans="1:3" x14ac:dyDescent="0.25">
      <c r="A684">
        <v>33122</v>
      </c>
      <c r="B684" t="s">
        <v>888</v>
      </c>
      <c r="C684">
        <f>COUNTIFS(Table24[Client ID '#],"&lt;&gt;",Table24[Residence Zip Code],'G - ZIP Code'!A684)</f>
        <v>0</v>
      </c>
    </row>
    <row r="685" spans="1:3" x14ac:dyDescent="0.25">
      <c r="A685">
        <v>33124</v>
      </c>
      <c r="B685" t="s">
        <v>888</v>
      </c>
      <c r="C685">
        <f>COUNTIFS(Table24[Client ID '#],"&lt;&gt;",Table24[Residence Zip Code],'G - ZIP Code'!A685)</f>
        <v>0</v>
      </c>
    </row>
    <row r="686" spans="1:3" x14ac:dyDescent="0.25">
      <c r="A686">
        <v>33125</v>
      </c>
      <c r="B686" t="s">
        <v>888</v>
      </c>
      <c r="C686">
        <f>COUNTIFS(Table24[Client ID '#],"&lt;&gt;",Table24[Residence Zip Code],'G - ZIP Code'!A686)</f>
        <v>0</v>
      </c>
    </row>
    <row r="687" spans="1:3" x14ac:dyDescent="0.25">
      <c r="A687">
        <v>33126</v>
      </c>
      <c r="B687" t="s">
        <v>888</v>
      </c>
      <c r="C687">
        <f>COUNTIFS(Table24[Client ID '#],"&lt;&gt;",Table24[Residence Zip Code],'G - ZIP Code'!A687)</f>
        <v>0</v>
      </c>
    </row>
    <row r="688" spans="1:3" x14ac:dyDescent="0.25">
      <c r="A688">
        <v>33127</v>
      </c>
      <c r="B688" t="s">
        <v>888</v>
      </c>
      <c r="C688">
        <f>COUNTIFS(Table24[Client ID '#],"&lt;&gt;",Table24[Residence Zip Code],'G - ZIP Code'!A688)</f>
        <v>0</v>
      </c>
    </row>
    <row r="689" spans="1:3" x14ac:dyDescent="0.25">
      <c r="A689">
        <v>33128</v>
      </c>
      <c r="B689" t="s">
        <v>888</v>
      </c>
      <c r="C689">
        <f>COUNTIFS(Table24[Client ID '#],"&lt;&gt;",Table24[Residence Zip Code],'G - ZIP Code'!A689)</f>
        <v>0</v>
      </c>
    </row>
    <row r="690" spans="1:3" x14ac:dyDescent="0.25">
      <c r="A690">
        <v>33129</v>
      </c>
      <c r="B690" t="s">
        <v>888</v>
      </c>
      <c r="C690">
        <f>COUNTIFS(Table24[Client ID '#],"&lt;&gt;",Table24[Residence Zip Code],'G - ZIP Code'!A690)</f>
        <v>0</v>
      </c>
    </row>
    <row r="691" spans="1:3" x14ac:dyDescent="0.25">
      <c r="A691">
        <v>33130</v>
      </c>
      <c r="B691" t="s">
        <v>888</v>
      </c>
      <c r="C691">
        <f>COUNTIFS(Table24[Client ID '#],"&lt;&gt;",Table24[Residence Zip Code],'G - ZIP Code'!A691)</f>
        <v>0</v>
      </c>
    </row>
    <row r="692" spans="1:3" x14ac:dyDescent="0.25">
      <c r="A692">
        <v>33131</v>
      </c>
      <c r="B692" t="s">
        <v>888</v>
      </c>
      <c r="C692">
        <f>COUNTIFS(Table24[Client ID '#],"&lt;&gt;",Table24[Residence Zip Code],'G - ZIP Code'!A692)</f>
        <v>0</v>
      </c>
    </row>
    <row r="693" spans="1:3" x14ac:dyDescent="0.25">
      <c r="A693">
        <v>33132</v>
      </c>
      <c r="B693" t="s">
        <v>888</v>
      </c>
      <c r="C693">
        <f>COUNTIFS(Table24[Client ID '#],"&lt;&gt;",Table24[Residence Zip Code],'G - ZIP Code'!A693)</f>
        <v>0</v>
      </c>
    </row>
    <row r="694" spans="1:3" x14ac:dyDescent="0.25">
      <c r="A694">
        <v>33133</v>
      </c>
      <c r="B694" t="s">
        <v>888</v>
      </c>
      <c r="C694">
        <f>COUNTIFS(Table24[Client ID '#],"&lt;&gt;",Table24[Residence Zip Code],'G - ZIP Code'!A694)</f>
        <v>0</v>
      </c>
    </row>
    <row r="695" spans="1:3" x14ac:dyDescent="0.25">
      <c r="A695">
        <v>33134</v>
      </c>
      <c r="B695" t="s">
        <v>888</v>
      </c>
      <c r="C695">
        <f>COUNTIFS(Table24[Client ID '#],"&lt;&gt;",Table24[Residence Zip Code],'G - ZIP Code'!A695)</f>
        <v>0</v>
      </c>
    </row>
    <row r="696" spans="1:3" x14ac:dyDescent="0.25">
      <c r="A696">
        <v>33135</v>
      </c>
      <c r="B696" t="s">
        <v>888</v>
      </c>
      <c r="C696">
        <f>COUNTIFS(Table24[Client ID '#],"&lt;&gt;",Table24[Residence Zip Code],'G - ZIP Code'!A696)</f>
        <v>0</v>
      </c>
    </row>
    <row r="697" spans="1:3" x14ac:dyDescent="0.25">
      <c r="A697">
        <v>33136</v>
      </c>
      <c r="B697" t="s">
        <v>888</v>
      </c>
      <c r="C697">
        <f>COUNTIFS(Table24[Client ID '#],"&lt;&gt;",Table24[Residence Zip Code],'G - ZIP Code'!A697)</f>
        <v>0</v>
      </c>
    </row>
    <row r="698" spans="1:3" x14ac:dyDescent="0.25">
      <c r="A698">
        <v>33137</v>
      </c>
      <c r="B698" t="s">
        <v>888</v>
      </c>
      <c r="C698">
        <f>COUNTIFS(Table24[Client ID '#],"&lt;&gt;",Table24[Residence Zip Code],'G - ZIP Code'!A698)</f>
        <v>0</v>
      </c>
    </row>
    <row r="699" spans="1:3" x14ac:dyDescent="0.25">
      <c r="A699">
        <v>33138</v>
      </c>
      <c r="B699" t="s">
        <v>888</v>
      </c>
      <c r="C699">
        <f>COUNTIFS(Table24[Client ID '#],"&lt;&gt;",Table24[Residence Zip Code],'G - ZIP Code'!A699)</f>
        <v>0</v>
      </c>
    </row>
    <row r="700" spans="1:3" x14ac:dyDescent="0.25">
      <c r="A700">
        <v>33139</v>
      </c>
      <c r="B700" t="s">
        <v>888</v>
      </c>
      <c r="C700">
        <f>COUNTIFS(Table24[Client ID '#],"&lt;&gt;",Table24[Residence Zip Code],'G - ZIP Code'!A700)</f>
        <v>0</v>
      </c>
    </row>
    <row r="701" spans="1:3" x14ac:dyDescent="0.25">
      <c r="A701">
        <v>33140</v>
      </c>
      <c r="B701" t="s">
        <v>888</v>
      </c>
      <c r="C701">
        <f>COUNTIFS(Table24[Client ID '#],"&lt;&gt;",Table24[Residence Zip Code],'G - ZIP Code'!A701)</f>
        <v>0</v>
      </c>
    </row>
    <row r="702" spans="1:3" x14ac:dyDescent="0.25">
      <c r="A702">
        <v>33141</v>
      </c>
      <c r="B702" t="s">
        <v>888</v>
      </c>
      <c r="C702">
        <f>COUNTIFS(Table24[Client ID '#],"&lt;&gt;",Table24[Residence Zip Code],'G - ZIP Code'!A702)</f>
        <v>0</v>
      </c>
    </row>
    <row r="703" spans="1:3" x14ac:dyDescent="0.25">
      <c r="A703">
        <v>33142</v>
      </c>
      <c r="B703" t="s">
        <v>888</v>
      </c>
      <c r="C703">
        <f>COUNTIFS(Table24[Client ID '#],"&lt;&gt;",Table24[Residence Zip Code],'G - ZIP Code'!A703)</f>
        <v>0</v>
      </c>
    </row>
    <row r="704" spans="1:3" x14ac:dyDescent="0.25">
      <c r="A704">
        <v>33143</v>
      </c>
      <c r="B704" t="s">
        <v>888</v>
      </c>
      <c r="C704">
        <f>COUNTIFS(Table24[Client ID '#],"&lt;&gt;",Table24[Residence Zip Code],'G - ZIP Code'!A704)</f>
        <v>0</v>
      </c>
    </row>
    <row r="705" spans="1:3" x14ac:dyDescent="0.25">
      <c r="A705">
        <v>33144</v>
      </c>
      <c r="B705" t="s">
        <v>888</v>
      </c>
      <c r="C705">
        <f>COUNTIFS(Table24[Client ID '#],"&lt;&gt;",Table24[Residence Zip Code],'G - ZIP Code'!A705)</f>
        <v>0</v>
      </c>
    </row>
    <row r="706" spans="1:3" x14ac:dyDescent="0.25">
      <c r="A706">
        <v>33145</v>
      </c>
      <c r="B706" t="s">
        <v>888</v>
      </c>
      <c r="C706">
        <f>COUNTIFS(Table24[Client ID '#],"&lt;&gt;",Table24[Residence Zip Code],'G - ZIP Code'!A706)</f>
        <v>0</v>
      </c>
    </row>
    <row r="707" spans="1:3" x14ac:dyDescent="0.25">
      <c r="A707">
        <v>33146</v>
      </c>
      <c r="B707" t="s">
        <v>888</v>
      </c>
      <c r="C707">
        <f>COUNTIFS(Table24[Client ID '#],"&lt;&gt;",Table24[Residence Zip Code],'G - ZIP Code'!A707)</f>
        <v>0</v>
      </c>
    </row>
    <row r="708" spans="1:3" x14ac:dyDescent="0.25">
      <c r="A708">
        <v>33147</v>
      </c>
      <c r="B708" t="s">
        <v>888</v>
      </c>
      <c r="C708">
        <f>COUNTIFS(Table24[Client ID '#],"&lt;&gt;",Table24[Residence Zip Code],'G - ZIP Code'!A708)</f>
        <v>0</v>
      </c>
    </row>
    <row r="709" spans="1:3" x14ac:dyDescent="0.25">
      <c r="A709">
        <v>33148</v>
      </c>
      <c r="B709" t="s">
        <v>888</v>
      </c>
      <c r="C709">
        <f>COUNTIFS(Table24[Client ID '#],"&lt;&gt;",Table24[Residence Zip Code],'G - ZIP Code'!A709)</f>
        <v>0</v>
      </c>
    </row>
    <row r="710" spans="1:3" x14ac:dyDescent="0.25">
      <c r="A710">
        <v>33149</v>
      </c>
      <c r="B710" t="s">
        <v>888</v>
      </c>
      <c r="C710">
        <f>COUNTIFS(Table24[Client ID '#],"&lt;&gt;",Table24[Residence Zip Code],'G - ZIP Code'!A710)</f>
        <v>0</v>
      </c>
    </row>
    <row r="711" spans="1:3" x14ac:dyDescent="0.25">
      <c r="A711">
        <v>33150</v>
      </c>
      <c r="B711" t="s">
        <v>888</v>
      </c>
      <c r="C711">
        <f>COUNTIFS(Table24[Client ID '#],"&lt;&gt;",Table24[Residence Zip Code],'G - ZIP Code'!A711)</f>
        <v>0</v>
      </c>
    </row>
    <row r="712" spans="1:3" x14ac:dyDescent="0.25">
      <c r="A712">
        <v>33151</v>
      </c>
      <c r="B712" t="s">
        <v>888</v>
      </c>
      <c r="C712">
        <f>COUNTIFS(Table24[Client ID '#],"&lt;&gt;",Table24[Residence Zip Code],'G - ZIP Code'!A712)</f>
        <v>0</v>
      </c>
    </row>
    <row r="713" spans="1:3" x14ac:dyDescent="0.25">
      <c r="A713">
        <v>33152</v>
      </c>
      <c r="B713" t="s">
        <v>888</v>
      </c>
      <c r="C713">
        <f>COUNTIFS(Table24[Client ID '#],"&lt;&gt;",Table24[Residence Zip Code],'G - ZIP Code'!A713)</f>
        <v>0</v>
      </c>
    </row>
    <row r="714" spans="1:3" x14ac:dyDescent="0.25">
      <c r="A714">
        <v>33153</v>
      </c>
      <c r="B714" t="s">
        <v>888</v>
      </c>
      <c r="C714">
        <f>COUNTIFS(Table24[Client ID '#],"&lt;&gt;",Table24[Residence Zip Code],'G - ZIP Code'!A714)</f>
        <v>0</v>
      </c>
    </row>
    <row r="715" spans="1:3" x14ac:dyDescent="0.25">
      <c r="A715">
        <v>33154</v>
      </c>
      <c r="B715" t="s">
        <v>888</v>
      </c>
      <c r="C715">
        <f>COUNTIFS(Table24[Client ID '#],"&lt;&gt;",Table24[Residence Zip Code],'G - ZIP Code'!A715)</f>
        <v>0</v>
      </c>
    </row>
    <row r="716" spans="1:3" x14ac:dyDescent="0.25">
      <c r="A716">
        <v>33155</v>
      </c>
      <c r="B716" t="s">
        <v>888</v>
      </c>
      <c r="C716">
        <f>COUNTIFS(Table24[Client ID '#],"&lt;&gt;",Table24[Residence Zip Code],'G - ZIP Code'!A716)</f>
        <v>0</v>
      </c>
    </row>
    <row r="717" spans="1:3" x14ac:dyDescent="0.25">
      <c r="A717">
        <v>33156</v>
      </c>
      <c r="B717" t="s">
        <v>888</v>
      </c>
      <c r="C717">
        <f>COUNTIFS(Table24[Client ID '#],"&lt;&gt;",Table24[Residence Zip Code],'G - ZIP Code'!A717)</f>
        <v>0</v>
      </c>
    </row>
    <row r="718" spans="1:3" x14ac:dyDescent="0.25">
      <c r="A718">
        <v>33157</v>
      </c>
      <c r="B718" t="s">
        <v>888</v>
      </c>
      <c r="C718">
        <f>COUNTIFS(Table24[Client ID '#],"&lt;&gt;",Table24[Residence Zip Code],'G - ZIP Code'!A718)</f>
        <v>0</v>
      </c>
    </row>
    <row r="719" spans="1:3" x14ac:dyDescent="0.25">
      <c r="A719">
        <v>33158</v>
      </c>
      <c r="B719" t="s">
        <v>888</v>
      </c>
      <c r="C719">
        <f>COUNTIFS(Table24[Client ID '#],"&lt;&gt;",Table24[Residence Zip Code],'G - ZIP Code'!A719)</f>
        <v>0</v>
      </c>
    </row>
    <row r="720" spans="1:3" x14ac:dyDescent="0.25">
      <c r="A720">
        <v>33159</v>
      </c>
      <c r="B720" t="s">
        <v>888</v>
      </c>
      <c r="C720">
        <f>COUNTIFS(Table24[Client ID '#],"&lt;&gt;",Table24[Residence Zip Code],'G - ZIP Code'!A720)</f>
        <v>0</v>
      </c>
    </row>
    <row r="721" spans="1:3" x14ac:dyDescent="0.25">
      <c r="A721">
        <v>33160</v>
      </c>
      <c r="B721" t="s">
        <v>888</v>
      </c>
      <c r="C721">
        <f>COUNTIFS(Table24[Client ID '#],"&lt;&gt;",Table24[Residence Zip Code],'G - ZIP Code'!A721)</f>
        <v>0</v>
      </c>
    </row>
    <row r="722" spans="1:3" x14ac:dyDescent="0.25">
      <c r="A722">
        <v>33161</v>
      </c>
      <c r="B722" t="s">
        <v>888</v>
      </c>
      <c r="C722">
        <f>COUNTIFS(Table24[Client ID '#],"&lt;&gt;",Table24[Residence Zip Code],'G - ZIP Code'!A722)</f>
        <v>0</v>
      </c>
    </row>
    <row r="723" spans="1:3" x14ac:dyDescent="0.25">
      <c r="A723">
        <v>33162</v>
      </c>
      <c r="B723" t="s">
        <v>888</v>
      </c>
      <c r="C723">
        <f>COUNTIFS(Table24[Client ID '#],"&lt;&gt;",Table24[Residence Zip Code],'G - ZIP Code'!A723)</f>
        <v>0</v>
      </c>
    </row>
    <row r="724" spans="1:3" x14ac:dyDescent="0.25">
      <c r="A724">
        <v>33163</v>
      </c>
      <c r="B724" t="s">
        <v>888</v>
      </c>
      <c r="C724">
        <f>COUNTIFS(Table24[Client ID '#],"&lt;&gt;",Table24[Residence Zip Code],'G - ZIP Code'!A724)</f>
        <v>0</v>
      </c>
    </row>
    <row r="725" spans="1:3" x14ac:dyDescent="0.25">
      <c r="A725">
        <v>33164</v>
      </c>
      <c r="B725" t="s">
        <v>888</v>
      </c>
      <c r="C725">
        <f>COUNTIFS(Table24[Client ID '#],"&lt;&gt;",Table24[Residence Zip Code],'G - ZIP Code'!A725)</f>
        <v>0</v>
      </c>
    </row>
    <row r="726" spans="1:3" x14ac:dyDescent="0.25">
      <c r="A726">
        <v>33165</v>
      </c>
      <c r="B726" t="s">
        <v>888</v>
      </c>
      <c r="C726">
        <f>COUNTIFS(Table24[Client ID '#],"&lt;&gt;",Table24[Residence Zip Code],'G - ZIP Code'!A726)</f>
        <v>0</v>
      </c>
    </row>
    <row r="727" spans="1:3" x14ac:dyDescent="0.25">
      <c r="A727">
        <v>33166</v>
      </c>
      <c r="B727" t="s">
        <v>888</v>
      </c>
      <c r="C727">
        <f>COUNTIFS(Table24[Client ID '#],"&lt;&gt;",Table24[Residence Zip Code],'G - ZIP Code'!A727)</f>
        <v>0</v>
      </c>
    </row>
    <row r="728" spans="1:3" x14ac:dyDescent="0.25">
      <c r="A728">
        <v>33167</v>
      </c>
      <c r="B728" t="s">
        <v>888</v>
      </c>
      <c r="C728">
        <f>COUNTIFS(Table24[Client ID '#],"&lt;&gt;",Table24[Residence Zip Code],'G - ZIP Code'!A728)</f>
        <v>0</v>
      </c>
    </row>
    <row r="729" spans="1:3" x14ac:dyDescent="0.25">
      <c r="A729">
        <v>33168</v>
      </c>
      <c r="B729" t="s">
        <v>888</v>
      </c>
      <c r="C729">
        <f>COUNTIFS(Table24[Client ID '#],"&lt;&gt;",Table24[Residence Zip Code],'G - ZIP Code'!A729)</f>
        <v>0</v>
      </c>
    </row>
    <row r="730" spans="1:3" x14ac:dyDescent="0.25">
      <c r="A730">
        <v>33169</v>
      </c>
      <c r="B730" t="s">
        <v>888</v>
      </c>
      <c r="C730">
        <f>COUNTIFS(Table24[Client ID '#],"&lt;&gt;",Table24[Residence Zip Code],'G - ZIP Code'!A730)</f>
        <v>0</v>
      </c>
    </row>
    <row r="731" spans="1:3" x14ac:dyDescent="0.25">
      <c r="A731">
        <v>33170</v>
      </c>
      <c r="B731" t="s">
        <v>888</v>
      </c>
      <c r="C731">
        <f>COUNTIFS(Table24[Client ID '#],"&lt;&gt;",Table24[Residence Zip Code],'G - ZIP Code'!A731)</f>
        <v>0</v>
      </c>
    </row>
    <row r="732" spans="1:3" x14ac:dyDescent="0.25">
      <c r="A732">
        <v>33172</v>
      </c>
      <c r="B732" t="s">
        <v>888</v>
      </c>
      <c r="C732">
        <f>COUNTIFS(Table24[Client ID '#],"&lt;&gt;",Table24[Residence Zip Code],'G - ZIP Code'!A732)</f>
        <v>0</v>
      </c>
    </row>
    <row r="733" spans="1:3" x14ac:dyDescent="0.25">
      <c r="A733">
        <v>33173</v>
      </c>
      <c r="B733" t="s">
        <v>888</v>
      </c>
      <c r="C733">
        <f>COUNTIFS(Table24[Client ID '#],"&lt;&gt;",Table24[Residence Zip Code],'G - ZIP Code'!A733)</f>
        <v>0</v>
      </c>
    </row>
    <row r="734" spans="1:3" x14ac:dyDescent="0.25">
      <c r="A734">
        <v>33174</v>
      </c>
      <c r="B734" t="s">
        <v>888</v>
      </c>
      <c r="C734">
        <f>COUNTIFS(Table24[Client ID '#],"&lt;&gt;",Table24[Residence Zip Code],'G - ZIP Code'!A734)</f>
        <v>0</v>
      </c>
    </row>
    <row r="735" spans="1:3" x14ac:dyDescent="0.25">
      <c r="A735">
        <v>33175</v>
      </c>
      <c r="B735" t="s">
        <v>888</v>
      </c>
      <c r="C735">
        <f>COUNTIFS(Table24[Client ID '#],"&lt;&gt;",Table24[Residence Zip Code],'G - ZIP Code'!A735)</f>
        <v>0</v>
      </c>
    </row>
    <row r="736" spans="1:3" x14ac:dyDescent="0.25">
      <c r="A736">
        <v>33176</v>
      </c>
      <c r="B736" t="s">
        <v>888</v>
      </c>
      <c r="C736">
        <f>COUNTIFS(Table24[Client ID '#],"&lt;&gt;",Table24[Residence Zip Code],'G - ZIP Code'!A736)</f>
        <v>0</v>
      </c>
    </row>
    <row r="737" spans="1:3" x14ac:dyDescent="0.25">
      <c r="A737">
        <v>33177</v>
      </c>
      <c r="B737" t="s">
        <v>888</v>
      </c>
      <c r="C737">
        <f>COUNTIFS(Table24[Client ID '#],"&lt;&gt;",Table24[Residence Zip Code],'G - ZIP Code'!A737)</f>
        <v>0</v>
      </c>
    </row>
    <row r="738" spans="1:3" x14ac:dyDescent="0.25">
      <c r="A738">
        <v>33178</v>
      </c>
      <c r="B738" t="s">
        <v>888</v>
      </c>
      <c r="C738">
        <f>COUNTIFS(Table24[Client ID '#],"&lt;&gt;",Table24[Residence Zip Code],'G - ZIP Code'!A738)</f>
        <v>0</v>
      </c>
    </row>
    <row r="739" spans="1:3" x14ac:dyDescent="0.25">
      <c r="A739">
        <v>33179</v>
      </c>
      <c r="B739" t="s">
        <v>888</v>
      </c>
      <c r="C739">
        <f>COUNTIFS(Table24[Client ID '#],"&lt;&gt;",Table24[Residence Zip Code],'G - ZIP Code'!A739)</f>
        <v>0</v>
      </c>
    </row>
    <row r="740" spans="1:3" x14ac:dyDescent="0.25">
      <c r="A740">
        <v>33180</v>
      </c>
      <c r="B740" t="s">
        <v>888</v>
      </c>
      <c r="C740">
        <f>COUNTIFS(Table24[Client ID '#],"&lt;&gt;",Table24[Residence Zip Code],'G - ZIP Code'!A740)</f>
        <v>0</v>
      </c>
    </row>
    <row r="741" spans="1:3" x14ac:dyDescent="0.25">
      <c r="A741">
        <v>33181</v>
      </c>
      <c r="B741" t="s">
        <v>888</v>
      </c>
      <c r="C741">
        <f>COUNTIFS(Table24[Client ID '#],"&lt;&gt;",Table24[Residence Zip Code],'G - ZIP Code'!A741)</f>
        <v>0</v>
      </c>
    </row>
    <row r="742" spans="1:3" x14ac:dyDescent="0.25">
      <c r="A742">
        <v>33182</v>
      </c>
      <c r="B742" t="s">
        <v>888</v>
      </c>
      <c r="C742">
        <f>COUNTIFS(Table24[Client ID '#],"&lt;&gt;",Table24[Residence Zip Code],'G - ZIP Code'!A742)</f>
        <v>0</v>
      </c>
    </row>
    <row r="743" spans="1:3" x14ac:dyDescent="0.25">
      <c r="A743">
        <v>33183</v>
      </c>
      <c r="B743" t="s">
        <v>888</v>
      </c>
      <c r="C743">
        <f>COUNTIFS(Table24[Client ID '#],"&lt;&gt;",Table24[Residence Zip Code],'G - ZIP Code'!A743)</f>
        <v>0</v>
      </c>
    </row>
    <row r="744" spans="1:3" x14ac:dyDescent="0.25">
      <c r="A744">
        <v>33184</v>
      </c>
      <c r="B744" t="s">
        <v>888</v>
      </c>
      <c r="C744">
        <f>COUNTIFS(Table24[Client ID '#],"&lt;&gt;",Table24[Residence Zip Code],'G - ZIP Code'!A744)</f>
        <v>0</v>
      </c>
    </row>
    <row r="745" spans="1:3" x14ac:dyDescent="0.25">
      <c r="A745">
        <v>33185</v>
      </c>
      <c r="B745" t="s">
        <v>888</v>
      </c>
      <c r="C745">
        <f>COUNTIFS(Table24[Client ID '#],"&lt;&gt;",Table24[Residence Zip Code],'G - ZIP Code'!A745)</f>
        <v>0</v>
      </c>
    </row>
    <row r="746" spans="1:3" x14ac:dyDescent="0.25">
      <c r="A746">
        <v>33186</v>
      </c>
      <c r="B746" t="s">
        <v>888</v>
      </c>
      <c r="C746">
        <f>COUNTIFS(Table24[Client ID '#],"&lt;&gt;",Table24[Residence Zip Code],'G - ZIP Code'!A746)</f>
        <v>0</v>
      </c>
    </row>
    <row r="747" spans="1:3" x14ac:dyDescent="0.25">
      <c r="A747">
        <v>33187</v>
      </c>
      <c r="B747" t="s">
        <v>888</v>
      </c>
      <c r="C747">
        <f>COUNTIFS(Table24[Client ID '#],"&lt;&gt;",Table24[Residence Zip Code],'G - ZIP Code'!A747)</f>
        <v>0</v>
      </c>
    </row>
    <row r="748" spans="1:3" x14ac:dyDescent="0.25">
      <c r="A748">
        <v>33188</v>
      </c>
      <c r="B748" t="s">
        <v>888</v>
      </c>
      <c r="C748">
        <f>COUNTIFS(Table24[Client ID '#],"&lt;&gt;",Table24[Residence Zip Code],'G - ZIP Code'!A748)</f>
        <v>0</v>
      </c>
    </row>
    <row r="749" spans="1:3" x14ac:dyDescent="0.25">
      <c r="A749">
        <v>33189</v>
      </c>
      <c r="B749" t="s">
        <v>888</v>
      </c>
      <c r="C749">
        <f>COUNTIFS(Table24[Client ID '#],"&lt;&gt;",Table24[Residence Zip Code],'G - ZIP Code'!A749)</f>
        <v>0</v>
      </c>
    </row>
    <row r="750" spans="1:3" x14ac:dyDescent="0.25">
      <c r="A750">
        <v>33190</v>
      </c>
      <c r="B750" t="s">
        <v>888</v>
      </c>
      <c r="C750">
        <f>COUNTIFS(Table24[Client ID '#],"&lt;&gt;",Table24[Residence Zip Code],'G - ZIP Code'!A750)</f>
        <v>0</v>
      </c>
    </row>
    <row r="751" spans="1:3" x14ac:dyDescent="0.25">
      <c r="A751">
        <v>33193</v>
      </c>
      <c r="B751" t="s">
        <v>888</v>
      </c>
      <c r="C751">
        <f>COUNTIFS(Table24[Client ID '#],"&lt;&gt;",Table24[Residence Zip Code],'G - ZIP Code'!A751)</f>
        <v>0</v>
      </c>
    </row>
    <row r="752" spans="1:3" x14ac:dyDescent="0.25">
      <c r="A752">
        <v>33194</v>
      </c>
      <c r="B752" t="s">
        <v>888</v>
      </c>
      <c r="C752">
        <f>COUNTIFS(Table24[Client ID '#],"&lt;&gt;",Table24[Residence Zip Code],'G - ZIP Code'!A752)</f>
        <v>0</v>
      </c>
    </row>
    <row r="753" spans="1:3" x14ac:dyDescent="0.25">
      <c r="A753">
        <v>33195</v>
      </c>
      <c r="B753" t="s">
        <v>888</v>
      </c>
      <c r="C753">
        <f>COUNTIFS(Table24[Client ID '#],"&lt;&gt;",Table24[Residence Zip Code],'G - ZIP Code'!A753)</f>
        <v>0</v>
      </c>
    </row>
    <row r="754" spans="1:3" x14ac:dyDescent="0.25">
      <c r="A754">
        <v>33196</v>
      </c>
      <c r="B754" t="s">
        <v>888</v>
      </c>
      <c r="C754">
        <f>COUNTIFS(Table24[Client ID '#],"&lt;&gt;",Table24[Residence Zip Code],'G - ZIP Code'!A754)</f>
        <v>0</v>
      </c>
    </row>
    <row r="755" spans="1:3" x14ac:dyDescent="0.25">
      <c r="A755">
        <v>33197</v>
      </c>
      <c r="B755" t="s">
        <v>888</v>
      </c>
      <c r="C755">
        <f>COUNTIFS(Table24[Client ID '#],"&lt;&gt;",Table24[Residence Zip Code],'G - ZIP Code'!A755)</f>
        <v>0</v>
      </c>
    </row>
    <row r="756" spans="1:3" x14ac:dyDescent="0.25">
      <c r="A756">
        <v>33199</v>
      </c>
      <c r="B756" t="s">
        <v>888</v>
      </c>
      <c r="C756">
        <f>COUNTIFS(Table24[Client ID '#],"&lt;&gt;",Table24[Residence Zip Code],'G - ZIP Code'!A756)</f>
        <v>0</v>
      </c>
    </row>
    <row r="757" spans="1:3" x14ac:dyDescent="0.25">
      <c r="A757">
        <v>33231</v>
      </c>
      <c r="B757" t="s">
        <v>888</v>
      </c>
      <c r="C757">
        <f>COUNTIFS(Table24[Client ID '#],"&lt;&gt;",Table24[Residence Zip Code],'G - ZIP Code'!A757)</f>
        <v>0</v>
      </c>
    </row>
    <row r="758" spans="1:3" x14ac:dyDescent="0.25">
      <c r="A758">
        <v>33233</v>
      </c>
      <c r="B758" t="s">
        <v>888</v>
      </c>
      <c r="C758">
        <f>COUNTIFS(Table24[Client ID '#],"&lt;&gt;",Table24[Residence Zip Code],'G - ZIP Code'!A758)</f>
        <v>0</v>
      </c>
    </row>
    <row r="759" spans="1:3" x14ac:dyDescent="0.25">
      <c r="A759">
        <v>33234</v>
      </c>
      <c r="B759" t="s">
        <v>888</v>
      </c>
      <c r="C759">
        <f>COUNTIFS(Table24[Client ID '#],"&lt;&gt;",Table24[Residence Zip Code],'G - ZIP Code'!A759)</f>
        <v>0</v>
      </c>
    </row>
    <row r="760" spans="1:3" x14ac:dyDescent="0.25">
      <c r="A760">
        <v>33238</v>
      </c>
      <c r="B760" t="s">
        <v>888</v>
      </c>
      <c r="C760">
        <f>COUNTIFS(Table24[Client ID '#],"&lt;&gt;",Table24[Residence Zip Code],'G - ZIP Code'!A760)</f>
        <v>0</v>
      </c>
    </row>
    <row r="761" spans="1:3" x14ac:dyDescent="0.25">
      <c r="A761">
        <v>33239</v>
      </c>
      <c r="B761" t="s">
        <v>888</v>
      </c>
      <c r="C761">
        <f>COUNTIFS(Table24[Client ID '#],"&lt;&gt;",Table24[Residence Zip Code],'G - ZIP Code'!A761)</f>
        <v>0</v>
      </c>
    </row>
    <row r="762" spans="1:3" x14ac:dyDescent="0.25">
      <c r="A762">
        <v>33242</v>
      </c>
      <c r="B762" t="s">
        <v>888</v>
      </c>
      <c r="C762">
        <f>COUNTIFS(Table24[Client ID '#],"&lt;&gt;",Table24[Residence Zip Code],'G - ZIP Code'!A762)</f>
        <v>0</v>
      </c>
    </row>
    <row r="763" spans="1:3" x14ac:dyDescent="0.25">
      <c r="A763">
        <v>33243</v>
      </c>
      <c r="B763" t="s">
        <v>888</v>
      </c>
      <c r="C763">
        <f>COUNTIFS(Table24[Client ID '#],"&lt;&gt;",Table24[Residence Zip Code],'G - ZIP Code'!A763)</f>
        <v>0</v>
      </c>
    </row>
    <row r="764" spans="1:3" x14ac:dyDescent="0.25">
      <c r="A764">
        <v>33245</v>
      </c>
      <c r="B764" t="s">
        <v>888</v>
      </c>
      <c r="C764">
        <f>COUNTIFS(Table24[Client ID '#],"&lt;&gt;",Table24[Residence Zip Code],'G - ZIP Code'!A764)</f>
        <v>0</v>
      </c>
    </row>
    <row r="765" spans="1:3" x14ac:dyDescent="0.25">
      <c r="A765">
        <v>33247</v>
      </c>
      <c r="B765" t="s">
        <v>888</v>
      </c>
      <c r="C765">
        <f>COUNTIFS(Table24[Client ID '#],"&lt;&gt;",Table24[Residence Zip Code],'G - ZIP Code'!A765)</f>
        <v>0</v>
      </c>
    </row>
    <row r="766" spans="1:3" x14ac:dyDescent="0.25">
      <c r="A766">
        <v>33255</v>
      </c>
      <c r="B766" t="s">
        <v>888</v>
      </c>
      <c r="C766">
        <f>COUNTIFS(Table24[Client ID '#],"&lt;&gt;",Table24[Residence Zip Code],'G - ZIP Code'!A766)</f>
        <v>0</v>
      </c>
    </row>
    <row r="767" spans="1:3" x14ac:dyDescent="0.25">
      <c r="A767">
        <v>33256</v>
      </c>
      <c r="B767" t="s">
        <v>888</v>
      </c>
      <c r="C767">
        <f>COUNTIFS(Table24[Client ID '#],"&lt;&gt;",Table24[Residence Zip Code],'G - ZIP Code'!A767)</f>
        <v>0</v>
      </c>
    </row>
    <row r="768" spans="1:3" x14ac:dyDescent="0.25">
      <c r="A768">
        <v>33257</v>
      </c>
      <c r="B768" t="s">
        <v>888</v>
      </c>
      <c r="C768">
        <f>COUNTIFS(Table24[Client ID '#],"&lt;&gt;",Table24[Residence Zip Code],'G - ZIP Code'!A768)</f>
        <v>0</v>
      </c>
    </row>
    <row r="769" spans="1:3" x14ac:dyDescent="0.25">
      <c r="A769">
        <v>33261</v>
      </c>
      <c r="B769" t="s">
        <v>888</v>
      </c>
      <c r="C769">
        <f>COUNTIFS(Table24[Client ID '#],"&lt;&gt;",Table24[Residence Zip Code],'G - ZIP Code'!A769)</f>
        <v>0</v>
      </c>
    </row>
    <row r="770" spans="1:3" x14ac:dyDescent="0.25">
      <c r="A770">
        <v>33265</v>
      </c>
      <c r="B770" t="s">
        <v>888</v>
      </c>
      <c r="C770">
        <f>COUNTIFS(Table24[Client ID '#],"&lt;&gt;",Table24[Residence Zip Code],'G - ZIP Code'!A770)</f>
        <v>0</v>
      </c>
    </row>
    <row r="771" spans="1:3" x14ac:dyDescent="0.25">
      <c r="A771">
        <v>33266</v>
      </c>
      <c r="B771" t="s">
        <v>888</v>
      </c>
      <c r="C771">
        <f>COUNTIFS(Table24[Client ID '#],"&lt;&gt;",Table24[Residence Zip Code],'G - ZIP Code'!A771)</f>
        <v>0</v>
      </c>
    </row>
    <row r="772" spans="1:3" x14ac:dyDescent="0.25">
      <c r="A772">
        <v>33269</v>
      </c>
      <c r="B772" t="s">
        <v>888</v>
      </c>
      <c r="C772">
        <f>COUNTIFS(Table24[Client ID '#],"&lt;&gt;",Table24[Residence Zip Code],'G - ZIP Code'!A772)</f>
        <v>0</v>
      </c>
    </row>
    <row r="773" spans="1:3" x14ac:dyDescent="0.25">
      <c r="A773">
        <v>33280</v>
      </c>
      <c r="B773" t="s">
        <v>888</v>
      </c>
      <c r="C773">
        <f>COUNTIFS(Table24[Client ID '#],"&lt;&gt;",Table24[Residence Zip Code],'G - ZIP Code'!A773)</f>
        <v>0</v>
      </c>
    </row>
    <row r="774" spans="1:3" x14ac:dyDescent="0.25">
      <c r="A774">
        <v>33283</v>
      </c>
      <c r="B774" t="s">
        <v>888</v>
      </c>
      <c r="C774">
        <f>COUNTIFS(Table24[Client ID '#],"&lt;&gt;",Table24[Residence Zip Code],'G - ZIP Code'!A774)</f>
        <v>0</v>
      </c>
    </row>
    <row r="775" spans="1:3" x14ac:dyDescent="0.25">
      <c r="A775">
        <v>33296</v>
      </c>
      <c r="B775" t="s">
        <v>888</v>
      </c>
      <c r="C775">
        <f>COUNTIFS(Table24[Client ID '#],"&lt;&gt;",Table24[Residence Zip Code],'G - ZIP Code'!A775)</f>
        <v>0</v>
      </c>
    </row>
    <row r="776" spans="1:3" x14ac:dyDescent="0.25">
      <c r="A776">
        <v>33299</v>
      </c>
      <c r="B776" t="s">
        <v>888</v>
      </c>
      <c r="C776">
        <f>COUNTIFS(Table24[Client ID '#],"&lt;&gt;",Table24[Residence Zip Code],'G - ZIP Code'!A776)</f>
        <v>0</v>
      </c>
    </row>
    <row r="777" spans="1:3" x14ac:dyDescent="0.25">
      <c r="A777">
        <v>33301</v>
      </c>
      <c r="B777" t="s">
        <v>888</v>
      </c>
      <c r="C777">
        <f>COUNTIFS(Table24[Client ID '#],"&lt;&gt;",Table24[Residence Zip Code],'G - ZIP Code'!A777)</f>
        <v>0</v>
      </c>
    </row>
    <row r="778" spans="1:3" x14ac:dyDescent="0.25">
      <c r="A778">
        <v>33302</v>
      </c>
      <c r="B778" t="s">
        <v>888</v>
      </c>
      <c r="C778">
        <f>COUNTIFS(Table24[Client ID '#],"&lt;&gt;",Table24[Residence Zip Code],'G - ZIP Code'!A778)</f>
        <v>0</v>
      </c>
    </row>
    <row r="779" spans="1:3" x14ac:dyDescent="0.25">
      <c r="A779">
        <v>33303</v>
      </c>
      <c r="B779" t="s">
        <v>888</v>
      </c>
      <c r="C779">
        <f>COUNTIFS(Table24[Client ID '#],"&lt;&gt;",Table24[Residence Zip Code],'G - ZIP Code'!A779)</f>
        <v>0</v>
      </c>
    </row>
    <row r="780" spans="1:3" x14ac:dyDescent="0.25">
      <c r="A780">
        <v>33304</v>
      </c>
      <c r="B780" t="s">
        <v>888</v>
      </c>
      <c r="C780">
        <f>COUNTIFS(Table24[Client ID '#],"&lt;&gt;",Table24[Residence Zip Code],'G - ZIP Code'!A780)</f>
        <v>0</v>
      </c>
    </row>
    <row r="781" spans="1:3" x14ac:dyDescent="0.25">
      <c r="A781">
        <v>33305</v>
      </c>
      <c r="B781" t="s">
        <v>888</v>
      </c>
      <c r="C781">
        <f>COUNTIFS(Table24[Client ID '#],"&lt;&gt;",Table24[Residence Zip Code],'G - ZIP Code'!A781)</f>
        <v>0</v>
      </c>
    </row>
    <row r="782" spans="1:3" x14ac:dyDescent="0.25">
      <c r="A782">
        <v>33306</v>
      </c>
      <c r="B782" t="s">
        <v>888</v>
      </c>
      <c r="C782">
        <f>COUNTIFS(Table24[Client ID '#],"&lt;&gt;",Table24[Residence Zip Code],'G - ZIP Code'!A782)</f>
        <v>0</v>
      </c>
    </row>
    <row r="783" spans="1:3" x14ac:dyDescent="0.25">
      <c r="A783">
        <v>33307</v>
      </c>
      <c r="B783" t="s">
        <v>888</v>
      </c>
      <c r="C783">
        <f>COUNTIFS(Table24[Client ID '#],"&lt;&gt;",Table24[Residence Zip Code],'G - ZIP Code'!A783)</f>
        <v>0</v>
      </c>
    </row>
    <row r="784" spans="1:3" x14ac:dyDescent="0.25">
      <c r="A784">
        <v>33308</v>
      </c>
      <c r="B784" t="s">
        <v>888</v>
      </c>
      <c r="C784">
        <f>COUNTIFS(Table24[Client ID '#],"&lt;&gt;",Table24[Residence Zip Code],'G - ZIP Code'!A784)</f>
        <v>0</v>
      </c>
    </row>
    <row r="785" spans="1:3" x14ac:dyDescent="0.25">
      <c r="A785">
        <v>33309</v>
      </c>
      <c r="B785" t="s">
        <v>888</v>
      </c>
      <c r="C785">
        <f>COUNTIFS(Table24[Client ID '#],"&lt;&gt;",Table24[Residence Zip Code],'G - ZIP Code'!A785)</f>
        <v>0</v>
      </c>
    </row>
    <row r="786" spans="1:3" x14ac:dyDescent="0.25">
      <c r="A786">
        <v>33310</v>
      </c>
      <c r="B786" t="s">
        <v>888</v>
      </c>
      <c r="C786">
        <f>COUNTIFS(Table24[Client ID '#],"&lt;&gt;",Table24[Residence Zip Code],'G - ZIP Code'!A786)</f>
        <v>0</v>
      </c>
    </row>
    <row r="787" spans="1:3" x14ac:dyDescent="0.25">
      <c r="A787">
        <v>33311</v>
      </c>
      <c r="B787" t="s">
        <v>888</v>
      </c>
      <c r="C787">
        <f>COUNTIFS(Table24[Client ID '#],"&lt;&gt;",Table24[Residence Zip Code],'G - ZIP Code'!A787)</f>
        <v>0</v>
      </c>
    </row>
    <row r="788" spans="1:3" x14ac:dyDescent="0.25">
      <c r="A788">
        <v>33312</v>
      </c>
      <c r="B788" t="s">
        <v>888</v>
      </c>
      <c r="C788">
        <f>COUNTIFS(Table24[Client ID '#],"&lt;&gt;",Table24[Residence Zip Code],'G - ZIP Code'!A788)</f>
        <v>0</v>
      </c>
    </row>
    <row r="789" spans="1:3" x14ac:dyDescent="0.25">
      <c r="A789">
        <v>33313</v>
      </c>
      <c r="B789" t="s">
        <v>888</v>
      </c>
      <c r="C789">
        <f>COUNTIFS(Table24[Client ID '#],"&lt;&gt;",Table24[Residence Zip Code],'G - ZIP Code'!A789)</f>
        <v>0</v>
      </c>
    </row>
    <row r="790" spans="1:3" x14ac:dyDescent="0.25">
      <c r="A790">
        <v>33314</v>
      </c>
      <c r="B790" t="s">
        <v>888</v>
      </c>
      <c r="C790">
        <f>COUNTIFS(Table24[Client ID '#],"&lt;&gt;",Table24[Residence Zip Code],'G - ZIP Code'!A790)</f>
        <v>0</v>
      </c>
    </row>
    <row r="791" spans="1:3" x14ac:dyDescent="0.25">
      <c r="A791">
        <v>33315</v>
      </c>
      <c r="B791" t="s">
        <v>888</v>
      </c>
      <c r="C791">
        <f>COUNTIFS(Table24[Client ID '#],"&lt;&gt;",Table24[Residence Zip Code],'G - ZIP Code'!A791)</f>
        <v>0</v>
      </c>
    </row>
    <row r="792" spans="1:3" x14ac:dyDescent="0.25">
      <c r="A792">
        <v>33316</v>
      </c>
      <c r="B792" t="s">
        <v>888</v>
      </c>
      <c r="C792">
        <f>COUNTIFS(Table24[Client ID '#],"&lt;&gt;",Table24[Residence Zip Code],'G - ZIP Code'!A792)</f>
        <v>0</v>
      </c>
    </row>
    <row r="793" spans="1:3" x14ac:dyDescent="0.25">
      <c r="A793">
        <v>33317</v>
      </c>
      <c r="B793" t="s">
        <v>888</v>
      </c>
      <c r="C793">
        <f>COUNTIFS(Table24[Client ID '#],"&lt;&gt;",Table24[Residence Zip Code],'G - ZIP Code'!A793)</f>
        <v>0</v>
      </c>
    </row>
    <row r="794" spans="1:3" x14ac:dyDescent="0.25">
      <c r="A794">
        <v>33318</v>
      </c>
      <c r="B794" t="s">
        <v>888</v>
      </c>
      <c r="C794">
        <f>COUNTIFS(Table24[Client ID '#],"&lt;&gt;",Table24[Residence Zip Code],'G - ZIP Code'!A794)</f>
        <v>0</v>
      </c>
    </row>
    <row r="795" spans="1:3" x14ac:dyDescent="0.25">
      <c r="A795">
        <v>33319</v>
      </c>
      <c r="B795" t="s">
        <v>888</v>
      </c>
      <c r="C795">
        <f>COUNTIFS(Table24[Client ID '#],"&lt;&gt;",Table24[Residence Zip Code],'G - ZIP Code'!A795)</f>
        <v>0</v>
      </c>
    </row>
    <row r="796" spans="1:3" x14ac:dyDescent="0.25">
      <c r="A796">
        <v>33320</v>
      </c>
      <c r="B796" t="s">
        <v>888</v>
      </c>
      <c r="C796">
        <f>COUNTIFS(Table24[Client ID '#],"&lt;&gt;",Table24[Residence Zip Code],'G - ZIP Code'!A796)</f>
        <v>0</v>
      </c>
    </row>
    <row r="797" spans="1:3" x14ac:dyDescent="0.25">
      <c r="A797">
        <v>33321</v>
      </c>
      <c r="B797" t="s">
        <v>888</v>
      </c>
      <c r="C797">
        <f>COUNTIFS(Table24[Client ID '#],"&lt;&gt;",Table24[Residence Zip Code],'G - ZIP Code'!A797)</f>
        <v>0</v>
      </c>
    </row>
    <row r="798" spans="1:3" x14ac:dyDescent="0.25">
      <c r="A798">
        <v>33322</v>
      </c>
      <c r="B798" t="s">
        <v>888</v>
      </c>
      <c r="C798">
        <f>COUNTIFS(Table24[Client ID '#],"&lt;&gt;",Table24[Residence Zip Code],'G - ZIP Code'!A798)</f>
        <v>0</v>
      </c>
    </row>
    <row r="799" spans="1:3" x14ac:dyDescent="0.25">
      <c r="A799">
        <v>33323</v>
      </c>
      <c r="B799" t="s">
        <v>888</v>
      </c>
      <c r="C799">
        <f>COUNTIFS(Table24[Client ID '#],"&lt;&gt;",Table24[Residence Zip Code],'G - ZIP Code'!A799)</f>
        <v>0</v>
      </c>
    </row>
    <row r="800" spans="1:3" x14ac:dyDescent="0.25">
      <c r="A800">
        <v>33324</v>
      </c>
      <c r="B800" t="s">
        <v>888</v>
      </c>
      <c r="C800">
        <f>COUNTIFS(Table24[Client ID '#],"&lt;&gt;",Table24[Residence Zip Code],'G - ZIP Code'!A800)</f>
        <v>0</v>
      </c>
    </row>
    <row r="801" spans="1:3" x14ac:dyDescent="0.25">
      <c r="A801">
        <v>33325</v>
      </c>
      <c r="B801" t="s">
        <v>888</v>
      </c>
      <c r="C801">
        <f>COUNTIFS(Table24[Client ID '#],"&lt;&gt;",Table24[Residence Zip Code],'G - ZIP Code'!A801)</f>
        <v>0</v>
      </c>
    </row>
    <row r="802" spans="1:3" x14ac:dyDescent="0.25">
      <c r="A802">
        <v>33326</v>
      </c>
      <c r="B802" t="s">
        <v>888</v>
      </c>
      <c r="C802">
        <f>COUNTIFS(Table24[Client ID '#],"&lt;&gt;",Table24[Residence Zip Code],'G - ZIP Code'!A802)</f>
        <v>0</v>
      </c>
    </row>
    <row r="803" spans="1:3" x14ac:dyDescent="0.25">
      <c r="A803">
        <v>33327</v>
      </c>
      <c r="B803" t="s">
        <v>888</v>
      </c>
      <c r="C803">
        <f>COUNTIFS(Table24[Client ID '#],"&lt;&gt;",Table24[Residence Zip Code],'G - ZIP Code'!A803)</f>
        <v>0</v>
      </c>
    </row>
    <row r="804" spans="1:3" x14ac:dyDescent="0.25">
      <c r="A804">
        <v>33328</v>
      </c>
      <c r="B804" t="s">
        <v>888</v>
      </c>
      <c r="C804">
        <f>COUNTIFS(Table24[Client ID '#],"&lt;&gt;",Table24[Residence Zip Code],'G - ZIP Code'!A804)</f>
        <v>0</v>
      </c>
    </row>
    <row r="805" spans="1:3" x14ac:dyDescent="0.25">
      <c r="A805">
        <v>33329</v>
      </c>
      <c r="B805" t="s">
        <v>888</v>
      </c>
      <c r="C805">
        <f>COUNTIFS(Table24[Client ID '#],"&lt;&gt;",Table24[Residence Zip Code],'G - ZIP Code'!A805)</f>
        <v>0</v>
      </c>
    </row>
    <row r="806" spans="1:3" x14ac:dyDescent="0.25">
      <c r="A806">
        <v>33330</v>
      </c>
      <c r="B806" t="s">
        <v>888</v>
      </c>
      <c r="C806">
        <f>COUNTIFS(Table24[Client ID '#],"&lt;&gt;",Table24[Residence Zip Code],'G - ZIP Code'!A806)</f>
        <v>0</v>
      </c>
    </row>
    <row r="807" spans="1:3" x14ac:dyDescent="0.25">
      <c r="A807">
        <v>33331</v>
      </c>
      <c r="B807" t="s">
        <v>888</v>
      </c>
      <c r="C807">
        <f>COUNTIFS(Table24[Client ID '#],"&lt;&gt;",Table24[Residence Zip Code],'G - ZIP Code'!A807)</f>
        <v>0</v>
      </c>
    </row>
    <row r="808" spans="1:3" x14ac:dyDescent="0.25">
      <c r="A808">
        <v>33332</v>
      </c>
      <c r="B808" t="s">
        <v>888</v>
      </c>
      <c r="C808">
        <f>COUNTIFS(Table24[Client ID '#],"&lt;&gt;",Table24[Residence Zip Code],'G - ZIP Code'!A808)</f>
        <v>0</v>
      </c>
    </row>
    <row r="809" spans="1:3" x14ac:dyDescent="0.25">
      <c r="A809">
        <v>33334</v>
      </c>
      <c r="B809" t="s">
        <v>888</v>
      </c>
      <c r="C809">
        <f>COUNTIFS(Table24[Client ID '#],"&lt;&gt;",Table24[Residence Zip Code],'G - ZIP Code'!A809)</f>
        <v>0</v>
      </c>
    </row>
    <row r="810" spans="1:3" x14ac:dyDescent="0.25">
      <c r="A810">
        <v>33335</v>
      </c>
      <c r="B810" t="s">
        <v>888</v>
      </c>
      <c r="C810">
        <f>COUNTIFS(Table24[Client ID '#],"&lt;&gt;",Table24[Residence Zip Code],'G - ZIP Code'!A810)</f>
        <v>0</v>
      </c>
    </row>
    <row r="811" spans="1:3" x14ac:dyDescent="0.25">
      <c r="A811">
        <v>33336</v>
      </c>
      <c r="B811" t="s">
        <v>888</v>
      </c>
      <c r="C811">
        <f>COUNTIFS(Table24[Client ID '#],"&lt;&gt;",Table24[Residence Zip Code],'G - ZIP Code'!A811)</f>
        <v>0</v>
      </c>
    </row>
    <row r="812" spans="1:3" x14ac:dyDescent="0.25">
      <c r="A812">
        <v>33337</v>
      </c>
      <c r="B812" t="s">
        <v>888</v>
      </c>
      <c r="C812">
        <f>COUNTIFS(Table24[Client ID '#],"&lt;&gt;",Table24[Residence Zip Code],'G - ZIP Code'!A812)</f>
        <v>0</v>
      </c>
    </row>
    <row r="813" spans="1:3" x14ac:dyDescent="0.25">
      <c r="A813">
        <v>33338</v>
      </c>
      <c r="B813" t="s">
        <v>888</v>
      </c>
      <c r="C813">
        <f>COUNTIFS(Table24[Client ID '#],"&lt;&gt;",Table24[Residence Zip Code],'G - ZIP Code'!A813)</f>
        <v>0</v>
      </c>
    </row>
    <row r="814" spans="1:3" x14ac:dyDescent="0.25">
      <c r="A814">
        <v>33339</v>
      </c>
      <c r="B814" t="s">
        <v>888</v>
      </c>
      <c r="C814">
        <f>COUNTIFS(Table24[Client ID '#],"&lt;&gt;",Table24[Residence Zip Code],'G - ZIP Code'!A814)</f>
        <v>0</v>
      </c>
    </row>
    <row r="815" spans="1:3" x14ac:dyDescent="0.25">
      <c r="A815">
        <v>33340</v>
      </c>
      <c r="B815" t="s">
        <v>888</v>
      </c>
      <c r="C815">
        <f>COUNTIFS(Table24[Client ID '#],"&lt;&gt;",Table24[Residence Zip Code],'G - ZIP Code'!A815)</f>
        <v>0</v>
      </c>
    </row>
    <row r="816" spans="1:3" x14ac:dyDescent="0.25">
      <c r="A816">
        <v>33345</v>
      </c>
      <c r="B816" t="s">
        <v>888</v>
      </c>
      <c r="C816">
        <f>COUNTIFS(Table24[Client ID '#],"&lt;&gt;",Table24[Residence Zip Code],'G - ZIP Code'!A816)</f>
        <v>0</v>
      </c>
    </row>
    <row r="817" spans="1:3" x14ac:dyDescent="0.25">
      <c r="A817">
        <v>33346</v>
      </c>
      <c r="B817" t="s">
        <v>888</v>
      </c>
      <c r="C817">
        <f>COUNTIFS(Table24[Client ID '#],"&lt;&gt;",Table24[Residence Zip Code],'G - ZIP Code'!A817)</f>
        <v>0</v>
      </c>
    </row>
    <row r="818" spans="1:3" x14ac:dyDescent="0.25">
      <c r="A818">
        <v>33348</v>
      </c>
      <c r="B818" t="s">
        <v>888</v>
      </c>
      <c r="C818">
        <f>COUNTIFS(Table24[Client ID '#],"&lt;&gt;",Table24[Residence Zip Code],'G - ZIP Code'!A818)</f>
        <v>0</v>
      </c>
    </row>
    <row r="819" spans="1:3" x14ac:dyDescent="0.25">
      <c r="A819">
        <v>33349</v>
      </c>
      <c r="B819" t="s">
        <v>888</v>
      </c>
      <c r="C819">
        <f>COUNTIFS(Table24[Client ID '#],"&lt;&gt;",Table24[Residence Zip Code],'G - ZIP Code'!A819)</f>
        <v>0</v>
      </c>
    </row>
    <row r="820" spans="1:3" x14ac:dyDescent="0.25">
      <c r="A820">
        <v>33351</v>
      </c>
      <c r="B820" t="s">
        <v>888</v>
      </c>
      <c r="C820">
        <f>COUNTIFS(Table24[Client ID '#],"&lt;&gt;",Table24[Residence Zip Code],'G - ZIP Code'!A820)</f>
        <v>0</v>
      </c>
    </row>
    <row r="821" spans="1:3" x14ac:dyDescent="0.25">
      <c r="A821">
        <v>33355</v>
      </c>
      <c r="B821" t="s">
        <v>888</v>
      </c>
      <c r="C821">
        <f>COUNTIFS(Table24[Client ID '#],"&lt;&gt;",Table24[Residence Zip Code],'G - ZIP Code'!A821)</f>
        <v>0</v>
      </c>
    </row>
    <row r="822" spans="1:3" x14ac:dyDescent="0.25">
      <c r="A822">
        <v>33359</v>
      </c>
      <c r="B822" t="s">
        <v>888</v>
      </c>
      <c r="C822">
        <f>COUNTIFS(Table24[Client ID '#],"&lt;&gt;",Table24[Residence Zip Code],'G - ZIP Code'!A822)</f>
        <v>0</v>
      </c>
    </row>
    <row r="823" spans="1:3" x14ac:dyDescent="0.25">
      <c r="A823">
        <v>33388</v>
      </c>
      <c r="B823" t="s">
        <v>888</v>
      </c>
      <c r="C823">
        <f>COUNTIFS(Table24[Client ID '#],"&lt;&gt;",Table24[Residence Zip Code],'G - ZIP Code'!A823)</f>
        <v>0</v>
      </c>
    </row>
    <row r="824" spans="1:3" x14ac:dyDescent="0.25">
      <c r="A824">
        <v>33394</v>
      </c>
      <c r="B824" t="s">
        <v>888</v>
      </c>
      <c r="C824">
        <f>COUNTIFS(Table24[Client ID '#],"&lt;&gt;",Table24[Residence Zip Code],'G - ZIP Code'!A824)</f>
        <v>0</v>
      </c>
    </row>
    <row r="825" spans="1:3" x14ac:dyDescent="0.25">
      <c r="A825">
        <v>33401</v>
      </c>
      <c r="B825" t="s">
        <v>888</v>
      </c>
      <c r="C825">
        <f>COUNTIFS(Table24[Client ID '#],"&lt;&gt;",Table24[Residence Zip Code],'G - ZIP Code'!A825)</f>
        <v>0</v>
      </c>
    </row>
    <row r="826" spans="1:3" x14ac:dyDescent="0.25">
      <c r="A826">
        <v>33402</v>
      </c>
      <c r="B826" t="s">
        <v>888</v>
      </c>
      <c r="C826">
        <f>COUNTIFS(Table24[Client ID '#],"&lt;&gt;",Table24[Residence Zip Code],'G - ZIP Code'!A826)</f>
        <v>0</v>
      </c>
    </row>
    <row r="827" spans="1:3" x14ac:dyDescent="0.25">
      <c r="A827">
        <v>33403</v>
      </c>
      <c r="B827" t="s">
        <v>888</v>
      </c>
      <c r="C827">
        <f>COUNTIFS(Table24[Client ID '#],"&lt;&gt;",Table24[Residence Zip Code],'G - ZIP Code'!A827)</f>
        <v>0</v>
      </c>
    </row>
    <row r="828" spans="1:3" x14ac:dyDescent="0.25">
      <c r="A828">
        <v>33404</v>
      </c>
      <c r="B828" t="s">
        <v>888</v>
      </c>
      <c r="C828">
        <f>COUNTIFS(Table24[Client ID '#],"&lt;&gt;",Table24[Residence Zip Code],'G - ZIP Code'!A828)</f>
        <v>0</v>
      </c>
    </row>
    <row r="829" spans="1:3" x14ac:dyDescent="0.25">
      <c r="A829">
        <v>33405</v>
      </c>
      <c r="B829" t="s">
        <v>888</v>
      </c>
      <c r="C829">
        <f>COUNTIFS(Table24[Client ID '#],"&lt;&gt;",Table24[Residence Zip Code],'G - ZIP Code'!A829)</f>
        <v>0</v>
      </c>
    </row>
    <row r="830" spans="1:3" x14ac:dyDescent="0.25">
      <c r="A830">
        <v>33406</v>
      </c>
      <c r="B830" t="s">
        <v>888</v>
      </c>
      <c r="C830">
        <f>COUNTIFS(Table24[Client ID '#],"&lt;&gt;",Table24[Residence Zip Code],'G - ZIP Code'!A830)</f>
        <v>0</v>
      </c>
    </row>
    <row r="831" spans="1:3" x14ac:dyDescent="0.25">
      <c r="A831">
        <v>33407</v>
      </c>
      <c r="B831" t="s">
        <v>888</v>
      </c>
      <c r="C831">
        <f>COUNTIFS(Table24[Client ID '#],"&lt;&gt;",Table24[Residence Zip Code],'G - ZIP Code'!A831)</f>
        <v>0</v>
      </c>
    </row>
    <row r="832" spans="1:3" x14ac:dyDescent="0.25">
      <c r="A832">
        <v>33408</v>
      </c>
      <c r="B832" t="s">
        <v>888</v>
      </c>
      <c r="C832">
        <f>COUNTIFS(Table24[Client ID '#],"&lt;&gt;",Table24[Residence Zip Code],'G - ZIP Code'!A832)</f>
        <v>0</v>
      </c>
    </row>
    <row r="833" spans="1:3" x14ac:dyDescent="0.25">
      <c r="A833">
        <v>33409</v>
      </c>
      <c r="B833" t="s">
        <v>888</v>
      </c>
      <c r="C833">
        <f>COUNTIFS(Table24[Client ID '#],"&lt;&gt;",Table24[Residence Zip Code],'G - ZIP Code'!A833)</f>
        <v>0</v>
      </c>
    </row>
    <row r="834" spans="1:3" x14ac:dyDescent="0.25">
      <c r="A834">
        <v>33410</v>
      </c>
      <c r="B834" t="s">
        <v>888</v>
      </c>
      <c r="C834">
        <f>COUNTIFS(Table24[Client ID '#],"&lt;&gt;",Table24[Residence Zip Code],'G - ZIP Code'!A834)</f>
        <v>0</v>
      </c>
    </row>
    <row r="835" spans="1:3" x14ac:dyDescent="0.25">
      <c r="A835">
        <v>33411</v>
      </c>
      <c r="B835" t="s">
        <v>888</v>
      </c>
      <c r="C835">
        <f>COUNTIFS(Table24[Client ID '#],"&lt;&gt;",Table24[Residence Zip Code],'G - ZIP Code'!A835)</f>
        <v>0</v>
      </c>
    </row>
    <row r="836" spans="1:3" x14ac:dyDescent="0.25">
      <c r="A836">
        <v>33412</v>
      </c>
      <c r="B836" t="s">
        <v>888</v>
      </c>
      <c r="C836">
        <f>COUNTIFS(Table24[Client ID '#],"&lt;&gt;",Table24[Residence Zip Code],'G - ZIP Code'!A836)</f>
        <v>0</v>
      </c>
    </row>
    <row r="837" spans="1:3" x14ac:dyDescent="0.25">
      <c r="A837">
        <v>33413</v>
      </c>
      <c r="B837" t="s">
        <v>888</v>
      </c>
      <c r="C837">
        <f>COUNTIFS(Table24[Client ID '#],"&lt;&gt;",Table24[Residence Zip Code],'G - ZIP Code'!A837)</f>
        <v>0</v>
      </c>
    </row>
    <row r="838" spans="1:3" x14ac:dyDescent="0.25">
      <c r="A838">
        <v>33414</v>
      </c>
      <c r="B838" t="s">
        <v>888</v>
      </c>
      <c r="C838">
        <f>COUNTIFS(Table24[Client ID '#],"&lt;&gt;",Table24[Residence Zip Code],'G - ZIP Code'!A838)</f>
        <v>0</v>
      </c>
    </row>
    <row r="839" spans="1:3" x14ac:dyDescent="0.25">
      <c r="A839">
        <v>33415</v>
      </c>
      <c r="B839" t="s">
        <v>888</v>
      </c>
      <c r="C839">
        <f>COUNTIFS(Table24[Client ID '#],"&lt;&gt;",Table24[Residence Zip Code],'G - ZIP Code'!A839)</f>
        <v>0</v>
      </c>
    </row>
    <row r="840" spans="1:3" x14ac:dyDescent="0.25">
      <c r="A840">
        <v>33416</v>
      </c>
      <c r="B840" t="s">
        <v>888</v>
      </c>
      <c r="C840">
        <f>COUNTIFS(Table24[Client ID '#],"&lt;&gt;",Table24[Residence Zip Code],'G - ZIP Code'!A840)</f>
        <v>0</v>
      </c>
    </row>
    <row r="841" spans="1:3" x14ac:dyDescent="0.25">
      <c r="A841">
        <v>33417</v>
      </c>
      <c r="B841" t="s">
        <v>888</v>
      </c>
      <c r="C841">
        <f>COUNTIFS(Table24[Client ID '#],"&lt;&gt;",Table24[Residence Zip Code],'G - ZIP Code'!A841)</f>
        <v>0</v>
      </c>
    </row>
    <row r="842" spans="1:3" x14ac:dyDescent="0.25">
      <c r="A842">
        <v>33418</v>
      </c>
      <c r="B842" t="s">
        <v>888</v>
      </c>
      <c r="C842">
        <f>COUNTIFS(Table24[Client ID '#],"&lt;&gt;",Table24[Residence Zip Code],'G - ZIP Code'!A842)</f>
        <v>0</v>
      </c>
    </row>
    <row r="843" spans="1:3" x14ac:dyDescent="0.25">
      <c r="A843">
        <v>33419</v>
      </c>
      <c r="B843" t="s">
        <v>888</v>
      </c>
      <c r="C843">
        <f>COUNTIFS(Table24[Client ID '#],"&lt;&gt;",Table24[Residence Zip Code],'G - ZIP Code'!A843)</f>
        <v>0</v>
      </c>
    </row>
    <row r="844" spans="1:3" x14ac:dyDescent="0.25">
      <c r="A844">
        <v>33420</v>
      </c>
      <c r="B844" t="s">
        <v>888</v>
      </c>
      <c r="C844">
        <f>COUNTIFS(Table24[Client ID '#],"&lt;&gt;",Table24[Residence Zip Code],'G - ZIP Code'!A844)</f>
        <v>0</v>
      </c>
    </row>
    <row r="845" spans="1:3" x14ac:dyDescent="0.25">
      <c r="A845">
        <v>33421</v>
      </c>
      <c r="B845" t="s">
        <v>888</v>
      </c>
      <c r="C845">
        <f>COUNTIFS(Table24[Client ID '#],"&lt;&gt;",Table24[Residence Zip Code],'G - ZIP Code'!A845)</f>
        <v>0</v>
      </c>
    </row>
    <row r="846" spans="1:3" x14ac:dyDescent="0.25">
      <c r="A846">
        <v>33422</v>
      </c>
      <c r="B846" t="s">
        <v>888</v>
      </c>
      <c r="C846">
        <f>COUNTIFS(Table24[Client ID '#],"&lt;&gt;",Table24[Residence Zip Code],'G - ZIP Code'!A846)</f>
        <v>0</v>
      </c>
    </row>
    <row r="847" spans="1:3" x14ac:dyDescent="0.25">
      <c r="A847">
        <v>33424</v>
      </c>
      <c r="B847" t="s">
        <v>888</v>
      </c>
      <c r="C847">
        <f>COUNTIFS(Table24[Client ID '#],"&lt;&gt;",Table24[Residence Zip Code],'G - ZIP Code'!A847)</f>
        <v>0</v>
      </c>
    </row>
    <row r="848" spans="1:3" x14ac:dyDescent="0.25">
      <c r="A848">
        <v>33425</v>
      </c>
      <c r="B848" t="s">
        <v>888</v>
      </c>
      <c r="C848">
        <f>COUNTIFS(Table24[Client ID '#],"&lt;&gt;",Table24[Residence Zip Code],'G - ZIP Code'!A848)</f>
        <v>0</v>
      </c>
    </row>
    <row r="849" spans="1:3" x14ac:dyDescent="0.25">
      <c r="A849">
        <v>33426</v>
      </c>
      <c r="B849" t="s">
        <v>888</v>
      </c>
      <c r="C849">
        <f>COUNTIFS(Table24[Client ID '#],"&lt;&gt;",Table24[Residence Zip Code],'G - ZIP Code'!A849)</f>
        <v>0</v>
      </c>
    </row>
    <row r="850" spans="1:3" x14ac:dyDescent="0.25">
      <c r="A850">
        <v>33427</v>
      </c>
      <c r="B850" t="s">
        <v>888</v>
      </c>
      <c r="C850">
        <f>COUNTIFS(Table24[Client ID '#],"&lt;&gt;",Table24[Residence Zip Code],'G - ZIP Code'!A850)</f>
        <v>0</v>
      </c>
    </row>
    <row r="851" spans="1:3" x14ac:dyDescent="0.25">
      <c r="A851">
        <v>33428</v>
      </c>
      <c r="B851" t="s">
        <v>888</v>
      </c>
      <c r="C851">
        <f>COUNTIFS(Table24[Client ID '#],"&lt;&gt;",Table24[Residence Zip Code],'G - ZIP Code'!A851)</f>
        <v>0</v>
      </c>
    </row>
    <row r="852" spans="1:3" x14ac:dyDescent="0.25">
      <c r="A852">
        <v>33429</v>
      </c>
      <c r="B852" t="s">
        <v>888</v>
      </c>
      <c r="C852">
        <f>COUNTIFS(Table24[Client ID '#],"&lt;&gt;",Table24[Residence Zip Code],'G - ZIP Code'!A852)</f>
        <v>0</v>
      </c>
    </row>
    <row r="853" spans="1:3" x14ac:dyDescent="0.25">
      <c r="A853">
        <v>33430</v>
      </c>
      <c r="B853" t="s">
        <v>888</v>
      </c>
      <c r="C853">
        <f>COUNTIFS(Table24[Client ID '#],"&lt;&gt;",Table24[Residence Zip Code],'G - ZIP Code'!A853)</f>
        <v>0</v>
      </c>
    </row>
    <row r="854" spans="1:3" x14ac:dyDescent="0.25">
      <c r="A854">
        <v>33431</v>
      </c>
      <c r="B854" t="s">
        <v>888</v>
      </c>
      <c r="C854">
        <f>COUNTIFS(Table24[Client ID '#],"&lt;&gt;",Table24[Residence Zip Code],'G - ZIP Code'!A854)</f>
        <v>0</v>
      </c>
    </row>
    <row r="855" spans="1:3" x14ac:dyDescent="0.25">
      <c r="A855">
        <v>33432</v>
      </c>
      <c r="B855" t="s">
        <v>888</v>
      </c>
      <c r="C855">
        <f>COUNTIFS(Table24[Client ID '#],"&lt;&gt;",Table24[Residence Zip Code],'G - ZIP Code'!A855)</f>
        <v>0</v>
      </c>
    </row>
    <row r="856" spans="1:3" x14ac:dyDescent="0.25">
      <c r="A856">
        <v>33433</v>
      </c>
      <c r="B856" t="s">
        <v>888</v>
      </c>
      <c r="C856">
        <f>COUNTIFS(Table24[Client ID '#],"&lt;&gt;",Table24[Residence Zip Code],'G - ZIP Code'!A856)</f>
        <v>0</v>
      </c>
    </row>
    <row r="857" spans="1:3" x14ac:dyDescent="0.25">
      <c r="A857">
        <v>33434</v>
      </c>
      <c r="B857" t="s">
        <v>888</v>
      </c>
      <c r="C857">
        <f>COUNTIFS(Table24[Client ID '#],"&lt;&gt;",Table24[Residence Zip Code],'G - ZIP Code'!A857)</f>
        <v>0</v>
      </c>
    </row>
    <row r="858" spans="1:3" x14ac:dyDescent="0.25">
      <c r="A858">
        <v>33435</v>
      </c>
      <c r="B858" t="s">
        <v>888</v>
      </c>
      <c r="C858">
        <f>COUNTIFS(Table24[Client ID '#],"&lt;&gt;",Table24[Residence Zip Code],'G - ZIP Code'!A858)</f>
        <v>0</v>
      </c>
    </row>
    <row r="859" spans="1:3" x14ac:dyDescent="0.25">
      <c r="A859">
        <v>33436</v>
      </c>
      <c r="B859" t="s">
        <v>888</v>
      </c>
      <c r="C859">
        <f>COUNTIFS(Table24[Client ID '#],"&lt;&gt;",Table24[Residence Zip Code],'G - ZIP Code'!A859)</f>
        <v>0</v>
      </c>
    </row>
    <row r="860" spans="1:3" x14ac:dyDescent="0.25">
      <c r="A860">
        <v>33437</v>
      </c>
      <c r="B860" t="s">
        <v>888</v>
      </c>
      <c r="C860">
        <f>COUNTIFS(Table24[Client ID '#],"&lt;&gt;",Table24[Residence Zip Code],'G - ZIP Code'!A860)</f>
        <v>0</v>
      </c>
    </row>
    <row r="861" spans="1:3" x14ac:dyDescent="0.25">
      <c r="A861">
        <v>33438</v>
      </c>
      <c r="B861" t="s">
        <v>888</v>
      </c>
      <c r="C861">
        <f>COUNTIFS(Table24[Client ID '#],"&lt;&gt;",Table24[Residence Zip Code],'G - ZIP Code'!A861)</f>
        <v>0</v>
      </c>
    </row>
    <row r="862" spans="1:3" x14ac:dyDescent="0.25">
      <c r="A862">
        <v>33439</v>
      </c>
      <c r="B862" t="s">
        <v>888</v>
      </c>
      <c r="C862">
        <f>COUNTIFS(Table24[Client ID '#],"&lt;&gt;",Table24[Residence Zip Code],'G - ZIP Code'!A862)</f>
        <v>0</v>
      </c>
    </row>
    <row r="863" spans="1:3" x14ac:dyDescent="0.25">
      <c r="A863">
        <v>33440</v>
      </c>
      <c r="B863" t="s">
        <v>888</v>
      </c>
      <c r="C863">
        <f>COUNTIFS(Table24[Client ID '#],"&lt;&gt;",Table24[Residence Zip Code],'G - ZIP Code'!A863)</f>
        <v>0</v>
      </c>
    </row>
    <row r="864" spans="1:3" x14ac:dyDescent="0.25">
      <c r="A864">
        <v>33441</v>
      </c>
      <c r="B864" t="s">
        <v>888</v>
      </c>
      <c r="C864">
        <f>COUNTIFS(Table24[Client ID '#],"&lt;&gt;",Table24[Residence Zip Code],'G - ZIP Code'!A864)</f>
        <v>0</v>
      </c>
    </row>
    <row r="865" spans="1:3" x14ac:dyDescent="0.25">
      <c r="A865">
        <v>33442</v>
      </c>
      <c r="B865" t="s">
        <v>888</v>
      </c>
      <c r="C865">
        <f>COUNTIFS(Table24[Client ID '#],"&lt;&gt;",Table24[Residence Zip Code],'G - ZIP Code'!A865)</f>
        <v>0</v>
      </c>
    </row>
    <row r="866" spans="1:3" x14ac:dyDescent="0.25">
      <c r="A866">
        <v>33443</v>
      </c>
      <c r="B866" t="s">
        <v>888</v>
      </c>
      <c r="C866">
        <f>COUNTIFS(Table24[Client ID '#],"&lt;&gt;",Table24[Residence Zip Code],'G - ZIP Code'!A866)</f>
        <v>0</v>
      </c>
    </row>
    <row r="867" spans="1:3" x14ac:dyDescent="0.25">
      <c r="A867">
        <v>33444</v>
      </c>
      <c r="B867" t="s">
        <v>888</v>
      </c>
      <c r="C867">
        <f>COUNTIFS(Table24[Client ID '#],"&lt;&gt;",Table24[Residence Zip Code],'G - ZIP Code'!A867)</f>
        <v>0</v>
      </c>
    </row>
    <row r="868" spans="1:3" x14ac:dyDescent="0.25">
      <c r="A868">
        <v>33445</v>
      </c>
      <c r="B868" t="s">
        <v>888</v>
      </c>
      <c r="C868">
        <f>COUNTIFS(Table24[Client ID '#],"&lt;&gt;",Table24[Residence Zip Code],'G - ZIP Code'!A868)</f>
        <v>0</v>
      </c>
    </row>
    <row r="869" spans="1:3" x14ac:dyDescent="0.25">
      <c r="A869">
        <v>33446</v>
      </c>
      <c r="B869" t="s">
        <v>888</v>
      </c>
      <c r="C869">
        <f>COUNTIFS(Table24[Client ID '#],"&lt;&gt;",Table24[Residence Zip Code],'G - ZIP Code'!A869)</f>
        <v>0</v>
      </c>
    </row>
    <row r="870" spans="1:3" x14ac:dyDescent="0.25">
      <c r="A870">
        <v>33447</v>
      </c>
      <c r="B870" t="s">
        <v>888</v>
      </c>
      <c r="C870">
        <f>COUNTIFS(Table24[Client ID '#],"&lt;&gt;",Table24[Residence Zip Code],'G - ZIP Code'!A870)</f>
        <v>0</v>
      </c>
    </row>
    <row r="871" spans="1:3" x14ac:dyDescent="0.25">
      <c r="A871">
        <v>33448</v>
      </c>
      <c r="B871" t="s">
        <v>888</v>
      </c>
      <c r="C871">
        <f>COUNTIFS(Table24[Client ID '#],"&lt;&gt;",Table24[Residence Zip Code],'G - ZIP Code'!A871)</f>
        <v>0</v>
      </c>
    </row>
    <row r="872" spans="1:3" x14ac:dyDescent="0.25">
      <c r="A872">
        <v>33454</v>
      </c>
      <c r="B872" t="s">
        <v>888</v>
      </c>
      <c r="C872">
        <f>COUNTIFS(Table24[Client ID '#],"&lt;&gt;",Table24[Residence Zip Code],'G - ZIP Code'!A872)</f>
        <v>0</v>
      </c>
    </row>
    <row r="873" spans="1:3" x14ac:dyDescent="0.25">
      <c r="A873">
        <v>33455</v>
      </c>
      <c r="B873" t="s">
        <v>888</v>
      </c>
      <c r="C873">
        <f>COUNTIFS(Table24[Client ID '#],"&lt;&gt;",Table24[Residence Zip Code],'G - ZIP Code'!A873)</f>
        <v>0</v>
      </c>
    </row>
    <row r="874" spans="1:3" x14ac:dyDescent="0.25">
      <c r="A874">
        <v>33458</v>
      </c>
      <c r="B874" t="s">
        <v>888</v>
      </c>
      <c r="C874">
        <f>COUNTIFS(Table24[Client ID '#],"&lt;&gt;",Table24[Residence Zip Code],'G - ZIP Code'!A874)</f>
        <v>0</v>
      </c>
    </row>
    <row r="875" spans="1:3" x14ac:dyDescent="0.25">
      <c r="A875">
        <v>33459</v>
      </c>
      <c r="B875" t="s">
        <v>888</v>
      </c>
      <c r="C875">
        <f>COUNTIFS(Table24[Client ID '#],"&lt;&gt;",Table24[Residence Zip Code],'G - ZIP Code'!A875)</f>
        <v>0</v>
      </c>
    </row>
    <row r="876" spans="1:3" x14ac:dyDescent="0.25">
      <c r="A876">
        <v>33460</v>
      </c>
      <c r="B876" t="s">
        <v>888</v>
      </c>
      <c r="C876">
        <f>COUNTIFS(Table24[Client ID '#],"&lt;&gt;",Table24[Residence Zip Code],'G - ZIP Code'!A876)</f>
        <v>0</v>
      </c>
    </row>
    <row r="877" spans="1:3" x14ac:dyDescent="0.25">
      <c r="A877">
        <v>33461</v>
      </c>
      <c r="B877" t="s">
        <v>888</v>
      </c>
      <c r="C877">
        <f>COUNTIFS(Table24[Client ID '#],"&lt;&gt;",Table24[Residence Zip Code],'G - ZIP Code'!A877)</f>
        <v>0</v>
      </c>
    </row>
    <row r="878" spans="1:3" x14ac:dyDescent="0.25">
      <c r="A878">
        <v>33462</v>
      </c>
      <c r="B878" t="s">
        <v>888</v>
      </c>
      <c r="C878">
        <f>COUNTIFS(Table24[Client ID '#],"&lt;&gt;",Table24[Residence Zip Code],'G - ZIP Code'!A878)</f>
        <v>0</v>
      </c>
    </row>
    <row r="879" spans="1:3" x14ac:dyDescent="0.25">
      <c r="A879">
        <v>33463</v>
      </c>
      <c r="B879" t="s">
        <v>888</v>
      </c>
      <c r="C879">
        <f>COUNTIFS(Table24[Client ID '#],"&lt;&gt;",Table24[Residence Zip Code],'G - ZIP Code'!A879)</f>
        <v>0</v>
      </c>
    </row>
    <row r="880" spans="1:3" x14ac:dyDescent="0.25">
      <c r="A880">
        <v>33464</v>
      </c>
      <c r="B880" t="s">
        <v>888</v>
      </c>
      <c r="C880">
        <f>COUNTIFS(Table24[Client ID '#],"&lt;&gt;",Table24[Residence Zip Code],'G - ZIP Code'!A880)</f>
        <v>0</v>
      </c>
    </row>
    <row r="881" spans="1:3" x14ac:dyDescent="0.25">
      <c r="A881">
        <v>33465</v>
      </c>
      <c r="B881" t="s">
        <v>888</v>
      </c>
      <c r="C881">
        <f>COUNTIFS(Table24[Client ID '#],"&lt;&gt;",Table24[Residence Zip Code],'G - ZIP Code'!A881)</f>
        <v>0</v>
      </c>
    </row>
    <row r="882" spans="1:3" x14ac:dyDescent="0.25">
      <c r="A882">
        <v>33466</v>
      </c>
      <c r="B882" t="s">
        <v>888</v>
      </c>
      <c r="C882">
        <f>COUNTIFS(Table24[Client ID '#],"&lt;&gt;",Table24[Residence Zip Code],'G - ZIP Code'!A882)</f>
        <v>0</v>
      </c>
    </row>
    <row r="883" spans="1:3" x14ac:dyDescent="0.25">
      <c r="A883">
        <v>33467</v>
      </c>
      <c r="B883" t="s">
        <v>888</v>
      </c>
      <c r="C883">
        <f>COUNTIFS(Table24[Client ID '#],"&lt;&gt;",Table24[Residence Zip Code],'G - ZIP Code'!A883)</f>
        <v>0</v>
      </c>
    </row>
    <row r="884" spans="1:3" x14ac:dyDescent="0.25">
      <c r="A884">
        <v>33468</v>
      </c>
      <c r="B884" t="s">
        <v>888</v>
      </c>
      <c r="C884">
        <f>COUNTIFS(Table24[Client ID '#],"&lt;&gt;",Table24[Residence Zip Code],'G - ZIP Code'!A884)</f>
        <v>0</v>
      </c>
    </row>
    <row r="885" spans="1:3" x14ac:dyDescent="0.25">
      <c r="A885">
        <v>33469</v>
      </c>
      <c r="B885" t="s">
        <v>888</v>
      </c>
      <c r="C885">
        <f>COUNTIFS(Table24[Client ID '#],"&lt;&gt;",Table24[Residence Zip Code],'G - ZIP Code'!A885)</f>
        <v>0</v>
      </c>
    </row>
    <row r="886" spans="1:3" x14ac:dyDescent="0.25">
      <c r="A886">
        <v>33470</v>
      </c>
      <c r="B886" t="s">
        <v>888</v>
      </c>
      <c r="C886">
        <f>COUNTIFS(Table24[Client ID '#],"&lt;&gt;",Table24[Residence Zip Code],'G - ZIP Code'!A886)</f>
        <v>0</v>
      </c>
    </row>
    <row r="887" spans="1:3" x14ac:dyDescent="0.25">
      <c r="A887">
        <v>33471</v>
      </c>
      <c r="B887" t="s">
        <v>888</v>
      </c>
      <c r="C887">
        <f>COUNTIFS(Table24[Client ID '#],"&lt;&gt;",Table24[Residence Zip Code],'G - ZIP Code'!A887)</f>
        <v>0</v>
      </c>
    </row>
    <row r="888" spans="1:3" x14ac:dyDescent="0.25">
      <c r="A888">
        <v>33474</v>
      </c>
      <c r="B888" t="s">
        <v>888</v>
      </c>
      <c r="C888">
        <f>COUNTIFS(Table24[Client ID '#],"&lt;&gt;",Table24[Residence Zip Code],'G - ZIP Code'!A888)</f>
        <v>0</v>
      </c>
    </row>
    <row r="889" spans="1:3" x14ac:dyDescent="0.25">
      <c r="A889">
        <v>33475</v>
      </c>
      <c r="B889" t="s">
        <v>888</v>
      </c>
      <c r="C889">
        <f>COUNTIFS(Table24[Client ID '#],"&lt;&gt;",Table24[Residence Zip Code],'G - ZIP Code'!A889)</f>
        <v>0</v>
      </c>
    </row>
    <row r="890" spans="1:3" x14ac:dyDescent="0.25">
      <c r="A890">
        <v>33476</v>
      </c>
      <c r="B890" t="s">
        <v>888</v>
      </c>
      <c r="C890">
        <f>COUNTIFS(Table24[Client ID '#],"&lt;&gt;",Table24[Residence Zip Code],'G - ZIP Code'!A890)</f>
        <v>0</v>
      </c>
    </row>
    <row r="891" spans="1:3" x14ac:dyDescent="0.25">
      <c r="A891">
        <v>33477</v>
      </c>
      <c r="B891" t="s">
        <v>888</v>
      </c>
      <c r="C891">
        <f>COUNTIFS(Table24[Client ID '#],"&lt;&gt;",Table24[Residence Zip Code],'G - ZIP Code'!A891)</f>
        <v>0</v>
      </c>
    </row>
    <row r="892" spans="1:3" x14ac:dyDescent="0.25">
      <c r="A892">
        <v>33478</v>
      </c>
      <c r="B892" t="s">
        <v>888</v>
      </c>
      <c r="C892">
        <f>COUNTIFS(Table24[Client ID '#],"&lt;&gt;",Table24[Residence Zip Code],'G - ZIP Code'!A892)</f>
        <v>0</v>
      </c>
    </row>
    <row r="893" spans="1:3" x14ac:dyDescent="0.25">
      <c r="A893">
        <v>33480</v>
      </c>
      <c r="B893" t="s">
        <v>888</v>
      </c>
      <c r="C893">
        <f>COUNTIFS(Table24[Client ID '#],"&lt;&gt;",Table24[Residence Zip Code],'G - ZIP Code'!A893)</f>
        <v>0</v>
      </c>
    </row>
    <row r="894" spans="1:3" x14ac:dyDescent="0.25">
      <c r="A894">
        <v>33481</v>
      </c>
      <c r="B894" t="s">
        <v>888</v>
      </c>
      <c r="C894">
        <f>COUNTIFS(Table24[Client ID '#],"&lt;&gt;",Table24[Residence Zip Code],'G - ZIP Code'!A894)</f>
        <v>0</v>
      </c>
    </row>
    <row r="895" spans="1:3" x14ac:dyDescent="0.25">
      <c r="A895">
        <v>33482</v>
      </c>
      <c r="B895" t="s">
        <v>888</v>
      </c>
      <c r="C895">
        <f>COUNTIFS(Table24[Client ID '#],"&lt;&gt;",Table24[Residence Zip Code],'G - ZIP Code'!A895)</f>
        <v>0</v>
      </c>
    </row>
    <row r="896" spans="1:3" x14ac:dyDescent="0.25">
      <c r="A896">
        <v>33483</v>
      </c>
      <c r="B896" t="s">
        <v>888</v>
      </c>
      <c r="C896">
        <f>COUNTIFS(Table24[Client ID '#],"&lt;&gt;",Table24[Residence Zip Code],'G - ZIP Code'!A896)</f>
        <v>0</v>
      </c>
    </row>
    <row r="897" spans="1:3" x14ac:dyDescent="0.25">
      <c r="A897">
        <v>33484</v>
      </c>
      <c r="B897" t="s">
        <v>888</v>
      </c>
      <c r="C897">
        <f>COUNTIFS(Table24[Client ID '#],"&lt;&gt;",Table24[Residence Zip Code],'G - ZIP Code'!A897)</f>
        <v>0</v>
      </c>
    </row>
    <row r="898" spans="1:3" x14ac:dyDescent="0.25">
      <c r="A898">
        <v>33486</v>
      </c>
      <c r="B898" t="s">
        <v>888</v>
      </c>
      <c r="C898">
        <f>COUNTIFS(Table24[Client ID '#],"&lt;&gt;",Table24[Residence Zip Code],'G - ZIP Code'!A898)</f>
        <v>0</v>
      </c>
    </row>
    <row r="899" spans="1:3" x14ac:dyDescent="0.25">
      <c r="A899">
        <v>33487</v>
      </c>
      <c r="B899" t="s">
        <v>888</v>
      </c>
      <c r="C899">
        <f>COUNTIFS(Table24[Client ID '#],"&lt;&gt;",Table24[Residence Zip Code],'G - ZIP Code'!A899)</f>
        <v>0</v>
      </c>
    </row>
    <row r="900" spans="1:3" x14ac:dyDescent="0.25">
      <c r="A900">
        <v>33488</v>
      </c>
      <c r="B900" t="s">
        <v>888</v>
      </c>
      <c r="C900">
        <f>COUNTIFS(Table24[Client ID '#],"&lt;&gt;",Table24[Residence Zip Code],'G - ZIP Code'!A900)</f>
        <v>0</v>
      </c>
    </row>
    <row r="901" spans="1:3" x14ac:dyDescent="0.25">
      <c r="A901">
        <v>33493</v>
      </c>
      <c r="B901" t="s">
        <v>888</v>
      </c>
      <c r="C901">
        <f>COUNTIFS(Table24[Client ID '#],"&lt;&gt;",Table24[Residence Zip Code],'G - ZIP Code'!A901)</f>
        <v>0</v>
      </c>
    </row>
    <row r="902" spans="1:3" x14ac:dyDescent="0.25">
      <c r="A902">
        <v>33496</v>
      </c>
      <c r="B902" t="s">
        <v>888</v>
      </c>
      <c r="C902">
        <f>COUNTIFS(Table24[Client ID '#],"&lt;&gt;",Table24[Residence Zip Code],'G - ZIP Code'!A902)</f>
        <v>0</v>
      </c>
    </row>
    <row r="903" spans="1:3" x14ac:dyDescent="0.25">
      <c r="A903">
        <v>33497</v>
      </c>
      <c r="B903" t="s">
        <v>888</v>
      </c>
      <c r="C903">
        <f>COUNTIFS(Table24[Client ID '#],"&lt;&gt;",Table24[Residence Zip Code],'G - ZIP Code'!A903)</f>
        <v>0</v>
      </c>
    </row>
    <row r="904" spans="1:3" x14ac:dyDescent="0.25">
      <c r="A904">
        <v>33498</v>
      </c>
      <c r="B904" t="s">
        <v>888</v>
      </c>
      <c r="C904">
        <f>COUNTIFS(Table24[Client ID '#],"&lt;&gt;",Table24[Residence Zip Code],'G - ZIP Code'!A904)</f>
        <v>0</v>
      </c>
    </row>
    <row r="905" spans="1:3" x14ac:dyDescent="0.25">
      <c r="A905">
        <v>33499</v>
      </c>
      <c r="B905" t="s">
        <v>888</v>
      </c>
      <c r="C905">
        <f>COUNTIFS(Table24[Client ID '#],"&lt;&gt;",Table24[Residence Zip Code],'G - ZIP Code'!A905)</f>
        <v>0</v>
      </c>
    </row>
    <row r="906" spans="1:3" x14ac:dyDescent="0.25">
      <c r="A906">
        <v>33503</v>
      </c>
      <c r="B906" t="s">
        <v>888</v>
      </c>
      <c r="C906">
        <f>COUNTIFS(Table24[Client ID '#],"&lt;&gt;",Table24[Residence Zip Code],'G - ZIP Code'!A906)</f>
        <v>0</v>
      </c>
    </row>
    <row r="907" spans="1:3" x14ac:dyDescent="0.25">
      <c r="A907">
        <v>33508</v>
      </c>
      <c r="B907" t="s">
        <v>888</v>
      </c>
      <c r="C907">
        <f>COUNTIFS(Table24[Client ID '#],"&lt;&gt;",Table24[Residence Zip Code],'G - ZIP Code'!A907)</f>
        <v>0</v>
      </c>
    </row>
    <row r="908" spans="1:3" x14ac:dyDescent="0.25">
      <c r="A908">
        <v>33509</v>
      </c>
      <c r="B908" t="s">
        <v>888</v>
      </c>
      <c r="C908">
        <f>COUNTIFS(Table24[Client ID '#],"&lt;&gt;",Table24[Residence Zip Code],'G - ZIP Code'!A908)</f>
        <v>0</v>
      </c>
    </row>
    <row r="909" spans="1:3" x14ac:dyDescent="0.25">
      <c r="A909">
        <v>33510</v>
      </c>
      <c r="B909" t="s">
        <v>888</v>
      </c>
      <c r="C909">
        <f>COUNTIFS(Table24[Client ID '#],"&lt;&gt;",Table24[Residence Zip Code],'G - ZIP Code'!A909)</f>
        <v>0</v>
      </c>
    </row>
    <row r="910" spans="1:3" x14ac:dyDescent="0.25">
      <c r="A910">
        <v>33511</v>
      </c>
      <c r="B910" t="s">
        <v>888</v>
      </c>
      <c r="C910">
        <f>COUNTIFS(Table24[Client ID '#],"&lt;&gt;",Table24[Residence Zip Code],'G - ZIP Code'!A910)</f>
        <v>0</v>
      </c>
    </row>
    <row r="911" spans="1:3" x14ac:dyDescent="0.25">
      <c r="A911">
        <v>33513</v>
      </c>
      <c r="B911" t="s">
        <v>888</v>
      </c>
      <c r="C911">
        <f>COUNTIFS(Table24[Client ID '#],"&lt;&gt;",Table24[Residence Zip Code],'G - ZIP Code'!A911)</f>
        <v>0</v>
      </c>
    </row>
    <row r="912" spans="1:3" x14ac:dyDescent="0.25">
      <c r="A912">
        <v>33514</v>
      </c>
      <c r="B912" t="s">
        <v>888</v>
      </c>
      <c r="C912">
        <f>COUNTIFS(Table24[Client ID '#],"&lt;&gt;",Table24[Residence Zip Code],'G - ZIP Code'!A912)</f>
        <v>0</v>
      </c>
    </row>
    <row r="913" spans="1:3" x14ac:dyDescent="0.25">
      <c r="A913">
        <v>33521</v>
      </c>
      <c r="B913" t="s">
        <v>888</v>
      </c>
      <c r="C913">
        <f>COUNTIFS(Table24[Client ID '#],"&lt;&gt;",Table24[Residence Zip Code],'G - ZIP Code'!A913)</f>
        <v>0</v>
      </c>
    </row>
    <row r="914" spans="1:3" x14ac:dyDescent="0.25">
      <c r="A914">
        <v>33523</v>
      </c>
      <c r="B914" t="s">
        <v>888</v>
      </c>
      <c r="C914">
        <f>COUNTIFS(Table24[Client ID '#],"&lt;&gt;",Table24[Residence Zip Code],'G - ZIP Code'!A914)</f>
        <v>0</v>
      </c>
    </row>
    <row r="915" spans="1:3" x14ac:dyDescent="0.25">
      <c r="A915">
        <v>33524</v>
      </c>
      <c r="B915" t="s">
        <v>888</v>
      </c>
      <c r="C915">
        <f>COUNTIFS(Table24[Client ID '#],"&lt;&gt;",Table24[Residence Zip Code],'G - ZIP Code'!A915)</f>
        <v>0</v>
      </c>
    </row>
    <row r="916" spans="1:3" x14ac:dyDescent="0.25">
      <c r="A916">
        <v>33525</v>
      </c>
      <c r="B916" t="s">
        <v>888</v>
      </c>
      <c r="C916">
        <f>COUNTIFS(Table24[Client ID '#],"&lt;&gt;",Table24[Residence Zip Code],'G - ZIP Code'!A916)</f>
        <v>0</v>
      </c>
    </row>
    <row r="917" spans="1:3" x14ac:dyDescent="0.25">
      <c r="A917">
        <v>33526</v>
      </c>
      <c r="B917" t="s">
        <v>888</v>
      </c>
      <c r="C917">
        <f>COUNTIFS(Table24[Client ID '#],"&lt;&gt;",Table24[Residence Zip Code],'G - ZIP Code'!A917)</f>
        <v>0</v>
      </c>
    </row>
    <row r="918" spans="1:3" x14ac:dyDescent="0.25">
      <c r="A918">
        <v>33527</v>
      </c>
      <c r="B918" t="s">
        <v>888</v>
      </c>
      <c r="C918">
        <f>COUNTIFS(Table24[Client ID '#],"&lt;&gt;",Table24[Residence Zip Code],'G - ZIP Code'!A918)</f>
        <v>0</v>
      </c>
    </row>
    <row r="919" spans="1:3" x14ac:dyDescent="0.25">
      <c r="A919">
        <v>33530</v>
      </c>
      <c r="B919" t="s">
        <v>888</v>
      </c>
      <c r="C919">
        <f>COUNTIFS(Table24[Client ID '#],"&lt;&gt;",Table24[Residence Zip Code],'G - ZIP Code'!A919)</f>
        <v>0</v>
      </c>
    </row>
    <row r="920" spans="1:3" x14ac:dyDescent="0.25">
      <c r="A920">
        <v>33534</v>
      </c>
      <c r="B920" t="s">
        <v>888</v>
      </c>
      <c r="C920">
        <f>COUNTIFS(Table24[Client ID '#],"&lt;&gt;",Table24[Residence Zip Code],'G - ZIP Code'!A920)</f>
        <v>0</v>
      </c>
    </row>
    <row r="921" spans="1:3" x14ac:dyDescent="0.25">
      <c r="A921">
        <v>33537</v>
      </c>
      <c r="B921" t="s">
        <v>888</v>
      </c>
      <c r="C921">
        <f>COUNTIFS(Table24[Client ID '#],"&lt;&gt;",Table24[Residence Zip Code],'G - ZIP Code'!A921)</f>
        <v>0</v>
      </c>
    </row>
    <row r="922" spans="1:3" x14ac:dyDescent="0.25">
      <c r="A922">
        <v>33538</v>
      </c>
      <c r="B922" t="s">
        <v>888</v>
      </c>
      <c r="C922">
        <f>COUNTIFS(Table24[Client ID '#],"&lt;&gt;",Table24[Residence Zip Code],'G - ZIP Code'!A922)</f>
        <v>0</v>
      </c>
    </row>
    <row r="923" spans="1:3" x14ac:dyDescent="0.25">
      <c r="A923">
        <v>33539</v>
      </c>
      <c r="B923" t="s">
        <v>888</v>
      </c>
      <c r="C923">
        <f>COUNTIFS(Table24[Client ID '#],"&lt;&gt;",Table24[Residence Zip Code],'G - ZIP Code'!A923)</f>
        <v>0</v>
      </c>
    </row>
    <row r="924" spans="1:3" x14ac:dyDescent="0.25">
      <c r="A924">
        <v>33540</v>
      </c>
      <c r="B924" t="s">
        <v>888</v>
      </c>
      <c r="C924">
        <f>COUNTIFS(Table24[Client ID '#],"&lt;&gt;",Table24[Residence Zip Code],'G - ZIP Code'!A924)</f>
        <v>0</v>
      </c>
    </row>
    <row r="925" spans="1:3" x14ac:dyDescent="0.25">
      <c r="A925">
        <v>33541</v>
      </c>
      <c r="B925" t="s">
        <v>888</v>
      </c>
      <c r="C925">
        <f>COUNTIFS(Table24[Client ID '#],"&lt;&gt;",Table24[Residence Zip Code],'G - ZIP Code'!A925)</f>
        <v>0</v>
      </c>
    </row>
    <row r="926" spans="1:3" x14ac:dyDescent="0.25">
      <c r="A926">
        <v>33542</v>
      </c>
      <c r="B926" t="s">
        <v>888</v>
      </c>
      <c r="C926">
        <f>COUNTIFS(Table24[Client ID '#],"&lt;&gt;",Table24[Residence Zip Code],'G - ZIP Code'!A926)</f>
        <v>0</v>
      </c>
    </row>
    <row r="927" spans="1:3" x14ac:dyDescent="0.25">
      <c r="A927">
        <v>33543</v>
      </c>
      <c r="B927" t="s">
        <v>888</v>
      </c>
      <c r="C927">
        <f>COUNTIFS(Table24[Client ID '#],"&lt;&gt;",Table24[Residence Zip Code],'G - ZIP Code'!A927)</f>
        <v>0</v>
      </c>
    </row>
    <row r="928" spans="1:3" x14ac:dyDescent="0.25">
      <c r="A928">
        <v>33544</v>
      </c>
      <c r="B928" t="s">
        <v>888</v>
      </c>
      <c r="C928">
        <f>COUNTIFS(Table24[Client ID '#],"&lt;&gt;",Table24[Residence Zip Code],'G - ZIP Code'!A928)</f>
        <v>0</v>
      </c>
    </row>
    <row r="929" spans="1:3" x14ac:dyDescent="0.25">
      <c r="A929">
        <v>33547</v>
      </c>
      <c r="B929" t="s">
        <v>888</v>
      </c>
      <c r="C929">
        <f>COUNTIFS(Table24[Client ID '#],"&lt;&gt;",Table24[Residence Zip Code],'G - ZIP Code'!A929)</f>
        <v>0</v>
      </c>
    </row>
    <row r="930" spans="1:3" x14ac:dyDescent="0.25">
      <c r="A930">
        <v>33548</v>
      </c>
      <c r="B930" t="s">
        <v>888</v>
      </c>
      <c r="C930">
        <f>COUNTIFS(Table24[Client ID '#],"&lt;&gt;",Table24[Residence Zip Code],'G - ZIP Code'!A930)</f>
        <v>0</v>
      </c>
    </row>
    <row r="931" spans="1:3" x14ac:dyDescent="0.25">
      <c r="A931">
        <v>33549</v>
      </c>
      <c r="B931" t="s">
        <v>888</v>
      </c>
      <c r="C931">
        <f>COUNTIFS(Table24[Client ID '#],"&lt;&gt;",Table24[Residence Zip Code],'G - ZIP Code'!A931)</f>
        <v>0</v>
      </c>
    </row>
    <row r="932" spans="1:3" x14ac:dyDescent="0.25">
      <c r="A932">
        <v>33550</v>
      </c>
      <c r="B932" t="s">
        <v>888</v>
      </c>
      <c r="C932">
        <f>COUNTIFS(Table24[Client ID '#],"&lt;&gt;",Table24[Residence Zip Code],'G - ZIP Code'!A932)</f>
        <v>0</v>
      </c>
    </row>
    <row r="933" spans="1:3" x14ac:dyDescent="0.25">
      <c r="A933">
        <v>33556</v>
      </c>
      <c r="B933" t="s">
        <v>888</v>
      </c>
      <c r="C933">
        <f>COUNTIFS(Table24[Client ID '#],"&lt;&gt;",Table24[Residence Zip Code],'G - ZIP Code'!A933)</f>
        <v>0</v>
      </c>
    </row>
    <row r="934" spans="1:3" x14ac:dyDescent="0.25">
      <c r="A934">
        <v>33558</v>
      </c>
      <c r="B934" t="s">
        <v>888</v>
      </c>
      <c r="C934">
        <f>COUNTIFS(Table24[Client ID '#],"&lt;&gt;",Table24[Residence Zip Code],'G - ZIP Code'!A934)</f>
        <v>0</v>
      </c>
    </row>
    <row r="935" spans="1:3" x14ac:dyDescent="0.25">
      <c r="A935">
        <v>33559</v>
      </c>
      <c r="B935" t="s">
        <v>888</v>
      </c>
      <c r="C935">
        <f>COUNTIFS(Table24[Client ID '#],"&lt;&gt;",Table24[Residence Zip Code],'G - ZIP Code'!A935)</f>
        <v>0</v>
      </c>
    </row>
    <row r="936" spans="1:3" x14ac:dyDescent="0.25">
      <c r="A936">
        <v>33563</v>
      </c>
      <c r="B936" t="s">
        <v>888</v>
      </c>
      <c r="C936">
        <f>COUNTIFS(Table24[Client ID '#],"&lt;&gt;",Table24[Residence Zip Code],'G - ZIP Code'!A936)</f>
        <v>0</v>
      </c>
    </row>
    <row r="937" spans="1:3" x14ac:dyDescent="0.25">
      <c r="A937">
        <v>33564</v>
      </c>
      <c r="B937" t="s">
        <v>888</v>
      </c>
      <c r="C937">
        <f>COUNTIFS(Table24[Client ID '#],"&lt;&gt;",Table24[Residence Zip Code],'G - ZIP Code'!A937)</f>
        <v>0</v>
      </c>
    </row>
    <row r="938" spans="1:3" x14ac:dyDescent="0.25">
      <c r="A938">
        <v>33565</v>
      </c>
      <c r="B938" t="s">
        <v>888</v>
      </c>
      <c r="C938">
        <f>COUNTIFS(Table24[Client ID '#],"&lt;&gt;",Table24[Residence Zip Code],'G - ZIP Code'!A938)</f>
        <v>0</v>
      </c>
    </row>
    <row r="939" spans="1:3" x14ac:dyDescent="0.25">
      <c r="A939">
        <v>33566</v>
      </c>
      <c r="B939" t="s">
        <v>888</v>
      </c>
      <c r="C939">
        <f>COUNTIFS(Table24[Client ID '#],"&lt;&gt;",Table24[Residence Zip Code],'G - ZIP Code'!A939)</f>
        <v>0</v>
      </c>
    </row>
    <row r="940" spans="1:3" x14ac:dyDescent="0.25">
      <c r="A940">
        <v>33567</v>
      </c>
      <c r="B940" t="s">
        <v>888</v>
      </c>
      <c r="C940">
        <f>COUNTIFS(Table24[Client ID '#],"&lt;&gt;",Table24[Residence Zip Code],'G - ZIP Code'!A940)</f>
        <v>0</v>
      </c>
    </row>
    <row r="941" spans="1:3" x14ac:dyDescent="0.25">
      <c r="A941">
        <v>33568</v>
      </c>
      <c r="B941" t="s">
        <v>888</v>
      </c>
      <c r="C941">
        <f>COUNTIFS(Table24[Client ID '#],"&lt;&gt;",Table24[Residence Zip Code],'G - ZIP Code'!A941)</f>
        <v>0</v>
      </c>
    </row>
    <row r="942" spans="1:3" x14ac:dyDescent="0.25">
      <c r="A942">
        <v>33569</v>
      </c>
      <c r="B942" t="s">
        <v>888</v>
      </c>
      <c r="C942">
        <f>COUNTIFS(Table24[Client ID '#],"&lt;&gt;",Table24[Residence Zip Code],'G - ZIP Code'!A942)</f>
        <v>0</v>
      </c>
    </row>
    <row r="943" spans="1:3" x14ac:dyDescent="0.25">
      <c r="A943">
        <v>33570</v>
      </c>
      <c r="B943" t="s">
        <v>888</v>
      </c>
      <c r="C943">
        <f>COUNTIFS(Table24[Client ID '#],"&lt;&gt;",Table24[Residence Zip Code],'G - ZIP Code'!A943)</f>
        <v>0</v>
      </c>
    </row>
    <row r="944" spans="1:3" x14ac:dyDescent="0.25">
      <c r="A944">
        <v>33571</v>
      </c>
      <c r="B944" t="s">
        <v>888</v>
      </c>
      <c r="C944">
        <f>COUNTIFS(Table24[Client ID '#],"&lt;&gt;",Table24[Residence Zip Code],'G - ZIP Code'!A944)</f>
        <v>0</v>
      </c>
    </row>
    <row r="945" spans="1:3" x14ac:dyDescent="0.25">
      <c r="A945">
        <v>33572</v>
      </c>
      <c r="B945" t="s">
        <v>888</v>
      </c>
      <c r="C945">
        <f>COUNTIFS(Table24[Client ID '#],"&lt;&gt;",Table24[Residence Zip Code],'G - ZIP Code'!A945)</f>
        <v>0</v>
      </c>
    </row>
    <row r="946" spans="1:3" x14ac:dyDescent="0.25">
      <c r="A946">
        <v>33573</v>
      </c>
      <c r="B946" t="s">
        <v>888</v>
      </c>
      <c r="C946">
        <f>COUNTIFS(Table24[Client ID '#],"&lt;&gt;",Table24[Residence Zip Code],'G - ZIP Code'!A946)</f>
        <v>0</v>
      </c>
    </row>
    <row r="947" spans="1:3" x14ac:dyDescent="0.25">
      <c r="A947">
        <v>33574</v>
      </c>
      <c r="B947" t="s">
        <v>888</v>
      </c>
      <c r="C947">
        <f>COUNTIFS(Table24[Client ID '#],"&lt;&gt;",Table24[Residence Zip Code],'G - ZIP Code'!A947)</f>
        <v>0</v>
      </c>
    </row>
    <row r="948" spans="1:3" x14ac:dyDescent="0.25">
      <c r="A948">
        <v>33575</v>
      </c>
      <c r="B948" t="s">
        <v>888</v>
      </c>
      <c r="C948">
        <f>COUNTIFS(Table24[Client ID '#],"&lt;&gt;",Table24[Residence Zip Code],'G - ZIP Code'!A948)</f>
        <v>0</v>
      </c>
    </row>
    <row r="949" spans="1:3" x14ac:dyDescent="0.25">
      <c r="A949">
        <v>33576</v>
      </c>
      <c r="B949" t="s">
        <v>888</v>
      </c>
      <c r="C949">
        <f>COUNTIFS(Table24[Client ID '#],"&lt;&gt;",Table24[Residence Zip Code],'G - ZIP Code'!A949)</f>
        <v>0</v>
      </c>
    </row>
    <row r="950" spans="1:3" x14ac:dyDescent="0.25">
      <c r="A950">
        <v>33583</v>
      </c>
      <c r="B950" t="s">
        <v>888</v>
      </c>
      <c r="C950">
        <f>COUNTIFS(Table24[Client ID '#],"&lt;&gt;",Table24[Residence Zip Code],'G - ZIP Code'!A950)</f>
        <v>0</v>
      </c>
    </row>
    <row r="951" spans="1:3" x14ac:dyDescent="0.25">
      <c r="A951">
        <v>33584</v>
      </c>
      <c r="B951" t="s">
        <v>888</v>
      </c>
      <c r="C951">
        <f>COUNTIFS(Table24[Client ID '#],"&lt;&gt;",Table24[Residence Zip Code],'G - ZIP Code'!A951)</f>
        <v>0</v>
      </c>
    </row>
    <row r="952" spans="1:3" x14ac:dyDescent="0.25">
      <c r="A952">
        <v>33585</v>
      </c>
      <c r="B952" t="s">
        <v>888</v>
      </c>
      <c r="C952">
        <f>COUNTIFS(Table24[Client ID '#],"&lt;&gt;",Table24[Residence Zip Code],'G - ZIP Code'!A952)</f>
        <v>0</v>
      </c>
    </row>
    <row r="953" spans="1:3" x14ac:dyDescent="0.25">
      <c r="A953">
        <v>33586</v>
      </c>
      <c r="B953" t="s">
        <v>888</v>
      </c>
      <c r="C953">
        <f>COUNTIFS(Table24[Client ID '#],"&lt;&gt;",Table24[Residence Zip Code],'G - ZIP Code'!A953)</f>
        <v>0</v>
      </c>
    </row>
    <row r="954" spans="1:3" x14ac:dyDescent="0.25">
      <c r="A954">
        <v>33587</v>
      </c>
      <c r="B954" t="s">
        <v>888</v>
      </c>
      <c r="C954">
        <f>COUNTIFS(Table24[Client ID '#],"&lt;&gt;",Table24[Residence Zip Code],'G - ZIP Code'!A954)</f>
        <v>0</v>
      </c>
    </row>
    <row r="955" spans="1:3" x14ac:dyDescent="0.25">
      <c r="A955">
        <v>33592</v>
      </c>
      <c r="B955" t="s">
        <v>888</v>
      </c>
      <c r="C955">
        <f>COUNTIFS(Table24[Client ID '#],"&lt;&gt;",Table24[Residence Zip Code],'G - ZIP Code'!A955)</f>
        <v>0</v>
      </c>
    </row>
    <row r="956" spans="1:3" x14ac:dyDescent="0.25">
      <c r="A956">
        <v>33593</v>
      </c>
      <c r="B956" t="s">
        <v>888</v>
      </c>
      <c r="C956">
        <f>COUNTIFS(Table24[Client ID '#],"&lt;&gt;",Table24[Residence Zip Code],'G - ZIP Code'!A956)</f>
        <v>0</v>
      </c>
    </row>
    <row r="957" spans="1:3" x14ac:dyDescent="0.25">
      <c r="A957">
        <v>33594</v>
      </c>
      <c r="B957" t="s">
        <v>888</v>
      </c>
      <c r="C957">
        <f>COUNTIFS(Table24[Client ID '#],"&lt;&gt;",Table24[Residence Zip Code],'G - ZIP Code'!A957)</f>
        <v>0</v>
      </c>
    </row>
    <row r="958" spans="1:3" x14ac:dyDescent="0.25">
      <c r="A958">
        <v>33595</v>
      </c>
      <c r="B958" t="s">
        <v>888</v>
      </c>
      <c r="C958">
        <f>COUNTIFS(Table24[Client ID '#],"&lt;&gt;",Table24[Residence Zip Code],'G - ZIP Code'!A958)</f>
        <v>0</v>
      </c>
    </row>
    <row r="959" spans="1:3" x14ac:dyDescent="0.25">
      <c r="A959">
        <v>33597</v>
      </c>
      <c r="B959" t="s">
        <v>888</v>
      </c>
      <c r="C959">
        <f>COUNTIFS(Table24[Client ID '#],"&lt;&gt;",Table24[Residence Zip Code],'G - ZIP Code'!A959)</f>
        <v>0</v>
      </c>
    </row>
    <row r="960" spans="1:3" x14ac:dyDescent="0.25">
      <c r="A960">
        <v>33598</v>
      </c>
      <c r="B960" t="s">
        <v>888</v>
      </c>
      <c r="C960">
        <f>COUNTIFS(Table24[Client ID '#],"&lt;&gt;",Table24[Residence Zip Code],'G - ZIP Code'!A960)</f>
        <v>0</v>
      </c>
    </row>
    <row r="961" spans="1:3" x14ac:dyDescent="0.25">
      <c r="A961">
        <v>33601</v>
      </c>
      <c r="B961" t="s">
        <v>888</v>
      </c>
      <c r="C961">
        <f>COUNTIFS(Table24[Client ID '#],"&lt;&gt;",Table24[Residence Zip Code],'G - ZIP Code'!A961)</f>
        <v>0</v>
      </c>
    </row>
    <row r="962" spans="1:3" x14ac:dyDescent="0.25">
      <c r="A962">
        <v>33602</v>
      </c>
      <c r="B962" t="s">
        <v>888</v>
      </c>
      <c r="C962">
        <f>COUNTIFS(Table24[Client ID '#],"&lt;&gt;",Table24[Residence Zip Code],'G - ZIP Code'!A962)</f>
        <v>0</v>
      </c>
    </row>
    <row r="963" spans="1:3" x14ac:dyDescent="0.25">
      <c r="A963">
        <v>33603</v>
      </c>
      <c r="B963" t="s">
        <v>888</v>
      </c>
      <c r="C963">
        <f>COUNTIFS(Table24[Client ID '#],"&lt;&gt;",Table24[Residence Zip Code],'G - ZIP Code'!A963)</f>
        <v>0</v>
      </c>
    </row>
    <row r="964" spans="1:3" x14ac:dyDescent="0.25">
      <c r="A964">
        <v>33604</v>
      </c>
      <c r="B964" t="s">
        <v>888</v>
      </c>
      <c r="C964">
        <f>COUNTIFS(Table24[Client ID '#],"&lt;&gt;",Table24[Residence Zip Code],'G - ZIP Code'!A964)</f>
        <v>0</v>
      </c>
    </row>
    <row r="965" spans="1:3" x14ac:dyDescent="0.25">
      <c r="A965">
        <v>33605</v>
      </c>
      <c r="B965" t="s">
        <v>888</v>
      </c>
      <c r="C965">
        <f>COUNTIFS(Table24[Client ID '#],"&lt;&gt;",Table24[Residence Zip Code],'G - ZIP Code'!A965)</f>
        <v>0</v>
      </c>
    </row>
    <row r="966" spans="1:3" x14ac:dyDescent="0.25">
      <c r="A966">
        <v>33606</v>
      </c>
      <c r="B966" t="s">
        <v>888</v>
      </c>
      <c r="C966">
        <f>COUNTIFS(Table24[Client ID '#],"&lt;&gt;",Table24[Residence Zip Code],'G - ZIP Code'!A966)</f>
        <v>0</v>
      </c>
    </row>
    <row r="967" spans="1:3" x14ac:dyDescent="0.25">
      <c r="A967">
        <v>33607</v>
      </c>
      <c r="B967" t="s">
        <v>888</v>
      </c>
      <c r="C967">
        <f>COUNTIFS(Table24[Client ID '#],"&lt;&gt;",Table24[Residence Zip Code],'G - ZIP Code'!A967)</f>
        <v>0</v>
      </c>
    </row>
    <row r="968" spans="1:3" x14ac:dyDescent="0.25">
      <c r="A968">
        <v>33608</v>
      </c>
      <c r="B968" t="s">
        <v>888</v>
      </c>
      <c r="C968">
        <f>COUNTIFS(Table24[Client ID '#],"&lt;&gt;",Table24[Residence Zip Code],'G - ZIP Code'!A968)</f>
        <v>0</v>
      </c>
    </row>
    <row r="969" spans="1:3" x14ac:dyDescent="0.25">
      <c r="A969">
        <v>33609</v>
      </c>
      <c r="B969" t="s">
        <v>888</v>
      </c>
      <c r="C969">
        <f>COUNTIFS(Table24[Client ID '#],"&lt;&gt;",Table24[Residence Zip Code],'G - ZIP Code'!A969)</f>
        <v>0</v>
      </c>
    </row>
    <row r="970" spans="1:3" x14ac:dyDescent="0.25">
      <c r="A970">
        <v>33610</v>
      </c>
      <c r="B970" t="s">
        <v>888</v>
      </c>
      <c r="C970">
        <f>COUNTIFS(Table24[Client ID '#],"&lt;&gt;",Table24[Residence Zip Code],'G - ZIP Code'!A970)</f>
        <v>0</v>
      </c>
    </row>
    <row r="971" spans="1:3" x14ac:dyDescent="0.25">
      <c r="A971">
        <v>33611</v>
      </c>
      <c r="B971" t="s">
        <v>888</v>
      </c>
      <c r="C971">
        <f>COUNTIFS(Table24[Client ID '#],"&lt;&gt;",Table24[Residence Zip Code],'G - ZIP Code'!A971)</f>
        <v>0</v>
      </c>
    </row>
    <row r="972" spans="1:3" x14ac:dyDescent="0.25">
      <c r="A972">
        <v>33612</v>
      </c>
      <c r="B972" t="s">
        <v>888</v>
      </c>
      <c r="C972">
        <f>COUNTIFS(Table24[Client ID '#],"&lt;&gt;",Table24[Residence Zip Code],'G - ZIP Code'!A972)</f>
        <v>0</v>
      </c>
    </row>
    <row r="973" spans="1:3" x14ac:dyDescent="0.25">
      <c r="A973">
        <v>33613</v>
      </c>
      <c r="B973" t="s">
        <v>888</v>
      </c>
      <c r="C973">
        <f>COUNTIFS(Table24[Client ID '#],"&lt;&gt;",Table24[Residence Zip Code],'G - ZIP Code'!A973)</f>
        <v>0</v>
      </c>
    </row>
    <row r="974" spans="1:3" x14ac:dyDescent="0.25">
      <c r="A974">
        <v>33614</v>
      </c>
      <c r="B974" t="s">
        <v>888</v>
      </c>
      <c r="C974">
        <f>COUNTIFS(Table24[Client ID '#],"&lt;&gt;",Table24[Residence Zip Code],'G - ZIP Code'!A974)</f>
        <v>0</v>
      </c>
    </row>
    <row r="975" spans="1:3" x14ac:dyDescent="0.25">
      <c r="A975">
        <v>33615</v>
      </c>
      <c r="B975" t="s">
        <v>888</v>
      </c>
      <c r="C975">
        <f>COUNTIFS(Table24[Client ID '#],"&lt;&gt;",Table24[Residence Zip Code],'G - ZIP Code'!A975)</f>
        <v>0</v>
      </c>
    </row>
    <row r="976" spans="1:3" x14ac:dyDescent="0.25">
      <c r="A976">
        <v>33616</v>
      </c>
      <c r="B976" t="s">
        <v>888</v>
      </c>
      <c r="C976">
        <f>COUNTIFS(Table24[Client ID '#],"&lt;&gt;",Table24[Residence Zip Code],'G - ZIP Code'!A976)</f>
        <v>0</v>
      </c>
    </row>
    <row r="977" spans="1:3" x14ac:dyDescent="0.25">
      <c r="A977">
        <v>33617</v>
      </c>
      <c r="B977" t="s">
        <v>888</v>
      </c>
      <c r="C977">
        <f>COUNTIFS(Table24[Client ID '#],"&lt;&gt;",Table24[Residence Zip Code],'G - ZIP Code'!A977)</f>
        <v>0</v>
      </c>
    </row>
    <row r="978" spans="1:3" x14ac:dyDescent="0.25">
      <c r="A978">
        <v>33618</v>
      </c>
      <c r="B978" t="s">
        <v>888</v>
      </c>
      <c r="C978">
        <f>COUNTIFS(Table24[Client ID '#],"&lt;&gt;",Table24[Residence Zip Code],'G - ZIP Code'!A978)</f>
        <v>0</v>
      </c>
    </row>
    <row r="979" spans="1:3" x14ac:dyDescent="0.25">
      <c r="A979">
        <v>33619</v>
      </c>
      <c r="B979" t="s">
        <v>888</v>
      </c>
      <c r="C979">
        <f>COUNTIFS(Table24[Client ID '#],"&lt;&gt;",Table24[Residence Zip Code],'G - ZIP Code'!A979)</f>
        <v>0</v>
      </c>
    </row>
    <row r="980" spans="1:3" x14ac:dyDescent="0.25">
      <c r="A980">
        <v>33620</v>
      </c>
      <c r="B980" t="s">
        <v>888</v>
      </c>
      <c r="C980">
        <f>COUNTIFS(Table24[Client ID '#],"&lt;&gt;",Table24[Residence Zip Code],'G - ZIP Code'!A980)</f>
        <v>0</v>
      </c>
    </row>
    <row r="981" spans="1:3" x14ac:dyDescent="0.25">
      <c r="A981">
        <v>33621</v>
      </c>
      <c r="B981" t="s">
        <v>888</v>
      </c>
      <c r="C981">
        <f>COUNTIFS(Table24[Client ID '#],"&lt;&gt;",Table24[Residence Zip Code],'G - ZIP Code'!A981)</f>
        <v>0</v>
      </c>
    </row>
    <row r="982" spans="1:3" x14ac:dyDescent="0.25">
      <c r="A982">
        <v>33622</v>
      </c>
      <c r="B982" t="s">
        <v>888</v>
      </c>
      <c r="C982">
        <f>COUNTIFS(Table24[Client ID '#],"&lt;&gt;",Table24[Residence Zip Code],'G - ZIP Code'!A982)</f>
        <v>0</v>
      </c>
    </row>
    <row r="983" spans="1:3" x14ac:dyDescent="0.25">
      <c r="A983">
        <v>33623</v>
      </c>
      <c r="B983" t="s">
        <v>888</v>
      </c>
      <c r="C983">
        <f>COUNTIFS(Table24[Client ID '#],"&lt;&gt;",Table24[Residence Zip Code],'G - ZIP Code'!A983)</f>
        <v>0</v>
      </c>
    </row>
    <row r="984" spans="1:3" x14ac:dyDescent="0.25">
      <c r="A984">
        <v>33624</v>
      </c>
      <c r="B984" t="s">
        <v>888</v>
      </c>
      <c r="C984">
        <f>COUNTIFS(Table24[Client ID '#],"&lt;&gt;",Table24[Residence Zip Code],'G - ZIP Code'!A984)</f>
        <v>0</v>
      </c>
    </row>
    <row r="985" spans="1:3" x14ac:dyDescent="0.25">
      <c r="A985">
        <v>33625</v>
      </c>
      <c r="B985" t="s">
        <v>888</v>
      </c>
      <c r="C985">
        <f>COUNTIFS(Table24[Client ID '#],"&lt;&gt;",Table24[Residence Zip Code],'G - ZIP Code'!A985)</f>
        <v>0</v>
      </c>
    </row>
    <row r="986" spans="1:3" x14ac:dyDescent="0.25">
      <c r="A986">
        <v>33626</v>
      </c>
      <c r="B986" t="s">
        <v>888</v>
      </c>
      <c r="C986">
        <f>COUNTIFS(Table24[Client ID '#],"&lt;&gt;",Table24[Residence Zip Code],'G - ZIP Code'!A986)</f>
        <v>0</v>
      </c>
    </row>
    <row r="987" spans="1:3" x14ac:dyDescent="0.25">
      <c r="A987">
        <v>33629</v>
      </c>
      <c r="B987" t="s">
        <v>888</v>
      </c>
      <c r="C987">
        <f>COUNTIFS(Table24[Client ID '#],"&lt;&gt;",Table24[Residence Zip Code],'G - ZIP Code'!A987)</f>
        <v>0</v>
      </c>
    </row>
    <row r="988" spans="1:3" x14ac:dyDescent="0.25">
      <c r="A988">
        <v>33630</v>
      </c>
      <c r="B988" t="s">
        <v>888</v>
      </c>
      <c r="C988">
        <f>COUNTIFS(Table24[Client ID '#],"&lt;&gt;",Table24[Residence Zip Code],'G - ZIP Code'!A988)</f>
        <v>0</v>
      </c>
    </row>
    <row r="989" spans="1:3" x14ac:dyDescent="0.25">
      <c r="A989">
        <v>33631</v>
      </c>
      <c r="B989" t="s">
        <v>888</v>
      </c>
      <c r="C989">
        <f>COUNTIFS(Table24[Client ID '#],"&lt;&gt;",Table24[Residence Zip Code],'G - ZIP Code'!A989)</f>
        <v>0</v>
      </c>
    </row>
    <row r="990" spans="1:3" x14ac:dyDescent="0.25">
      <c r="A990">
        <v>33633</v>
      </c>
      <c r="B990" t="s">
        <v>888</v>
      </c>
      <c r="C990">
        <f>COUNTIFS(Table24[Client ID '#],"&lt;&gt;",Table24[Residence Zip Code],'G - ZIP Code'!A990)</f>
        <v>0</v>
      </c>
    </row>
    <row r="991" spans="1:3" x14ac:dyDescent="0.25">
      <c r="A991">
        <v>33634</v>
      </c>
      <c r="B991" t="s">
        <v>888</v>
      </c>
      <c r="C991">
        <f>COUNTIFS(Table24[Client ID '#],"&lt;&gt;",Table24[Residence Zip Code],'G - ZIP Code'!A991)</f>
        <v>0</v>
      </c>
    </row>
    <row r="992" spans="1:3" x14ac:dyDescent="0.25">
      <c r="A992">
        <v>33635</v>
      </c>
      <c r="B992" t="s">
        <v>888</v>
      </c>
      <c r="C992">
        <f>COUNTIFS(Table24[Client ID '#],"&lt;&gt;",Table24[Residence Zip Code],'G - ZIP Code'!A992)</f>
        <v>0</v>
      </c>
    </row>
    <row r="993" spans="1:3" x14ac:dyDescent="0.25">
      <c r="A993">
        <v>33637</v>
      </c>
      <c r="B993" t="s">
        <v>888</v>
      </c>
      <c r="C993">
        <f>COUNTIFS(Table24[Client ID '#],"&lt;&gt;",Table24[Residence Zip Code],'G - ZIP Code'!A993)</f>
        <v>0</v>
      </c>
    </row>
    <row r="994" spans="1:3" x14ac:dyDescent="0.25">
      <c r="A994">
        <v>33647</v>
      </c>
      <c r="B994" t="s">
        <v>888</v>
      </c>
      <c r="C994">
        <f>COUNTIFS(Table24[Client ID '#],"&lt;&gt;",Table24[Residence Zip Code],'G - ZIP Code'!A994)</f>
        <v>0</v>
      </c>
    </row>
    <row r="995" spans="1:3" x14ac:dyDescent="0.25">
      <c r="A995">
        <v>33650</v>
      </c>
      <c r="B995" t="s">
        <v>888</v>
      </c>
      <c r="C995">
        <f>COUNTIFS(Table24[Client ID '#],"&lt;&gt;",Table24[Residence Zip Code],'G - ZIP Code'!A995)</f>
        <v>0</v>
      </c>
    </row>
    <row r="996" spans="1:3" x14ac:dyDescent="0.25">
      <c r="A996">
        <v>33651</v>
      </c>
      <c r="B996" t="s">
        <v>888</v>
      </c>
      <c r="C996">
        <f>COUNTIFS(Table24[Client ID '#],"&lt;&gt;",Table24[Residence Zip Code],'G - ZIP Code'!A996)</f>
        <v>0</v>
      </c>
    </row>
    <row r="997" spans="1:3" x14ac:dyDescent="0.25">
      <c r="A997">
        <v>33655</v>
      </c>
      <c r="B997" t="s">
        <v>888</v>
      </c>
      <c r="C997">
        <f>COUNTIFS(Table24[Client ID '#],"&lt;&gt;",Table24[Residence Zip Code],'G - ZIP Code'!A997)</f>
        <v>0</v>
      </c>
    </row>
    <row r="998" spans="1:3" x14ac:dyDescent="0.25">
      <c r="A998">
        <v>33660</v>
      </c>
      <c r="B998" t="s">
        <v>888</v>
      </c>
      <c r="C998">
        <f>COUNTIFS(Table24[Client ID '#],"&lt;&gt;",Table24[Residence Zip Code],'G - ZIP Code'!A998)</f>
        <v>0</v>
      </c>
    </row>
    <row r="999" spans="1:3" x14ac:dyDescent="0.25">
      <c r="A999">
        <v>33661</v>
      </c>
      <c r="B999" t="s">
        <v>888</v>
      </c>
      <c r="C999">
        <f>COUNTIFS(Table24[Client ID '#],"&lt;&gt;",Table24[Residence Zip Code],'G - ZIP Code'!A999)</f>
        <v>0</v>
      </c>
    </row>
    <row r="1000" spans="1:3" x14ac:dyDescent="0.25">
      <c r="A1000">
        <v>33662</v>
      </c>
      <c r="B1000" t="s">
        <v>888</v>
      </c>
      <c r="C1000">
        <f>COUNTIFS(Table24[Client ID '#],"&lt;&gt;",Table24[Residence Zip Code],'G - ZIP Code'!A1000)</f>
        <v>0</v>
      </c>
    </row>
    <row r="1001" spans="1:3" x14ac:dyDescent="0.25">
      <c r="A1001">
        <v>33663</v>
      </c>
      <c r="B1001" t="s">
        <v>888</v>
      </c>
      <c r="C1001">
        <f>COUNTIFS(Table24[Client ID '#],"&lt;&gt;",Table24[Residence Zip Code],'G - ZIP Code'!A1001)</f>
        <v>0</v>
      </c>
    </row>
    <row r="1002" spans="1:3" x14ac:dyDescent="0.25">
      <c r="A1002">
        <v>33664</v>
      </c>
      <c r="B1002" t="s">
        <v>888</v>
      </c>
      <c r="C1002">
        <f>COUNTIFS(Table24[Client ID '#],"&lt;&gt;",Table24[Residence Zip Code],'G - ZIP Code'!A1002)</f>
        <v>0</v>
      </c>
    </row>
    <row r="1003" spans="1:3" x14ac:dyDescent="0.25">
      <c r="A1003">
        <v>33672</v>
      </c>
      <c r="B1003" t="s">
        <v>888</v>
      </c>
      <c r="C1003">
        <f>COUNTIFS(Table24[Client ID '#],"&lt;&gt;",Table24[Residence Zip Code],'G - ZIP Code'!A1003)</f>
        <v>0</v>
      </c>
    </row>
    <row r="1004" spans="1:3" x14ac:dyDescent="0.25">
      <c r="A1004">
        <v>33673</v>
      </c>
      <c r="B1004" t="s">
        <v>888</v>
      </c>
      <c r="C1004">
        <f>COUNTIFS(Table24[Client ID '#],"&lt;&gt;",Table24[Residence Zip Code],'G - ZIP Code'!A1004)</f>
        <v>0</v>
      </c>
    </row>
    <row r="1005" spans="1:3" x14ac:dyDescent="0.25">
      <c r="A1005">
        <v>33674</v>
      </c>
      <c r="B1005" t="s">
        <v>888</v>
      </c>
      <c r="C1005">
        <f>COUNTIFS(Table24[Client ID '#],"&lt;&gt;",Table24[Residence Zip Code],'G - ZIP Code'!A1005)</f>
        <v>0</v>
      </c>
    </row>
    <row r="1006" spans="1:3" x14ac:dyDescent="0.25">
      <c r="A1006">
        <v>33675</v>
      </c>
      <c r="B1006" t="s">
        <v>888</v>
      </c>
      <c r="C1006">
        <f>COUNTIFS(Table24[Client ID '#],"&lt;&gt;",Table24[Residence Zip Code],'G - ZIP Code'!A1006)</f>
        <v>0</v>
      </c>
    </row>
    <row r="1007" spans="1:3" x14ac:dyDescent="0.25">
      <c r="A1007">
        <v>33677</v>
      </c>
      <c r="B1007" t="s">
        <v>888</v>
      </c>
      <c r="C1007">
        <f>COUNTIFS(Table24[Client ID '#],"&lt;&gt;",Table24[Residence Zip Code],'G - ZIP Code'!A1007)</f>
        <v>0</v>
      </c>
    </row>
    <row r="1008" spans="1:3" x14ac:dyDescent="0.25">
      <c r="A1008">
        <v>33679</v>
      </c>
      <c r="B1008" t="s">
        <v>888</v>
      </c>
      <c r="C1008">
        <f>COUNTIFS(Table24[Client ID '#],"&lt;&gt;",Table24[Residence Zip Code],'G - ZIP Code'!A1008)</f>
        <v>0</v>
      </c>
    </row>
    <row r="1009" spans="1:3" x14ac:dyDescent="0.25">
      <c r="A1009">
        <v>33680</v>
      </c>
      <c r="B1009" t="s">
        <v>888</v>
      </c>
      <c r="C1009">
        <f>COUNTIFS(Table24[Client ID '#],"&lt;&gt;",Table24[Residence Zip Code],'G - ZIP Code'!A1009)</f>
        <v>0</v>
      </c>
    </row>
    <row r="1010" spans="1:3" x14ac:dyDescent="0.25">
      <c r="A1010">
        <v>33681</v>
      </c>
      <c r="B1010" t="s">
        <v>888</v>
      </c>
      <c r="C1010">
        <f>COUNTIFS(Table24[Client ID '#],"&lt;&gt;",Table24[Residence Zip Code],'G - ZIP Code'!A1010)</f>
        <v>0</v>
      </c>
    </row>
    <row r="1011" spans="1:3" x14ac:dyDescent="0.25">
      <c r="A1011">
        <v>33682</v>
      </c>
      <c r="B1011" t="s">
        <v>888</v>
      </c>
      <c r="C1011">
        <f>COUNTIFS(Table24[Client ID '#],"&lt;&gt;",Table24[Residence Zip Code],'G - ZIP Code'!A1011)</f>
        <v>0</v>
      </c>
    </row>
    <row r="1012" spans="1:3" x14ac:dyDescent="0.25">
      <c r="A1012">
        <v>33684</v>
      </c>
      <c r="B1012" t="s">
        <v>888</v>
      </c>
      <c r="C1012">
        <f>COUNTIFS(Table24[Client ID '#],"&lt;&gt;",Table24[Residence Zip Code],'G - ZIP Code'!A1012)</f>
        <v>0</v>
      </c>
    </row>
    <row r="1013" spans="1:3" x14ac:dyDescent="0.25">
      <c r="A1013">
        <v>33685</v>
      </c>
      <c r="B1013" t="s">
        <v>888</v>
      </c>
      <c r="C1013">
        <f>COUNTIFS(Table24[Client ID '#],"&lt;&gt;",Table24[Residence Zip Code],'G - ZIP Code'!A1013)</f>
        <v>0</v>
      </c>
    </row>
    <row r="1014" spans="1:3" x14ac:dyDescent="0.25">
      <c r="A1014">
        <v>33686</v>
      </c>
      <c r="B1014" t="s">
        <v>888</v>
      </c>
      <c r="C1014">
        <f>COUNTIFS(Table24[Client ID '#],"&lt;&gt;",Table24[Residence Zip Code],'G - ZIP Code'!A1014)</f>
        <v>0</v>
      </c>
    </row>
    <row r="1015" spans="1:3" x14ac:dyDescent="0.25">
      <c r="A1015">
        <v>33687</v>
      </c>
      <c r="B1015" t="s">
        <v>888</v>
      </c>
      <c r="C1015">
        <f>COUNTIFS(Table24[Client ID '#],"&lt;&gt;",Table24[Residence Zip Code],'G - ZIP Code'!A1015)</f>
        <v>0</v>
      </c>
    </row>
    <row r="1016" spans="1:3" x14ac:dyDescent="0.25">
      <c r="A1016">
        <v>33688</v>
      </c>
      <c r="B1016" t="s">
        <v>888</v>
      </c>
      <c r="C1016">
        <f>COUNTIFS(Table24[Client ID '#],"&lt;&gt;",Table24[Residence Zip Code],'G - ZIP Code'!A1016)</f>
        <v>0</v>
      </c>
    </row>
    <row r="1017" spans="1:3" x14ac:dyDescent="0.25">
      <c r="A1017">
        <v>33689</v>
      </c>
      <c r="B1017" t="s">
        <v>888</v>
      </c>
      <c r="C1017">
        <f>COUNTIFS(Table24[Client ID '#],"&lt;&gt;",Table24[Residence Zip Code],'G - ZIP Code'!A1017)</f>
        <v>0</v>
      </c>
    </row>
    <row r="1018" spans="1:3" x14ac:dyDescent="0.25">
      <c r="A1018">
        <v>33690</v>
      </c>
      <c r="B1018" t="s">
        <v>888</v>
      </c>
      <c r="C1018">
        <f>COUNTIFS(Table24[Client ID '#],"&lt;&gt;",Table24[Residence Zip Code],'G - ZIP Code'!A1018)</f>
        <v>0</v>
      </c>
    </row>
    <row r="1019" spans="1:3" x14ac:dyDescent="0.25">
      <c r="A1019">
        <v>33694</v>
      </c>
      <c r="B1019" t="s">
        <v>888</v>
      </c>
      <c r="C1019">
        <f>COUNTIFS(Table24[Client ID '#],"&lt;&gt;",Table24[Residence Zip Code],'G - ZIP Code'!A1019)</f>
        <v>0</v>
      </c>
    </row>
    <row r="1020" spans="1:3" x14ac:dyDescent="0.25">
      <c r="A1020">
        <v>33697</v>
      </c>
      <c r="B1020" t="s">
        <v>888</v>
      </c>
      <c r="C1020">
        <f>COUNTIFS(Table24[Client ID '#],"&lt;&gt;",Table24[Residence Zip Code],'G - ZIP Code'!A1020)</f>
        <v>0</v>
      </c>
    </row>
    <row r="1021" spans="1:3" x14ac:dyDescent="0.25">
      <c r="A1021">
        <v>33701</v>
      </c>
      <c r="B1021" t="s">
        <v>888</v>
      </c>
      <c r="C1021">
        <f>COUNTIFS(Table24[Client ID '#],"&lt;&gt;",Table24[Residence Zip Code],'G - ZIP Code'!A1021)</f>
        <v>0</v>
      </c>
    </row>
    <row r="1022" spans="1:3" x14ac:dyDescent="0.25">
      <c r="A1022">
        <v>33702</v>
      </c>
      <c r="B1022" t="s">
        <v>888</v>
      </c>
      <c r="C1022">
        <f>COUNTIFS(Table24[Client ID '#],"&lt;&gt;",Table24[Residence Zip Code],'G - ZIP Code'!A1022)</f>
        <v>0</v>
      </c>
    </row>
    <row r="1023" spans="1:3" x14ac:dyDescent="0.25">
      <c r="A1023">
        <v>33703</v>
      </c>
      <c r="B1023" t="s">
        <v>888</v>
      </c>
      <c r="C1023">
        <f>COUNTIFS(Table24[Client ID '#],"&lt;&gt;",Table24[Residence Zip Code],'G - ZIP Code'!A1023)</f>
        <v>0</v>
      </c>
    </row>
    <row r="1024" spans="1:3" x14ac:dyDescent="0.25">
      <c r="A1024">
        <v>33704</v>
      </c>
      <c r="B1024" t="s">
        <v>888</v>
      </c>
      <c r="C1024">
        <f>COUNTIFS(Table24[Client ID '#],"&lt;&gt;",Table24[Residence Zip Code],'G - ZIP Code'!A1024)</f>
        <v>0</v>
      </c>
    </row>
    <row r="1025" spans="1:3" x14ac:dyDescent="0.25">
      <c r="A1025">
        <v>33705</v>
      </c>
      <c r="B1025" t="s">
        <v>888</v>
      </c>
      <c r="C1025">
        <f>COUNTIFS(Table24[Client ID '#],"&lt;&gt;",Table24[Residence Zip Code],'G - ZIP Code'!A1025)</f>
        <v>0</v>
      </c>
    </row>
    <row r="1026" spans="1:3" x14ac:dyDescent="0.25">
      <c r="A1026">
        <v>33706</v>
      </c>
      <c r="B1026" t="s">
        <v>888</v>
      </c>
      <c r="C1026">
        <f>COUNTIFS(Table24[Client ID '#],"&lt;&gt;",Table24[Residence Zip Code],'G - ZIP Code'!A1026)</f>
        <v>0</v>
      </c>
    </row>
    <row r="1027" spans="1:3" x14ac:dyDescent="0.25">
      <c r="A1027">
        <v>33707</v>
      </c>
      <c r="B1027" t="s">
        <v>888</v>
      </c>
      <c r="C1027">
        <f>COUNTIFS(Table24[Client ID '#],"&lt;&gt;",Table24[Residence Zip Code],'G - ZIP Code'!A1027)</f>
        <v>0</v>
      </c>
    </row>
    <row r="1028" spans="1:3" x14ac:dyDescent="0.25">
      <c r="A1028">
        <v>33708</v>
      </c>
      <c r="B1028" t="s">
        <v>888</v>
      </c>
      <c r="C1028">
        <f>COUNTIFS(Table24[Client ID '#],"&lt;&gt;",Table24[Residence Zip Code],'G - ZIP Code'!A1028)</f>
        <v>0</v>
      </c>
    </row>
    <row r="1029" spans="1:3" x14ac:dyDescent="0.25">
      <c r="A1029">
        <v>33709</v>
      </c>
      <c r="B1029" t="s">
        <v>888</v>
      </c>
      <c r="C1029">
        <f>COUNTIFS(Table24[Client ID '#],"&lt;&gt;",Table24[Residence Zip Code],'G - ZIP Code'!A1029)</f>
        <v>0</v>
      </c>
    </row>
    <row r="1030" spans="1:3" x14ac:dyDescent="0.25">
      <c r="A1030">
        <v>33710</v>
      </c>
      <c r="B1030" t="s">
        <v>888</v>
      </c>
      <c r="C1030">
        <f>COUNTIFS(Table24[Client ID '#],"&lt;&gt;",Table24[Residence Zip Code],'G - ZIP Code'!A1030)</f>
        <v>0</v>
      </c>
    </row>
    <row r="1031" spans="1:3" x14ac:dyDescent="0.25">
      <c r="A1031">
        <v>33711</v>
      </c>
      <c r="B1031" t="s">
        <v>888</v>
      </c>
      <c r="C1031">
        <f>COUNTIFS(Table24[Client ID '#],"&lt;&gt;",Table24[Residence Zip Code],'G - ZIP Code'!A1031)</f>
        <v>0</v>
      </c>
    </row>
    <row r="1032" spans="1:3" x14ac:dyDescent="0.25">
      <c r="A1032">
        <v>33712</v>
      </c>
      <c r="B1032" t="s">
        <v>888</v>
      </c>
      <c r="C1032">
        <f>COUNTIFS(Table24[Client ID '#],"&lt;&gt;",Table24[Residence Zip Code],'G - ZIP Code'!A1032)</f>
        <v>0</v>
      </c>
    </row>
    <row r="1033" spans="1:3" x14ac:dyDescent="0.25">
      <c r="A1033">
        <v>33713</v>
      </c>
      <c r="B1033" t="s">
        <v>888</v>
      </c>
      <c r="C1033">
        <f>COUNTIFS(Table24[Client ID '#],"&lt;&gt;",Table24[Residence Zip Code],'G - ZIP Code'!A1033)</f>
        <v>0</v>
      </c>
    </row>
    <row r="1034" spans="1:3" x14ac:dyDescent="0.25">
      <c r="A1034">
        <v>33714</v>
      </c>
      <c r="B1034" t="s">
        <v>888</v>
      </c>
      <c r="C1034">
        <f>COUNTIFS(Table24[Client ID '#],"&lt;&gt;",Table24[Residence Zip Code],'G - ZIP Code'!A1034)</f>
        <v>0</v>
      </c>
    </row>
    <row r="1035" spans="1:3" x14ac:dyDescent="0.25">
      <c r="A1035">
        <v>33715</v>
      </c>
      <c r="B1035" t="s">
        <v>888</v>
      </c>
      <c r="C1035">
        <f>COUNTIFS(Table24[Client ID '#],"&lt;&gt;",Table24[Residence Zip Code],'G - ZIP Code'!A1035)</f>
        <v>0</v>
      </c>
    </row>
    <row r="1036" spans="1:3" x14ac:dyDescent="0.25">
      <c r="A1036">
        <v>33716</v>
      </c>
      <c r="B1036" t="s">
        <v>888</v>
      </c>
      <c r="C1036">
        <f>COUNTIFS(Table24[Client ID '#],"&lt;&gt;",Table24[Residence Zip Code],'G - ZIP Code'!A1036)</f>
        <v>0</v>
      </c>
    </row>
    <row r="1037" spans="1:3" x14ac:dyDescent="0.25">
      <c r="A1037">
        <v>33729</v>
      </c>
      <c r="B1037" t="s">
        <v>888</v>
      </c>
      <c r="C1037">
        <f>COUNTIFS(Table24[Client ID '#],"&lt;&gt;",Table24[Residence Zip Code],'G - ZIP Code'!A1037)</f>
        <v>0</v>
      </c>
    </row>
    <row r="1038" spans="1:3" x14ac:dyDescent="0.25">
      <c r="A1038">
        <v>33730</v>
      </c>
      <c r="B1038" t="s">
        <v>888</v>
      </c>
      <c r="C1038">
        <f>COUNTIFS(Table24[Client ID '#],"&lt;&gt;",Table24[Residence Zip Code],'G - ZIP Code'!A1038)</f>
        <v>0</v>
      </c>
    </row>
    <row r="1039" spans="1:3" x14ac:dyDescent="0.25">
      <c r="A1039">
        <v>33731</v>
      </c>
      <c r="B1039" t="s">
        <v>888</v>
      </c>
      <c r="C1039">
        <f>COUNTIFS(Table24[Client ID '#],"&lt;&gt;",Table24[Residence Zip Code],'G - ZIP Code'!A1039)</f>
        <v>0</v>
      </c>
    </row>
    <row r="1040" spans="1:3" x14ac:dyDescent="0.25">
      <c r="A1040">
        <v>33732</v>
      </c>
      <c r="B1040" t="s">
        <v>888</v>
      </c>
      <c r="C1040">
        <f>COUNTIFS(Table24[Client ID '#],"&lt;&gt;",Table24[Residence Zip Code],'G - ZIP Code'!A1040)</f>
        <v>0</v>
      </c>
    </row>
    <row r="1041" spans="1:3" x14ac:dyDescent="0.25">
      <c r="A1041">
        <v>33733</v>
      </c>
      <c r="B1041" t="s">
        <v>888</v>
      </c>
      <c r="C1041">
        <f>COUNTIFS(Table24[Client ID '#],"&lt;&gt;",Table24[Residence Zip Code],'G - ZIP Code'!A1041)</f>
        <v>0</v>
      </c>
    </row>
    <row r="1042" spans="1:3" x14ac:dyDescent="0.25">
      <c r="A1042">
        <v>33734</v>
      </c>
      <c r="B1042" t="s">
        <v>888</v>
      </c>
      <c r="C1042">
        <f>COUNTIFS(Table24[Client ID '#],"&lt;&gt;",Table24[Residence Zip Code],'G - ZIP Code'!A1042)</f>
        <v>0</v>
      </c>
    </row>
    <row r="1043" spans="1:3" x14ac:dyDescent="0.25">
      <c r="A1043">
        <v>33736</v>
      </c>
      <c r="B1043" t="s">
        <v>888</v>
      </c>
      <c r="C1043">
        <f>COUNTIFS(Table24[Client ID '#],"&lt;&gt;",Table24[Residence Zip Code],'G - ZIP Code'!A1043)</f>
        <v>0</v>
      </c>
    </row>
    <row r="1044" spans="1:3" x14ac:dyDescent="0.25">
      <c r="A1044">
        <v>33737</v>
      </c>
      <c r="B1044" t="s">
        <v>888</v>
      </c>
      <c r="C1044">
        <f>COUNTIFS(Table24[Client ID '#],"&lt;&gt;",Table24[Residence Zip Code],'G - ZIP Code'!A1044)</f>
        <v>0</v>
      </c>
    </row>
    <row r="1045" spans="1:3" x14ac:dyDescent="0.25">
      <c r="A1045">
        <v>33738</v>
      </c>
      <c r="B1045" t="s">
        <v>888</v>
      </c>
      <c r="C1045">
        <f>COUNTIFS(Table24[Client ID '#],"&lt;&gt;",Table24[Residence Zip Code],'G - ZIP Code'!A1045)</f>
        <v>0</v>
      </c>
    </row>
    <row r="1046" spans="1:3" x14ac:dyDescent="0.25">
      <c r="A1046">
        <v>33740</v>
      </c>
      <c r="B1046" t="s">
        <v>888</v>
      </c>
      <c r="C1046">
        <f>COUNTIFS(Table24[Client ID '#],"&lt;&gt;",Table24[Residence Zip Code],'G - ZIP Code'!A1046)</f>
        <v>0</v>
      </c>
    </row>
    <row r="1047" spans="1:3" x14ac:dyDescent="0.25">
      <c r="A1047">
        <v>33741</v>
      </c>
      <c r="B1047" t="s">
        <v>888</v>
      </c>
      <c r="C1047">
        <f>COUNTIFS(Table24[Client ID '#],"&lt;&gt;",Table24[Residence Zip Code],'G - ZIP Code'!A1047)</f>
        <v>0</v>
      </c>
    </row>
    <row r="1048" spans="1:3" x14ac:dyDescent="0.25">
      <c r="A1048">
        <v>33742</v>
      </c>
      <c r="B1048" t="s">
        <v>888</v>
      </c>
      <c r="C1048">
        <f>COUNTIFS(Table24[Client ID '#],"&lt;&gt;",Table24[Residence Zip Code],'G - ZIP Code'!A1048)</f>
        <v>0</v>
      </c>
    </row>
    <row r="1049" spans="1:3" x14ac:dyDescent="0.25">
      <c r="A1049">
        <v>33743</v>
      </c>
      <c r="B1049" t="s">
        <v>888</v>
      </c>
      <c r="C1049">
        <f>COUNTIFS(Table24[Client ID '#],"&lt;&gt;",Table24[Residence Zip Code],'G - ZIP Code'!A1049)</f>
        <v>0</v>
      </c>
    </row>
    <row r="1050" spans="1:3" x14ac:dyDescent="0.25">
      <c r="A1050">
        <v>33744</v>
      </c>
      <c r="B1050" t="s">
        <v>888</v>
      </c>
      <c r="C1050">
        <f>COUNTIFS(Table24[Client ID '#],"&lt;&gt;",Table24[Residence Zip Code],'G - ZIP Code'!A1050)</f>
        <v>0</v>
      </c>
    </row>
    <row r="1051" spans="1:3" x14ac:dyDescent="0.25">
      <c r="A1051">
        <v>33747</v>
      </c>
      <c r="B1051" t="s">
        <v>888</v>
      </c>
      <c r="C1051">
        <f>COUNTIFS(Table24[Client ID '#],"&lt;&gt;",Table24[Residence Zip Code],'G - ZIP Code'!A1051)</f>
        <v>0</v>
      </c>
    </row>
    <row r="1052" spans="1:3" x14ac:dyDescent="0.25">
      <c r="A1052">
        <v>33755</v>
      </c>
      <c r="B1052" t="s">
        <v>888</v>
      </c>
      <c r="C1052">
        <f>COUNTIFS(Table24[Client ID '#],"&lt;&gt;",Table24[Residence Zip Code],'G - ZIP Code'!A1052)</f>
        <v>0</v>
      </c>
    </row>
    <row r="1053" spans="1:3" x14ac:dyDescent="0.25">
      <c r="A1053">
        <v>33756</v>
      </c>
      <c r="B1053" t="s">
        <v>888</v>
      </c>
      <c r="C1053">
        <f>COUNTIFS(Table24[Client ID '#],"&lt;&gt;",Table24[Residence Zip Code],'G - ZIP Code'!A1053)</f>
        <v>0</v>
      </c>
    </row>
    <row r="1054" spans="1:3" x14ac:dyDescent="0.25">
      <c r="A1054">
        <v>33757</v>
      </c>
      <c r="B1054" t="s">
        <v>888</v>
      </c>
      <c r="C1054">
        <f>COUNTIFS(Table24[Client ID '#],"&lt;&gt;",Table24[Residence Zip Code],'G - ZIP Code'!A1054)</f>
        <v>0</v>
      </c>
    </row>
    <row r="1055" spans="1:3" x14ac:dyDescent="0.25">
      <c r="A1055">
        <v>33758</v>
      </c>
      <c r="B1055" t="s">
        <v>888</v>
      </c>
      <c r="C1055">
        <f>COUNTIFS(Table24[Client ID '#],"&lt;&gt;",Table24[Residence Zip Code],'G - ZIP Code'!A1055)</f>
        <v>0</v>
      </c>
    </row>
    <row r="1056" spans="1:3" x14ac:dyDescent="0.25">
      <c r="A1056">
        <v>33759</v>
      </c>
      <c r="B1056" t="s">
        <v>888</v>
      </c>
      <c r="C1056">
        <f>COUNTIFS(Table24[Client ID '#],"&lt;&gt;",Table24[Residence Zip Code],'G - ZIP Code'!A1056)</f>
        <v>0</v>
      </c>
    </row>
    <row r="1057" spans="1:3" x14ac:dyDescent="0.25">
      <c r="A1057">
        <v>33760</v>
      </c>
      <c r="B1057" t="s">
        <v>888</v>
      </c>
      <c r="C1057">
        <f>COUNTIFS(Table24[Client ID '#],"&lt;&gt;",Table24[Residence Zip Code],'G - ZIP Code'!A1057)</f>
        <v>0</v>
      </c>
    </row>
    <row r="1058" spans="1:3" x14ac:dyDescent="0.25">
      <c r="A1058">
        <v>33761</v>
      </c>
      <c r="B1058" t="s">
        <v>888</v>
      </c>
      <c r="C1058">
        <f>COUNTIFS(Table24[Client ID '#],"&lt;&gt;",Table24[Residence Zip Code],'G - ZIP Code'!A1058)</f>
        <v>0</v>
      </c>
    </row>
    <row r="1059" spans="1:3" x14ac:dyDescent="0.25">
      <c r="A1059">
        <v>33762</v>
      </c>
      <c r="B1059" t="s">
        <v>888</v>
      </c>
      <c r="C1059">
        <f>COUNTIFS(Table24[Client ID '#],"&lt;&gt;",Table24[Residence Zip Code],'G - ZIP Code'!A1059)</f>
        <v>0</v>
      </c>
    </row>
    <row r="1060" spans="1:3" x14ac:dyDescent="0.25">
      <c r="A1060">
        <v>33763</v>
      </c>
      <c r="B1060" t="s">
        <v>888</v>
      </c>
      <c r="C1060">
        <f>COUNTIFS(Table24[Client ID '#],"&lt;&gt;",Table24[Residence Zip Code],'G - ZIP Code'!A1060)</f>
        <v>0</v>
      </c>
    </row>
    <row r="1061" spans="1:3" x14ac:dyDescent="0.25">
      <c r="A1061">
        <v>33764</v>
      </c>
      <c r="B1061" t="s">
        <v>888</v>
      </c>
      <c r="C1061">
        <f>COUNTIFS(Table24[Client ID '#],"&lt;&gt;",Table24[Residence Zip Code],'G - ZIP Code'!A1061)</f>
        <v>0</v>
      </c>
    </row>
    <row r="1062" spans="1:3" x14ac:dyDescent="0.25">
      <c r="A1062">
        <v>33765</v>
      </c>
      <c r="B1062" t="s">
        <v>888</v>
      </c>
      <c r="C1062">
        <f>COUNTIFS(Table24[Client ID '#],"&lt;&gt;",Table24[Residence Zip Code],'G - ZIP Code'!A1062)</f>
        <v>0</v>
      </c>
    </row>
    <row r="1063" spans="1:3" x14ac:dyDescent="0.25">
      <c r="A1063">
        <v>33766</v>
      </c>
      <c r="B1063" t="s">
        <v>888</v>
      </c>
      <c r="C1063">
        <f>COUNTIFS(Table24[Client ID '#],"&lt;&gt;",Table24[Residence Zip Code],'G - ZIP Code'!A1063)</f>
        <v>0</v>
      </c>
    </row>
    <row r="1064" spans="1:3" x14ac:dyDescent="0.25">
      <c r="A1064">
        <v>33767</v>
      </c>
      <c r="B1064" t="s">
        <v>888</v>
      </c>
      <c r="C1064">
        <f>COUNTIFS(Table24[Client ID '#],"&lt;&gt;",Table24[Residence Zip Code],'G - ZIP Code'!A1064)</f>
        <v>0</v>
      </c>
    </row>
    <row r="1065" spans="1:3" x14ac:dyDescent="0.25">
      <c r="A1065">
        <v>33769</v>
      </c>
      <c r="B1065" t="s">
        <v>888</v>
      </c>
      <c r="C1065">
        <f>COUNTIFS(Table24[Client ID '#],"&lt;&gt;",Table24[Residence Zip Code],'G - ZIP Code'!A1065)</f>
        <v>0</v>
      </c>
    </row>
    <row r="1066" spans="1:3" x14ac:dyDescent="0.25">
      <c r="A1066">
        <v>33770</v>
      </c>
      <c r="B1066" t="s">
        <v>888</v>
      </c>
      <c r="C1066">
        <f>COUNTIFS(Table24[Client ID '#],"&lt;&gt;",Table24[Residence Zip Code],'G - ZIP Code'!A1066)</f>
        <v>0</v>
      </c>
    </row>
    <row r="1067" spans="1:3" x14ac:dyDescent="0.25">
      <c r="A1067">
        <v>33771</v>
      </c>
      <c r="B1067" t="s">
        <v>888</v>
      </c>
      <c r="C1067">
        <f>COUNTIFS(Table24[Client ID '#],"&lt;&gt;",Table24[Residence Zip Code],'G - ZIP Code'!A1067)</f>
        <v>0</v>
      </c>
    </row>
    <row r="1068" spans="1:3" x14ac:dyDescent="0.25">
      <c r="A1068">
        <v>33772</v>
      </c>
      <c r="B1068" t="s">
        <v>888</v>
      </c>
      <c r="C1068">
        <f>COUNTIFS(Table24[Client ID '#],"&lt;&gt;",Table24[Residence Zip Code],'G - ZIP Code'!A1068)</f>
        <v>0</v>
      </c>
    </row>
    <row r="1069" spans="1:3" x14ac:dyDescent="0.25">
      <c r="A1069">
        <v>33773</v>
      </c>
      <c r="B1069" t="s">
        <v>888</v>
      </c>
      <c r="C1069">
        <f>COUNTIFS(Table24[Client ID '#],"&lt;&gt;",Table24[Residence Zip Code],'G - ZIP Code'!A1069)</f>
        <v>0</v>
      </c>
    </row>
    <row r="1070" spans="1:3" x14ac:dyDescent="0.25">
      <c r="A1070">
        <v>33774</v>
      </c>
      <c r="B1070" t="s">
        <v>888</v>
      </c>
      <c r="C1070">
        <f>COUNTIFS(Table24[Client ID '#],"&lt;&gt;",Table24[Residence Zip Code],'G - ZIP Code'!A1070)</f>
        <v>0</v>
      </c>
    </row>
    <row r="1071" spans="1:3" x14ac:dyDescent="0.25">
      <c r="A1071">
        <v>33775</v>
      </c>
      <c r="B1071" t="s">
        <v>888</v>
      </c>
      <c r="C1071">
        <f>COUNTIFS(Table24[Client ID '#],"&lt;&gt;",Table24[Residence Zip Code],'G - ZIP Code'!A1071)</f>
        <v>0</v>
      </c>
    </row>
    <row r="1072" spans="1:3" x14ac:dyDescent="0.25">
      <c r="A1072">
        <v>33776</v>
      </c>
      <c r="B1072" t="s">
        <v>888</v>
      </c>
      <c r="C1072">
        <f>COUNTIFS(Table24[Client ID '#],"&lt;&gt;",Table24[Residence Zip Code],'G - ZIP Code'!A1072)</f>
        <v>0</v>
      </c>
    </row>
    <row r="1073" spans="1:3" x14ac:dyDescent="0.25">
      <c r="A1073">
        <v>33777</v>
      </c>
      <c r="B1073" t="s">
        <v>888</v>
      </c>
      <c r="C1073">
        <f>COUNTIFS(Table24[Client ID '#],"&lt;&gt;",Table24[Residence Zip Code],'G - ZIP Code'!A1073)</f>
        <v>0</v>
      </c>
    </row>
    <row r="1074" spans="1:3" x14ac:dyDescent="0.25">
      <c r="A1074">
        <v>33778</v>
      </c>
      <c r="B1074" t="s">
        <v>888</v>
      </c>
      <c r="C1074">
        <f>COUNTIFS(Table24[Client ID '#],"&lt;&gt;",Table24[Residence Zip Code],'G - ZIP Code'!A1074)</f>
        <v>0</v>
      </c>
    </row>
    <row r="1075" spans="1:3" x14ac:dyDescent="0.25">
      <c r="A1075">
        <v>33779</v>
      </c>
      <c r="B1075" t="s">
        <v>888</v>
      </c>
      <c r="C1075">
        <f>COUNTIFS(Table24[Client ID '#],"&lt;&gt;",Table24[Residence Zip Code],'G - ZIP Code'!A1075)</f>
        <v>0</v>
      </c>
    </row>
    <row r="1076" spans="1:3" x14ac:dyDescent="0.25">
      <c r="A1076">
        <v>33780</v>
      </c>
      <c r="B1076" t="s">
        <v>888</v>
      </c>
      <c r="C1076">
        <f>COUNTIFS(Table24[Client ID '#],"&lt;&gt;",Table24[Residence Zip Code],'G - ZIP Code'!A1076)</f>
        <v>0</v>
      </c>
    </row>
    <row r="1077" spans="1:3" x14ac:dyDescent="0.25">
      <c r="A1077">
        <v>33781</v>
      </c>
      <c r="B1077" t="s">
        <v>888</v>
      </c>
      <c r="C1077">
        <f>COUNTIFS(Table24[Client ID '#],"&lt;&gt;",Table24[Residence Zip Code],'G - ZIP Code'!A1077)</f>
        <v>0</v>
      </c>
    </row>
    <row r="1078" spans="1:3" x14ac:dyDescent="0.25">
      <c r="A1078">
        <v>33782</v>
      </c>
      <c r="B1078" t="s">
        <v>888</v>
      </c>
      <c r="C1078">
        <f>COUNTIFS(Table24[Client ID '#],"&lt;&gt;",Table24[Residence Zip Code],'G - ZIP Code'!A1078)</f>
        <v>0</v>
      </c>
    </row>
    <row r="1079" spans="1:3" x14ac:dyDescent="0.25">
      <c r="A1079">
        <v>33784</v>
      </c>
      <c r="B1079" t="s">
        <v>888</v>
      </c>
      <c r="C1079">
        <f>COUNTIFS(Table24[Client ID '#],"&lt;&gt;",Table24[Residence Zip Code],'G - ZIP Code'!A1079)</f>
        <v>0</v>
      </c>
    </row>
    <row r="1080" spans="1:3" x14ac:dyDescent="0.25">
      <c r="A1080">
        <v>33785</v>
      </c>
      <c r="B1080" t="s">
        <v>888</v>
      </c>
      <c r="C1080">
        <f>COUNTIFS(Table24[Client ID '#],"&lt;&gt;",Table24[Residence Zip Code],'G - ZIP Code'!A1080)</f>
        <v>0</v>
      </c>
    </row>
    <row r="1081" spans="1:3" x14ac:dyDescent="0.25">
      <c r="A1081">
        <v>33786</v>
      </c>
      <c r="B1081" t="s">
        <v>888</v>
      </c>
      <c r="C1081">
        <f>COUNTIFS(Table24[Client ID '#],"&lt;&gt;",Table24[Residence Zip Code],'G - ZIP Code'!A1081)</f>
        <v>0</v>
      </c>
    </row>
    <row r="1082" spans="1:3" x14ac:dyDescent="0.25">
      <c r="A1082">
        <v>33801</v>
      </c>
      <c r="B1082" t="s">
        <v>888</v>
      </c>
      <c r="C1082">
        <f>COUNTIFS(Table24[Client ID '#],"&lt;&gt;",Table24[Residence Zip Code],'G - ZIP Code'!A1082)</f>
        <v>0</v>
      </c>
    </row>
    <row r="1083" spans="1:3" x14ac:dyDescent="0.25">
      <c r="A1083">
        <v>33802</v>
      </c>
      <c r="B1083" t="s">
        <v>888</v>
      </c>
      <c r="C1083">
        <f>COUNTIFS(Table24[Client ID '#],"&lt;&gt;",Table24[Residence Zip Code],'G - ZIP Code'!A1083)</f>
        <v>0</v>
      </c>
    </row>
    <row r="1084" spans="1:3" x14ac:dyDescent="0.25">
      <c r="A1084">
        <v>33803</v>
      </c>
      <c r="B1084" t="s">
        <v>888</v>
      </c>
      <c r="C1084">
        <f>COUNTIFS(Table24[Client ID '#],"&lt;&gt;",Table24[Residence Zip Code],'G - ZIP Code'!A1084)</f>
        <v>0</v>
      </c>
    </row>
    <row r="1085" spans="1:3" x14ac:dyDescent="0.25">
      <c r="A1085">
        <v>33804</v>
      </c>
      <c r="B1085" t="s">
        <v>888</v>
      </c>
      <c r="C1085">
        <f>COUNTIFS(Table24[Client ID '#],"&lt;&gt;",Table24[Residence Zip Code],'G - ZIP Code'!A1085)</f>
        <v>0</v>
      </c>
    </row>
    <row r="1086" spans="1:3" x14ac:dyDescent="0.25">
      <c r="A1086">
        <v>33805</v>
      </c>
      <c r="B1086" t="s">
        <v>888</v>
      </c>
      <c r="C1086">
        <f>COUNTIFS(Table24[Client ID '#],"&lt;&gt;",Table24[Residence Zip Code],'G - ZIP Code'!A1086)</f>
        <v>0</v>
      </c>
    </row>
    <row r="1087" spans="1:3" x14ac:dyDescent="0.25">
      <c r="A1087">
        <v>33806</v>
      </c>
      <c r="B1087" t="s">
        <v>888</v>
      </c>
      <c r="C1087">
        <f>COUNTIFS(Table24[Client ID '#],"&lt;&gt;",Table24[Residence Zip Code],'G - ZIP Code'!A1087)</f>
        <v>0</v>
      </c>
    </row>
    <row r="1088" spans="1:3" x14ac:dyDescent="0.25">
      <c r="A1088">
        <v>33807</v>
      </c>
      <c r="B1088" t="s">
        <v>888</v>
      </c>
      <c r="C1088">
        <f>COUNTIFS(Table24[Client ID '#],"&lt;&gt;",Table24[Residence Zip Code],'G - ZIP Code'!A1088)</f>
        <v>0</v>
      </c>
    </row>
    <row r="1089" spans="1:3" x14ac:dyDescent="0.25">
      <c r="A1089">
        <v>33809</v>
      </c>
      <c r="B1089" t="s">
        <v>888</v>
      </c>
      <c r="C1089">
        <f>COUNTIFS(Table24[Client ID '#],"&lt;&gt;",Table24[Residence Zip Code],'G - ZIP Code'!A1089)</f>
        <v>0</v>
      </c>
    </row>
    <row r="1090" spans="1:3" x14ac:dyDescent="0.25">
      <c r="A1090">
        <v>33810</v>
      </c>
      <c r="B1090" t="s">
        <v>888</v>
      </c>
      <c r="C1090">
        <f>COUNTIFS(Table24[Client ID '#],"&lt;&gt;",Table24[Residence Zip Code],'G - ZIP Code'!A1090)</f>
        <v>0</v>
      </c>
    </row>
    <row r="1091" spans="1:3" x14ac:dyDescent="0.25">
      <c r="A1091">
        <v>33811</v>
      </c>
      <c r="B1091" t="s">
        <v>888</v>
      </c>
      <c r="C1091">
        <f>COUNTIFS(Table24[Client ID '#],"&lt;&gt;",Table24[Residence Zip Code],'G - ZIP Code'!A1091)</f>
        <v>0</v>
      </c>
    </row>
    <row r="1092" spans="1:3" x14ac:dyDescent="0.25">
      <c r="A1092">
        <v>33812</v>
      </c>
      <c r="B1092" t="s">
        <v>888</v>
      </c>
      <c r="C1092">
        <f>COUNTIFS(Table24[Client ID '#],"&lt;&gt;",Table24[Residence Zip Code],'G - ZIP Code'!A1092)</f>
        <v>0</v>
      </c>
    </row>
    <row r="1093" spans="1:3" x14ac:dyDescent="0.25">
      <c r="A1093">
        <v>33813</v>
      </c>
      <c r="B1093" t="s">
        <v>888</v>
      </c>
      <c r="C1093">
        <f>COUNTIFS(Table24[Client ID '#],"&lt;&gt;",Table24[Residence Zip Code],'G - ZIP Code'!A1093)</f>
        <v>0</v>
      </c>
    </row>
    <row r="1094" spans="1:3" x14ac:dyDescent="0.25">
      <c r="A1094">
        <v>33815</v>
      </c>
      <c r="B1094" t="s">
        <v>888</v>
      </c>
      <c r="C1094">
        <f>COUNTIFS(Table24[Client ID '#],"&lt;&gt;",Table24[Residence Zip Code],'G - ZIP Code'!A1094)</f>
        <v>0</v>
      </c>
    </row>
    <row r="1095" spans="1:3" x14ac:dyDescent="0.25">
      <c r="A1095">
        <v>33820</v>
      </c>
      <c r="B1095" t="s">
        <v>888</v>
      </c>
      <c r="C1095">
        <f>COUNTIFS(Table24[Client ID '#],"&lt;&gt;",Table24[Residence Zip Code],'G - ZIP Code'!A1095)</f>
        <v>0</v>
      </c>
    </row>
    <row r="1096" spans="1:3" x14ac:dyDescent="0.25">
      <c r="A1096">
        <v>33823</v>
      </c>
      <c r="B1096" t="s">
        <v>888</v>
      </c>
      <c r="C1096">
        <f>COUNTIFS(Table24[Client ID '#],"&lt;&gt;",Table24[Residence Zip Code],'G - ZIP Code'!A1096)</f>
        <v>0</v>
      </c>
    </row>
    <row r="1097" spans="1:3" x14ac:dyDescent="0.25">
      <c r="A1097">
        <v>33825</v>
      </c>
      <c r="B1097" t="s">
        <v>888</v>
      </c>
      <c r="C1097">
        <f>COUNTIFS(Table24[Client ID '#],"&lt;&gt;",Table24[Residence Zip Code],'G - ZIP Code'!A1097)</f>
        <v>0</v>
      </c>
    </row>
    <row r="1098" spans="1:3" x14ac:dyDescent="0.25">
      <c r="A1098">
        <v>33826</v>
      </c>
      <c r="B1098" t="s">
        <v>888</v>
      </c>
      <c r="C1098">
        <f>COUNTIFS(Table24[Client ID '#],"&lt;&gt;",Table24[Residence Zip Code],'G - ZIP Code'!A1098)</f>
        <v>0</v>
      </c>
    </row>
    <row r="1099" spans="1:3" x14ac:dyDescent="0.25">
      <c r="A1099">
        <v>33827</v>
      </c>
      <c r="B1099" t="s">
        <v>888</v>
      </c>
      <c r="C1099">
        <f>COUNTIFS(Table24[Client ID '#],"&lt;&gt;",Table24[Residence Zip Code],'G - ZIP Code'!A1099)</f>
        <v>0</v>
      </c>
    </row>
    <row r="1100" spans="1:3" x14ac:dyDescent="0.25">
      <c r="A1100">
        <v>33830</v>
      </c>
      <c r="B1100" t="s">
        <v>888</v>
      </c>
      <c r="C1100">
        <f>COUNTIFS(Table24[Client ID '#],"&lt;&gt;",Table24[Residence Zip Code],'G - ZIP Code'!A1100)</f>
        <v>0</v>
      </c>
    </row>
    <row r="1101" spans="1:3" x14ac:dyDescent="0.25">
      <c r="A1101">
        <v>33831</v>
      </c>
      <c r="B1101" t="s">
        <v>888</v>
      </c>
      <c r="C1101">
        <f>COUNTIFS(Table24[Client ID '#],"&lt;&gt;",Table24[Residence Zip Code],'G - ZIP Code'!A1101)</f>
        <v>0</v>
      </c>
    </row>
    <row r="1102" spans="1:3" x14ac:dyDescent="0.25">
      <c r="A1102">
        <v>33834</v>
      </c>
      <c r="B1102" t="s">
        <v>888</v>
      </c>
      <c r="C1102">
        <f>COUNTIFS(Table24[Client ID '#],"&lt;&gt;",Table24[Residence Zip Code],'G - ZIP Code'!A1102)</f>
        <v>0</v>
      </c>
    </row>
    <row r="1103" spans="1:3" x14ac:dyDescent="0.25">
      <c r="A1103">
        <v>33835</v>
      </c>
      <c r="B1103" t="s">
        <v>888</v>
      </c>
      <c r="C1103">
        <f>COUNTIFS(Table24[Client ID '#],"&lt;&gt;",Table24[Residence Zip Code],'G - ZIP Code'!A1103)</f>
        <v>0</v>
      </c>
    </row>
    <row r="1104" spans="1:3" x14ac:dyDescent="0.25">
      <c r="A1104">
        <v>33836</v>
      </c>
      <c r="B1104" t="s">
        <v>888</v>
      </c>
      <c r="C1104">
        <f>COUNTIFS(Table24[Client ID '#],"&lt;&gt;",Table24[Residence Zip Code],'G - ZIP Code'!A1104)</f>
        <v>0</v>
      </c>
    </row>
    <row r="1105" spans="1:3" x14ac:dyDescent="0.25">
      <c r="A1105">
        <v>33837</v>
      </c>
      <c r="B1105" t="s">
        <v>888</v>
      </c>
      <c r="C1105">
        <f>COUNTIFS(Table24[Client ID '#],"&lt;&gt;",Table24[Residence Zip Code],'G - ZIP Code'!A1105)</f>
        <v>0</v>
      </c>
    </row>
    <row r="1106" spans="1:3" x14ac:dyDescent="0.25">
      <c r="A1106">
        <v>33838</v>
      </c>
      <c r="B1106" t="s">
        <v>888</v>
      </c>
      <c r="C1106">
        <f>COUNTIFS(Table24[Client ID '#],"&lt;&gt;",Table24[Residence Zip Code],'G - ZIP Code'!A1106)</f>
        <v>0</v>
      </c>
    </row>
    <row r="1107" spans="1:3" x14ac:dyDescent="0.25">
      <c r="A1107">
        <v>33839</v>
      </c>
      <c r="B1107" t="s">
        <v>888</v>
      </c>
      <c r="C1107">
        <f>COUNTIFS(Table24[Client ID '#],"&lt;&gt;",Table24[Residence Zip Code],'G - ZIP Code'!A1107)</f>
        <v>0</v>
      </c>
    </row>
    <row r="1108" spans="1:3" x14ac:dyDescent="0.25">
      <c r="A1108">
        <v>33840</v>
      </c>
      <c r="B1108" t="s">
        <v>888</v>
      </c>
      <c r="C1108">
        <f>COUNTIFS(Table24[Client ID '#],"&lt;&gt;",Table24[Residence Zip Code],'G - ZIP Code'!A1108)</f>
        <v>0</v>
      </c>
    </row>
    <row r="1109" spans="1:3" x14ac:dyDescent="0.25">
      <c r="A1109">
        <v>33841</v>
      </c>
      <c r="B1109" t="s">
        <v>888</v>
      </c>
      <c r="C1109">
        <f>COUNTIFS(Table24[Client ID '#],"&lt;&gt;",Table24[Residence Zip Code],'G - ZIP Code'!A1109)</f>
        <v>0</v>
      </c>
    </row>
    <row r="1110" spans="1:3" x14ac:dyDescent="0.25">
      <c r="A1110">
        <v>33843</v>
      </c>
      <c r="B1110" t="s">
        <v>888</v>
      </c>
      <c r="C1110">
        <f>COUNTIFS(Table24[Client ID '#],"&lt;&gt;",Table24[Residence Zip Code],'G - ZIP Code'!A1110)</f>
        <v>0</v>
      </c>
    </row>
    <row r="1111" spans="1:3" x14ac:dyDescent="0.25">
      <c r="A1111">
        <v>33844</v>
      </c>
      <c r="B1111" t="s">
        <v>888</v>
      </c>
      <c r="C1111">
        <f>COUNTIFS(Table24[Client ID '#],"&lt;&gt;",Table24[Residence Zip Code],'G - ZIP Code'!A1111)</f>
        <v>0</v>
      </c>
    </row>
    <row r="1112" spans="1:3" x14ac:dyDescent="0.25">
      <c r="A1112">
        <v>33845</v>
      </c>
      <c r="B1112" t="s">
        <v>888</v>
      </c>
      <c r="C1112">
        <f>COUNTIFS(Table24[Client ID '#],"&lt;&gt;",Table24[Residence Zip Code],'G - ZIP Code'!A1112)</f>
        <v>0</v>
      </c>
    </row>
    <row r="1113" spans="1:3" x14ac:dyDescent="0.25">
      <c r="A1113">
        <v>33846</v>
      </c>
      <c r="B1113" t="s">
        <v>888</v>
      </c>
      <c r="C1113">
        <f>COUNTIFS(Table24[Client ID '#],"&lt;&gt;",Table24[Residence Zip Code],'G - ZIP Code'!A1113)</f>
        <v>0</v>
      </c>
    </row>
    <row r="1114" spans="1:3" x14ac:dyDescent="0.25">
      <c r="A1114">
        <v>33847</v>
      </c>
      <c r="B1114" t="s">
        <v>888</v>
      </c>
      <c r="C1114">
        <f>COUNTIFS(Table24[Client ID '#],"&lt;&gt;",Table24[Residence Zip Code],'G - ZIP Code'!A1114)</f>
        <v>0</v>
      </c>
    </row>
    <row r="1115" spans="1:3" x14ac:dyDescent="0.25">
      <c r="A1115">
        <v>33848</v>
      </c>
      <c r="B1115" t="s">
        <v>888</v>
      </c>
      <c r="C1115">
        <f>COUNTIFS(Table24[Client ID '#],"&lt;&gt;",Table24[Residence Zip Code],'G - ZIP Code'!A1115)</f>
        <v>0</v>
      </c>
    </row>
    <row r="1116" spans="1:3" x14ac:dyDescent="0.25">
      <c r="A1116">
        <v>33849</v>
      </c>
      <c r="B1116" t="s">
        <v>888</v>
      </c>
      <c r="C1116">
        <f>COUNTIFS(Table24[Client ID '#],"&lt;&gt;",Table24[Residence Zip Code],'G - ZIP Code'!A1116)</f>
        <v>0</v>
      </c>
    </row>
    <row r="1117" spans="1:3" x14ac:dyDescent="0.25">
      <c r="A1117">
        <v>33850</v>
      </c>
      <c r="B1117" t="s">
        <v>888</v>
      </c>
      <c r="C1117">
        <f>COUNTIFS(Table24[Client ID '#],"&lt;&gt;",Table24[Residence Zip Code],'G - ZIP Code'!A1117)</f>
        <v>0</v>
      </c>
    </row>
    <row r="1118" spans="1:3" x14ac:dyDescent="0.25">
      <c r="A1118">
        <v>33851</v>
      </c>
      <c r="B1118" t="s">
        <v>888</v>
      </c>
      <c r="C1118">
        <f>COUNTIFS(Table24[Client ID '#],"&lt;&gt;",Table24[Residence Zip Code],'G - ZIP Code'!A1118)</f>
        <v>0</v>
      </c>
    </row>
    <row r="1119" spans="1:3" x14ac:dyDescent="0.25">
      <c r="A1119">
        <v>33852</v>
      </c>
      <c r="B1119" t="s">
        <v>888</v>
      </c>
      <c r="C1119">
        <f>COUNTIFS(Table24[Client ID '#],"&lt;&gt;",Table24[Residence Zip Code],'G - ZIP Code'!A1119)</f>
        <v>0</v>
      </c>
    </row>
    <row r="1120" spans="1:3" x14ac:dyDescent="0.25">
      <c r="A1120">
        <v>33853</v>
      </c>
      <c r="B1120" t="s">
        <v>888</v>
      </c>
      <c r="C1120">
        <f>COUNTIFS(Table24[Client ID '#],"&lt;&gt;",Table24[Residence Zip Code],'G - ZIP Code'!A1120)</f>
        <v>0</v>
      </c>
    </row>
    <row r="1121" spans="1:3" x14ac:dyDescent="0.25">
      <c r="A1121">
        <v>33854</v>
      </c>
      <c r="B1121" t="s">
        <v>888</v>
      </c>
      <c r="C1121">
        <f>COUNTIFS(Table24[Client ID '#],"&lt;&gt;",Table24[Residence Zip Code],'G - ZIP Code'!A1121)</f>
        <v>0</v>
      </c>
    </row>
    <row r="1122" spans="1:3" x14ac:dyDescent="0.25">
      <c r="A1122">
        <v>33855</v>
      </c>
      <c r="B1122" t="s">
        <v>888</v>
      </c>
      <c r="C1122">
        <f>COUNTIFS(Table24[Client ID '#],"&lt;&gt;",Table24[Residence Zip Code],'G - ZIP Code'!A1122)</f>
        <v>0</v>
      </c>
    </row>
    <row r="1123" spans="1:3" x14ac:dyDescent="0.25">
      <c r="A1123">
        <v>33856</v>
      </c>
      <c r="B1123" t="s">
        <v>888</v>
      </c>
      <c r="C1123">
        <f>COUNTIFS(Table24[Client ID '#],"&lt;&gt;",Table24[Residence Zip Code],'G - ZIP Code'!A1123)</f>
        <v>0</v>
      </c>
    </row>
    <row r="1124" spans="1:3" x14ac:dyDescent="0.25">
      <c r="A1124">
        <v>33857</v>
      </c>
      <c r="B1124" t="s">
        <v>888</v>
      </c>
      <c r="C1124">
        <f>COUNTIFS(Table24[Client ID '#],"&lt;&gt;",Table24[Residence Zip Code],'G - ZIP Code'!A1124)</f>
        <v>0</v>
      </c>
    </row>
    <row r="1125" spans="1:3" x14ac:dyDescent="0.25">
      <c r="A1125">
        <v>33858</v>
      </c>
      <c r="B1125" t="s">
        <v>888</v>
      </c>
      <c r="C1125">
        <f>COUNTIFS(Table24[Client ID '#],"&lt;&gt;",Table24[Residence Zip Code],'G - ZIP Code'!A1125)</f>
        <v>0</v>
      </c>
    </row>
    <row r="1126" spans="1:3" x14ac:dyDescent="0.25">
      <c r="A1126">
        <v>33859</v>
      </c>
      <c r="B1126" t="s">
        <v>888</v>
      </c>
      <c r="C1126">
        <f>COUNTIFS(Table24[Client ID '#],"&lt;&gt;",Table24[Residence Zip Code],'G - ZIP Code'!A1126)</f>
        <v>0</v>
      </c>
    </row>
    <row r="1127" spans="1:3" x14ac:dyDescent="0.25">
      <c r="A1127">
        <v>33860</v>
      </c>
      <c r="B1127" t="s">
        <v>888</v>
      </c>
      <c r="C1127">
        <f>COUNTIFS(Table24[Client ID '#],"&lt;&gt;",Table24[Residence Zip Code],'G - ZIP Code'!A1127)</f>
        <v>0</v>
      </c>
    </row>
    <row r="1128" spans="1:3" x14ac:dyDescent="0.25">
      <c r="A1128">
        <v>33862</v>
      </c>
      <c r="B1128" t="s">
        <v>888</v>
      </c>
      <c r="C1128">
        <f>COUNTIFS(Table24[Client ID '#],"&lt;&gt;",Table24[Residence Zip Code],'G - ZIP Code'!A1128)</f>
        <v>0</v>
      </c>
    </row>
    <row r="1129" spans="1:3" x14ac:dyDescent="0.25">
      <c r="A1129">
        <v>33863</v>
      </c>
      <c r="B1129" t="s">
        <v>888</v>
      </c>
      <c r="C1129">
        <f>COUNTIFS(Table24[Client ID '#],"&lt;&gt;",Table24[Residence Zip Code],'G - ZIP Code'!A1129)</f>
        <v>0</v>
      </c>
    </row>
    <row r="1130" spans="1:3" x14ac:dyDescent="0.25">
      <c r="A1130">
        <v>33865</v>
      </c>
      <c r="B1130" t="s">
        <v>888</v>
      </c>
      <c r="C1130">
        <f>COUNTIFS(Table24[Client ID '#],"&lt;&gt;",Table24[Residence Zip Code],'G - ZIP Code'!A1130)</f>
        <v>0</v>
      </c>
    </row>
    <row r="1131" spans="1:3" x14ac:dyDescent="0.25">
      <c r="A1131">
        <v>33867</v>
      </c>
      <c r="B1131" t="s">
        <v>888</v>
      </c>
      <c r="C1131">
        <f>COUNTIFS(Table24[Client ID '#],"&lt;&gt;",Table24[Residence Zip Code],'G - ZIP Code'!A1131)</f>
        <v>0</v>
      </c>
    </row>
    <row r="1132" spans="1:3" x14ac:dyDescent="0.25">
      <c r="A1132">
        <v>33868</v>
      </c>
      <c r="B1132" t="s">
        <v>888</v>
      </c>
      <c r="C1132">
        <f>COUNTIFS(Table24[Client ID '#],"&lt;&gt;",Table24[Residence Zip Code],'G - ZIP Code'!A1132)</f>
        <v>0</v>
      </c>
    </row>
    <row r="1133" spans="1:3" x14ac:dyDescent="0.25">
      <c r="A1133">
        <v>33870</v>
      </c>
      <c r="B1133" t="s">
        <v>888</v>
      </c>
      <c r="C1133">
        <f>COUNTIFS(Table24[Client ID '#],"&lt;&gt;",Table24[Residence Zip Code],'G - ZIP Code'!A1133)</f>
        <v>0</v>
      </c>
    </row>
    <row r="1134" spans="1:3" x14ac:dyDescent="0.25">
      <c r="A1134">
        <v>33871</v>
      </c>
      <c r="B1134" t="s">
        <v>888</v>
      </c>
      <c r="C1134">
        <f>COUNTIFS(Table24[Client ID '#],"&lt;&gt;",Table24[Residence Zip Code],'G - ZIP Code'!A1134)</f>
        <v>0</v>
      </c>
    </row>
    <row r="1135" spans="1:3" x14ac:dyDescent="0.25">
      <c r="A1135">
        <v>33872</v>
      </c>
      <c r="B1135" t="s">
        <v>888</v>
      </c>
      <c r="C1135">
        <f>COUNTIFS(Table24[Client ID '#],"&lt;&gt;",Table24[Residence Zip Code],'G - ZIP Code'!A1135)</f>
        <v>0</v>
      </c>
    </row>
    <row r="1136" spans="1:3" x14ac:dyDescent="0.25">
      <c r="A1136">
        <v>33873</v>
      </c>
      <c r="B1136" t="s">
        <v>888</v>
      </c>
      <c r="C1136">
        <f>COUNTIFS(Table24[Client ID '#],"&lt;&gt;",Table24[Residence Zip Code],'G - ZIP Code'!A1136)</f>
        <v>0</v>
      </c>
    </row>
    <row r="1137" spans="1:3" x14ac:dyDescent="0.25">
      <c r="A1137">
        <v>33875</v>
      </c>
      <c r="B1137" t="s">
        <v>888</v>
      </c>
      <c r="C1137">
        <f>COUNTIFS(Table24[Client ID '#],"&lt;&gt;",Table24[Residence Zip Code],'G - ZIP Code'!A1137)</f>
        <v>0</v>
      </c>
    </row>
    <row r="1138" spans="1:3" x14ac:dyDescent="0.25">
      <c r="A1138">
        <v>33876</v>
      </c>
      <c r="B1138" t="s">
        <v>888</v>
      </c>
      <c r="C1138">
        <f>COUNTIFS(Table24[Client ID '#],"&lt;&gt;",Table24[Residence Zip Code],'G - ZIP Code'!A1138)</f>
        <v>0</v>
      </c>
    </row>
    <row r="1139" spans="1:3" x14ac:dyDescent="0.25">
      <c r="A1139">
        <v>33877</v>
      </c>
      <c r="B1139" t="s">
        <v>888</v>
      </c>
      <c r="C1139">
        <f>COUNTIFS(Table24[Client ID '#],"&lt;&gt;",Table24[Residence Zip Code],'G - ZIP Code'!A1139)</f>
        <v>0</v>
      </c>
    </row>
    <row r="1140" spans="1:3" x14ac:dyDescent="0.25">
      <c r="A1140">
        <v>33880</v>
      </c>
      <c r="B1140" t="s">
        <v>888</v>
      </c>
      <c r="C1140">
        <f>COUNTIFS(Table24[Client ID '#],"&lt;&gt;",Table24[Residence Zip Code],'G - ZIP Code'!A1140)</f>
        <v>0</v>
      </c>
    </row>
    <row r="1141" spans="1:3" x14ac:dyDescent="0.25">
      <c r="A1141">
        <v>33881</v>
      </c>
      <c r="B1141" t="s">
        <v>888</v>
      </c>
      <c r="C1141">
        <f>COUNTIFS(Table24[Client ID '#],"&lt;&gt;",Table24[Residence Zip Code],'G - ZIP Code'!A1141)</f>
        <v>0</v>
      </c>
    </row>
    <row r="1142" spans="1:3" x14ac:dyDescent="0.25">
      <c r="A1142">
        <v>33882</v>
      </c>
      <c r="B1142" t="s">
        <v>888</v>
      </c>
      <c r="C1142">
        <f>COUNTIFS(Table24[Client ID '#],"&lt;&gt;",Table24[Residence Zip Code],'G - ZIP Code'!A1142)</f>
        <v>0</v>
      </c>
    </row>
    <row r="1143" spans="1:3" x14ac:dyDescent="0.25">
      <c r="A1143">
        <v>33883</v>
      </c>
      <c r="B1143" t="s">
        <v>888</v>
      </c>
      <c r="C1143">
        <f>COUNTIFS(Table24[Client ID '#],"&lt;&gt;",Table24[Residence Zip Code],'G - ZIP Code'!A1143)</f>
        <v>0</v>
      </c>
    </row>
    <row r="1144" spans="1:3" x14ac:dyDescent="0.25">
      <c r="A1144">
        <v>33884</v>
      </c>
      <c r="B1144" t="s">
        <v>888</v>
      </c>
      <c r="C1144">
        <f>COUNTIFS(Table24[Client ID '#],"&lt;&gt;",Table24[Residence Zip Code],'G - ZIP Code'!A1144)</f>
        <v>0</v>
      </c>
    </row>
    <row r="1145" spans="1:3" x14ac:dyDescent="0.25">
      <c r="A1145">
        <v>33885</v>
      </c>
      <c r="B1145" t="s">
        <v>888</v>
      </c>
      <c r="C1145">
        <f>COUNTIFS(Table24[Client ID '#],"&lt;&gt;",Table24[Residence Zip Code],'G - ZIP Code'!A1145)</f>
        <v>0</v>
      </c>
    </row>
    <row r="1146" spans="1:3" x14ac:dyDescent="0.25">
      <c r="A1146">
        <v>33888</v>
      </c>
      <c r="B1146" t="s">
        <v>888</v>
      </c>
      <c r="C1146">
        <f>COUNTIFS(Table24[Client ID '#],"&lt;&gt;",Table24[Residence Zip Code],'G - ZIP Code'!A1146)</f>
        <v>0</v>
      </c>
    </row>
    <row r="1147" spans="1:3" x14ac:dyDescent="0.25">
      <c r="A1147">
        <v>33890</v>
      </c>
      <c r="B1147" t="s">
        <v>888</v>
      </c>
      <c r="C1147">
        <f>COUNTIFS(Table24[Client ID '#],"&lt;&gt;",Table24[Residence Zip Code],'G - ZIP Code'!A1147)</f>
        <v>0</v>
      </c>
    </row>
    <row r="1148" spans="1:3" x14ac:dyDescent="0.25">
      <c r="A1148">
        <v>33896</v>
      </c>
      <c r="B1148" t="s">
        <v>888</v>
      </c>
      <c r="C1148">
        <f>COUNTIFS(Table24[Client ID '#],"&lt;&gt;",Table24[Residence Zip Code],'G - ZIP Code'!A1148)</f>
        <v>0</v>
      </c>
    </row>
    <row r="1149" spans="1:3" x14ac:dyDescent="0.25">
      <c r="A1149">
        <v>33897</v>
      </c>
      <c r="B1149" t="s">
        <v>888</v>
      </c>
      <c r="C1149">
        <f>COUNTIFS(Table24[Client ID '#],"&lt;&gt;",Table24[Residence Zip Code],'G - ZIP Code'!A1149)</f>
        <v>0</v>
      </c>
    </row>
    <row r="1150" spans="1:3" x14ac:dyDescent="0.25">
      <c r="A1150">
        <v>33898</v>
      </c>
      <c r="B1150" t="s">
        <v>888</v>
      </c>
      <c r="C1150">
        <f>COUNTIFS(Table24[Client ID '#],"&lt;&gt;",Table24[Residence Zip Code],'G - ZIP Code'!A1150)</f>
        <v>0</v>
      </c>
    </row>
    <row r="1151" spans="1:3" x14ac:dyDescent="0.25">
      <c r="A1151">
        <v>33901</v>
      </c>
      <c r="B1151" t="s">
        <v>888</v>
      </c>
      <c r="C1151">
        <f>COUNTIFS(Table24[Client ID '#],"&lt;&gt;",Table24[Residence Zip Code],'G - ZIP Code'!A1151)</f>
        <v>0</v>
      </c>
    </row>
    <row r="1152" spans="1:3" x14ac:dyDescent="0.25">
      <c r="A1152">
        <v>33902</v>
      </c>
      <c r="B1152" t="s">
        <v>888</v>
      </c>
      <c r="C1152">
        <f>COUNTIFS(Table24[Client ID '#],"&lt;&gt;",Table24[Residence Zip Code],'G - ZIP Code'!A1152)</f>
        <v>0</v>
      </c>
    </row>
    <row r="1153" spans="1:3" x14ac:dyDescent="0.25">
      <c r="A1153">
        <v>33903</v>
      </c>
      <c r="B1153" t="s">
        <v>888</v>
      </c>
      <c r="C1153">
        <f>COUNTIFS(Table24[Client ID '#],"&lt;&gt;",Table24[Residence Zip Code],'G - ZIP Code'!A1153)</f>
        <v>0</v>
      </c>
    </row>
    <row r="1154" spans="1:3" x14ac:dyDescent="0.25">
      <c r="A1154">
        <v>33904</v>
      </c>
      <c r="B1154" t="s">
        <v>888</v>
      </c>
      <c r="C1154">
        <f>COUNTIFS(Table24[Client ID '#],"&lt;&gt;",Table24[Residence Zip Code],'G - ZIP Code'!A1154)</f>
        <v>0</v>
      </c>
    </row>
    <row r="1155" spans="1:3" x14ac:dyDescent="0.25">
      <c r="A1155">
        <v>33905</v>
      </c>
      <c r="B1155" t="s">
        <v>888</v>
      </c>
      <c r="C1155">
        <f>COUNTIFS(Table24[Client ID '#],"&lt;&gt;",Table24[Residence Zip Code],'G - ZIP Code'!A1155)</f>
        <v>0</v>
      </c>
    </row>
    <row r="1156" spans="1:3" x14ac:dyDescent="0.25">
      <c r="A1156">
        <v>33906</v>
      </c>
      <c r="B1156" t="s">
        <v>888</v>
      </c>
      <c r="C1156">
        <f>COUNTIFS(Table24[Client ID '#],"&lt;&gt;",Table24[Residence Zip Code],'G - ZIP Code'!A1156)</f>
        <v>0</v>
      </c>
    </row>
    <row r="1157" spans="1:3" x14ac:dyDescent="0.25">
      <c r="A1157">
        <v>33907</v>
      </c>
      <c r="B1157" t="s">
        <v>888</v>
      </c>
      <c r="C1157">
        <f>COUNTIFS(Table24[Client ID '#],"&lt;&gt;",Table24[Residence Zip Code],'G - ZIP Code'!A1157)</f>
        <v>0</v>
      </c>
    </row>
    <row r="1158" spans="1:3" x14ac:dyDescent="0.25">
      <c r="A1158">
        <v>33908</v>
      </c>
      <c r="B1158" t="s">
        <v>888</v>
      </c>
      <c r="C1158">
        <f>COUNTIFS(Table24[Client ID '#],"&lt;&gt;",Table24[Residence Zip Code],'G - ZIP Code'!A1158)</f>
        <v>0</v>
      </c>
    </row>
    <row r="1159" spans="1:3" x14ac:dyDescent="0.25">
      <c r="A1159">
        <v>33909</v>
      </c>
      <c r="B1159" t="s">
        <v>888</v>
      </c>
      <c r="C1159">
        <f>COUNTIFS(Table24[Client ID '#],"&lt;&gt;",Table24[Residence Zip Code],'G - ZIP Code'!A1159)</f>
        <v>0</v>
      </c>
    </row>
    <row r="1160" spans="1:3" x14ac:dyDescent="0.25">
      <c r="A1160">
        <v>33910</v>
      </c>
      <c r="B1160" t="s">
        <v>888</v>
      </c>
      <c r="C1160">
        <f>COUNTIFS(Table24[Client ID '#],"&lt;&gt;",Table24[Residence Zip Code],'G - ZIP Code'!A1160)</f>
        <v>0</v>
      </c>
    </row>
    <row r="1161" spans="1:3" x14ac:dyDescent="0.25">
      <c r="A1161">
        <v>33911</v>
      </c>
      <c r="B1161" t="s">
        <v>888</v>
      </c>
      <c r="C1161">
        <f>COUNTIFS(Table24[Client ID '#],"&lt;&gt;",Table24[Residence Zip Code],'G - ZIP Code'!A1161)</f>
        <v>0</v>
      </c>
    </row>
    <row r="1162" spans="1:3" x14ac:dyDescent="0.25">
      <c r="A1162">
        <v>33912</v>
      </c>
      <c r="B1162" t="s">
        <v>888</v>
      </c>
      <c r="C1162">
        <f>COUNTIFS(Table24[Client ID '#],"&lt;&gt;",Table24[Residence Zip Code],'G - ZIP Code'!A1162)</f>
        <v>0</v>
      </c>
    </row>
    <row r="1163" spans="1:3" x14ac:dyDescent="0.25">
      <c r="A1163">
        <v>33913</v>
      </c>
      <c r="B1163" t="s">
        <v>888</v>
      </c>
      <c r="C1163">
        <f>COUNTIFS(Table24[Client ID '#],"&lt;&gt;",Table24[Residence Zip Code],'G - ZIP Code'!A1163)</f>
        <v>0</v>
      </c>
    </row>
    <row r="1164" spans="1:3" x14ac:dyDescent="0.25">
      <c r="A1164">
        <v>33914</v>
      </c>
      <c r="B1164" t="s">
        <v>888</v>
      </c>
      <c r="C1164">
        <f>COUNTIFS(Table24[Client ID '#],"&lt;&gt;",Table24[Residence Zip Code],'G - ZIP Code'!A1164)</f>
        <v>0</v>
      </c>
    </row>
    <row r="1165" spans="1:3" x14ac:dyDescent="0.25">
      <c r="A1165">
        <v>33915</v>
      </c>
      <c r="B1165" t="s">
        <v>888</v>
      </c>
      <c r="C1165">
        <f>COUNTIFS(Table24[Client ID '#],"&lt;&gt;",Table24[Residence Zip Code],'G - ZIP Code'!A1165)</f>
        <v>0</v>
      </c>
    </row>
    <row r="1166" spans="1:3" x14ac:dyDescent="0.25">
      <c r="A1166">
        <v>33916</v>
      </c>
      <c r="B1166" t="s">
        <v>888</v>
      </c>
      <c r="C1166">
        <f>COUNTIFS(Table24[Client ID '#],"&lt;&gt;",Table24[Residence Zip Code],'G - ZIP Code'!A1166)</f>
        <v>0</v>
      </c>
    </row>
    <row r="1167" spans="1:3" x14ac:dyDescent="0.25">
      <c r="A1167">
        <v>33917</v>
      </c>
      <c r="B1167" t="s">
        <v>888</v>
      </c>
      <c r="C1167">
        <f>COUNTIFS(Table24[Client ID '#],"&lt;&gt;",Table24[Residence Zip Code],'G - ZIP Code'!A1167)</f>
        <v>0</v>
      </c>
    </row>
    <row r="1168" spans="1:3" x14ac:dyDescent="0.25">
      <c r="A1168">
        <v>33918</v>
      </c>
      <c r="B1168" t="s">
        <v>888</v>
      </c>
      <c r="C1168">
        <f>COUNTIFS(Table24[Client ID '#],"&lt;&gt;",Table24[Residence Zip Code],'G - ZIP Code'!A1168)</f>
        <v>0</v>
      </c>
    </row>
    <row r="1169" spans="1:3" x14ac:dyDescent="0.25">
      <c r="A1169">
        <v>33919</v>
      </c>
      <c r="B1169" t="s">
        <v>888</v>
      </c>
      <c r="C1169">
        <f>COUNTIFS(Table24[Client ID '#],"&lt;&gt;",Table24[Residence Zip Code],'G - ZIP Code'!A1169)</f>
        <v>0</v>
      </c>
    </row>
    <row r="1170" spans="1:3" x14ac:dyDescent="0.25">
      <c r="A1170">
        <v>33920</v>
      </c>
      <c r="B1170" t="s">
        <v>888</v>
      </c>
      <c r="C1170">
        <f>COUNTIFS(Table24[Client ID '#],"&lt;&gt;",Table24[Residence Zip Code],'G - ZIP Code'!A1170)</f>
        <v>0</v>
      </c>
    </row>
    <row r="1171" spans="1:3" x14ac:dyDescent="0.25">
      <c r="A1171">
        <v>33921</v>
      </c>
      <c r="B1171" t="s">
        <v>888</v>
      </c>
      <c r="C1171">
        <f>COUNTIFS(Table24[Client ID '#],"&lt;&gt;",Table24[Residence Zip Code],'G - ZIP Code'!A1171)</f>
        <v>0</v>
      </c>
    </row>
    <row r="1172" spans="1:3" x14ac:dyDescent="0.25">
      <c r="A1172">
        <v>33922</v>
      </c>
      <c r="B1172" t="s">
        <v>888</v>
      </c>
      <c r="C1172">
        <f>COUNTIFS(Table24[Client ID '#],"&lt;&gt;",Table24[Residence Zip Code],'G - ZIP Code'!A1172)</f>
        <v>0</v>
      </c>
    </row>
    <row r="1173" spans="1:3" x14ac:dyDescent="0.25">
      <c r="A1173">
        <v>33924</v>
      </c>
      <c r="B1173" t="s">
        <v>888</v>
      </c>
      <c r="C1173">
        <f>COUNTIFS(Table24[Client ID '#],"&lt;&gt;",Table24[Residence Zip Code],'G - ZIP Code'!A1173)</f>
        <v>0</v>
      </c>
    </row>
    <row r="1174" spans="1:3" x14ac:dyDescent="0.25">
      <c r="A1174">
        <v>33927</v>
      </c>
      <c r="B1174" t="s">
        <v>888</v>
      </c>
      <c r="C1174">
        <f>COUNTIFS(Table24[Client ID '#],"&lt;&gt;",Table24[Residence Zip Code],'G - ZIP Code'!A1174)</f>
        <v>0</v>
      </c>
    </row>
    <row r="1175" spans="1:3" x14ac:dyDescent="0.25">
      <c r="A1175">
        <v>33928</v>
      </c>
      <c r="B1175" t="s">
        <v>888</v>
      </c>
      <c r="C1175">
        <f>COUNTIFS(Table24[Client ID '#],"&lt;&gt;",Table24[Residence Zip Code],'G - ZIP Code'!A1175)</f>
        <v>0</v>
      </c>
    </row>
    <row r="1176" spans="1:3" x14ac:dyDescent="0.25">
      <c r="A1176">
        <v>33930</v>
      </c>
      <c r="B1176" t="s">
        <v>888</v>
      </c>
      <c r="C1176">
        <f>COUNTIFS(Table24[Client ID '#],"&lt;&gt;",Table24[Residence Zip Code],'G - ZIP Code'!A1176)</f>
        <v>0</v>
      </c>
    </row>
    <row r="1177" spans="1:3" x14ac:dyDescent="0.25">
      <c r="A1177">
        <v>33931</v>
      </c>
      <c r="B1177" t="s">
        <v>888</v>
      </c>
      <c r="C1177">
        <f>COUNTIFS(Table24[Client ID '#],"&lt;&gt;",Table24[Residence Zip Code],'G - ZIP Code'!A1177)</f>
        <v>0</v>
      </c>
    </row>
    <row r="1178" spans="1:3" x14ac:dyDescent="0.25">
      <c r="A1178">
        <v>33932</v>
      </c>
      <c r="B1178" t="s">
        <v>888</v>
      </c>
      <c r="C1178">
        <f>COUNTIFS(Table24[Client ID '#],"&lt;&gt;",Table24[Residence Zip Code],'G - ZIP Code'!A1178)</f>
        <v>0</v>
      </c>
    </row>
    <row r="1179" spans="1:3" x14ac:dyDescent="0.25">
      <c r="A1179">
        <v>33935</v>
      </c>
      <c r="B1179" t="s">
        <v>888</v>
      </c>
      <c r="C1179">
        <f>COUNTIFS(Table24[Client ID '#],"&lt;&gt;",Table24[Residence Zip Code],'G - ZIP Code'!A1179)</f>
        <v>0</v>
      </c>
    </row>
    <row r="1180" spans="1:3" x14ac:dyDescent="0.25">
      <c r="A1180">
        <v>33936</v>
      </c>
      <c r="B1180" t="s">
        <v>888</v>
      </c>
      <c r="C1180">
        <f>COUNTIFS(Table24[Client ID '#],"&lt;&gt;",Table24[Residence Zip Code],'G - ZIP Code'!A1180)</f>
        <v>0</v>
      </c>
    </row>
    <row r="1181" spans="1:3" x14ac:dyDescent="0.25">
      <c r="A1181">
        <v>33938</v>
      </c>
      <c r="B1181" t="s">
        <v>888</v>
      </c>
      <c r="C1181">
        <f>COUNTIFS(Table24[Client ID '#],"&lt;&gt;",Table24[Residence Zip Code],'G - ZIP Code'!A1181)</f>
        <v>0</v>
      </c>
    </row>
    <row r="1182" spans="1:3" x14ac:dyDescent="0.25">
      <c r="A1182">
        <v>33944</v>
      </c>
      <c r="B1182" t="s">
        <v>888</v>
      </c>
      <c r="C1182">
        <f>COUNTIFS(Table24[Client ID '#],"&lt;&gt;",Table24[Residence Zip Code],'G - ZIP Code'!A1182)</f>
        <v>0</v>
      </c>
    </row>
    <row r="1183" spans="1:3" x14ac:dyDescent="0.25">
      <c r="A1183">
        <v>33945</v>
      </c>
      <c r="B1183" t="s">
        <v>888</v>
      </c>
      <c r="C1183">
        <f>COUNTIFS(Table24[Client ID '#],"&lt;&gt;",Table24[Residence Zip Code],'G - ZIP Code'!A1183)</f>
        <v>0</v>
      </c>
    </row>
    <row r="1184" spans="1:3" x14ac:dyDescent="0.25">
      <c r="A1184">
        <v>33946</v>
      </c>
      <c r="B1184" t="s">
        <v>888</v>
      </c>
      <c r="C1184">
        <f>COUNTIFS(Table24[Client ID '#],"&lt;&gt;",Table24[Residence Zip Code],'G - ZIP Code'!A1184)</f>
        <v>0</v>
      </c>
    </row>
    <row r="1185" spans="1:3" x14ac:dyDescent="0.25">
      <c r="A1185">
        <v>33947</v>
      </c>
      <c r="B1185" t="s">
        <v>888</v>
      </c>
      <c r="C1185">
        <f>COUNTIFS(Table24[Client ID '#],"&lt;&gt;",Table24[Residence Zip Code],'G - ZIP Code'!A1185)</f>
        <v>0</v>
      </c>
    </row>
    <row r="1186" spans="1:3" x14ac:dyDescent="0.25">
      <c r="A1186">
        <v>33948</v>
      </c>
      <c r="B1186" t="s">
        <v>888</v>
      </c>
      <c r="C1186">
        <f>COUNTIFS(Table24[Client ID '#],"&lt;&gt;",Table24[Residence Zip Code],'G - ZIP Code'!A1186)</f>
        <v>0</v>
      </c>
    </row>
    <row r="1187" spans="1:3" x14ac:dyDescent="0.25">
      <c r="A1187">
        <v>33949</v>
      </c>
      <c r="B1187" t="s">
        <v>888</v>
      </c>
      <c r="C1187">
        <f>COUNTIFS(Table24[Client ID '#],"&lt;&gt;",Table24[Residence Zip Code],'G - ZIP Code'!A1187)</f>
        <v>0</v>
      </c>
    </row>
    <row r="1188" spans="1:3" x14ac:dyDescent="0.25">
      <c r="A1188">
        <v>33950</v>
      </c>
      <c r="B1188" t="s">
        <v>888</v>
      </c>
      <c r="C1188">
        <f>COUNTIFS(Table24[Client ID '#],"&lt;&gt;",Table24[Residence Zip Code],'G - ZIP Code'!A1188)</f>
        <v>0</v>
      </c>
    </row>
    <row r="1189" spans="1:3" x14ac:dyDescent="0.25">
      <c r="A1189">
        <v>33951</v>
      </c>
      <c r="B1189" t="s">
        <v>888</v>
      </c>
      <c r="C1189">
        <f>COUNTIFS(Table24[Client ID '#],"&lt;&gt;",Table24[Residence Zip Code],'G - ZIP Code'!A1189)</f>
        <v>0</v>
      </c>
    </row>
    <row r="1190" spans="1:3" x14ac:dyDescent="0.25">
      <c r="A1190">
        <v>33952</v>
      </c>
      <c r="B1190" t="s">
        <v>888</v>
      </c>
      <c r="C1190">
        <f>COUNTIFS(Table24[Client ID '#],"&lt;&gt;",Table24[Residence Zip Code],'G - ZIP Code'!A1190)</f>
        <v>0</v>
      </c>
    </row>
    <row r="1191" spans="1:3" x14ac:dyDescent="0.25">
      <c r="A1191">
        <v>33953</v>
      </c>
      <c r="B1191" t="s">
        <v>888</v>
      </c>
      <c r="C1191">
        <f>COUNTIFS(Table24[Client ID '#],"&lt;&gt;",Table24[Residence Zip Code],'G - ZIP Code'!A1191)</f>
        <v>0</v>
      </c>
    </row>
    <row r="1192" spans="1:3" x14ac:dyDescent="0.25">
      <c r="A1192">
        <v>33954</v>
      </c>
      <c r="B1192" t="s">
        <v>888</v>
      </c>
      <c r="C1192">
        <f>COUNTIFS(Table24[Client ID '#],"&lt;&gt;",Table24[Residence Zip Code],'G - ZIP Code'!A1192)</f>
        <v>0</v>
      </c>
    </row>
    <row r="1193" spans="1:3" x14ac:dyDescent="0.25">
      <c r="A1193">
        <v>33955</v>
      </c>
      <c r="B1193" t="s">
        <v>888</v>
      </c>
      <c r="C1193">
        <f>COUNTIFS(Table24[Client ID '#],"&lt;&gt;",Table24[Residence Zip Code],'G - ZIP Code'!A1193)</f>
        <v>0</v>
      </c>
    </row>
    <row r="1194" spans="1:3" x14ac:dyDescent="0.25">
      <c r="A1194">
        <v>33956</v>
      </c>
      <c r="B1194" t="s">
        <v>888</v>
      </c>
      <c r="C1194">
        <f>COUNTIFS(Table24[Client ID '#],"&lt;&gt;",Table24[Residence Zip Code],'G - ZIP Code'!A1194)</f>
        <v>0</v>
      </c>
    </row>
    <row r="1195" spans="1:3" x14ac:dyDescent="0.25">
      <c r="A1195">
        <v>33957</v>
      </c>
      <c r="B1195" t="s">
        <v>888</v>
      </c>
      <c r="C1195">
        <f>COUNTIFS(Table24[Client ID '#],"&lt;&gt;",Table24[Residence Zip Code],'G - ZIP Code'!A1195)</f>
        <v>0</v>
      </c>
    </row>
    <row r="1196" spans="1:3" x14ac:dyDescent="0.25">
      <c r="A1196">
        <v>33960</v>
      </c>
      <c r="B1196" t="s">
        <v>888</v>
      </c>
      <c r="C1196">
        <f>COUNTIFS(Table24[Client ID '#],"&lt;&gt;",Table24[Residence Zip Code],'G - ZIP Code'!A1196)</f>
        <v>0</v>
      </c>
    </row>
    <row r="1197" spans="1:3" x14ac:dyDescent="0.25">
      <c r="A1197">
        <v>33965</v>
      </c>
      <c r="B1197" t="s">
        <v>888</v>
      </c>
      <c r="C1197">
        <f>COUNTIFS(Table24[Client ID '#],"&lt;&gt;",Table24[Residence Zip Code],'G - ZIP Code'!A1197)</f>
        <v>0</v>
      </c>
    </row>
    <row r="1198" spans="1:3" x14ac:dyDescent="0.25">
      <c r="A1198">
        <v>33966</v>
      </c>
      <c r="B1198" t="s">
        <v>888</v>
      </c>
      <c r="C1198">
        <f>COUNTIFS(Table24[Client ID '#],"&lt;&gt;",Table24[Residence Zip Code],'G - ZIP Code'!A1198)</f>
        <v>0</v>
      </c>
    </row>
    <row r="1199" spans="1:3" x14ac:dyDescent="0.25">
      <c r="A1199">
        <v>33967</v>
      </c>
      <c r="B1199" t="s">
        <v>888</v>
      </c>
      <c r="C1199">
        <f>COUNTIFS(Table24[Client ID '#],"&lt;&gt;",Table24[Residence Zip Code],'G - ZIP Code'!A1199)</f>
        <v>0</v>
      </c>
    </row>
    <row r="1200" spans="1:3" x14ac:dyDescent="0.25">
      <c r="A1200">
        <v>33970</v>
      </c>
      <c r="B1200" t="s">
        <v>888</v>
      </c>
      <c r="C1200">
        <f>COUNTIFS(Table24[Client ID '#],"&lt;&gt;",Table24[Residence Zip Code],'G - ZIP Code'!A1200)</f>
        <v>0</v>
      </c>
    </row>
    <row r="1201" spans="1:3" x14ac:dyDescent="0.25">
      <c r="A1201">
        <v>33971</v>
      </c>
      <c r="B1201" t="s">
        <v>888</v>
      </c>
      <c r="C1201">
        <f>COUNTIFS(Table24[Client ID '#],"&lt;&gt;",Table24[Residence Zip Code],'G - ZIP Code'!A1201)</f>
        <v>0</v>
      </c>
    </row>
    <row r="1202" spans="1:3" x14ac:dyDescent="0.25">
      <c r="A1202">
        <v>33972</v>
      </c>
      <c r="B1202" t="s">
        <v>888</v>
      </c>
      <c r="C1202">
        <f>COUNTIFS(Table24[Client ID '#],"&lt;&gt;",Table24[Residence Zip Code],'G - ZIP Code'!A1202)</f>
        <v>0</v>
      </c>
    </row>
    <row r="1203" spans="1:3" x14ac:dyDescent="0.25">
      <c r="A1203">
        <v>33975</v>
      </c>
      <c r="B1203" t="s">
        <v>888</v>
      </c>
      <c r="C1203">
        <f>COUNTIFS(Table24[Client ID '#],"&lt;&gt;",Table24[Residence Zip Code],'G - ZIP Code'!A1203)</f>
        <v>0</v>
      </c>
    </row>
    <row r="1204" spans="1:3" x14ac:dyDescent="0.25">
      <c r="A1204">
        <v>33980</v>
      </c>
      <c r="B1204" t="s">
        <v>888</v>
      </c>
      <c r="C1204">
        <f>COUNTIFS(Table24[Client ID '#],"&lt;&gt;",Table24[Residence Zip Code],'G - ZIP Code'!A1204)</f>
        <v>0</v>
      </c>
    </row>
    <row r="1205" spans="1:3" x14ac:dyDescent="0.25">
      <c r="A1205">
        <v>33981</v>
      </c>
      <c r="B1205" t="s">
        <v>888</v>
      </c>
      <c r="C1205">
        <f>COUNTIFS(Table24[Client ID '#],"&lt;&gt;",Table24[Residence Zip Code],'G - ZIP Code'!A1205)</f>
        <v>0</v>
      </c>
    </row>
    <row r="1206" spans="1:3" x14ac:dyDescent="0.25">
      <c r="A1206">
        <v>33982</v>
      </c>
      <c r="B1206" t="s">
        <v>888</v>
      </c>
      <c r="C1206">
        <f>COUNTIFS(Table24[Client ID '#],"&lt;&gt;",Table24[Residence Zip Code],'G - ZIP Code'!A1206)</f>
        <v>0</v>
      </c>
    </row>
    <row r="1207" spans="1:3" x14ac:dyDescent="0.25">
      <c r="A1207">
        <v>33983</v>
      </c>
      <c r="B1207" t="s">
        <v>888</v>
      </c>
      <c r="C1207">
        <f>COUNTIFS(Table24[Client ID '#],"&lt;&gt;",Table24[Residence Zip Code],'G - ZIP Code'!A1207)</f>
        <v>0</v>
      </c>
    </row>
    <row r="1208" spans="1:3" x14ac:dyDescent="0.25">
      <c r="A1208">
        <v>33990</v>
      </c>
      <c r="B1208" t="s">
        <v>888</v>
      </c>
      <c r="C1208">
        <f>COUNTIFS(Table24[Client ID '#],"&lt;&gt;",Table24[Residence Zip Code],'G - ZIP Code'!A1208)</f>
        <v>0</v>
      </c>
    </row>
    <row r="1209" spans="1:3" x14ac:dyDescent="0.25">
      <c r="A1209">
        <v>33991</v>
      </c>
      <c r="B1209" t="s">
        <v>888</v>
      </c>
      <c r="C1209">
        <f>COUNTIFS(Table24[Client ID '#],"&lt;&gt;",Table24[Residence Zip Code],'G - ZIP Code'!A1209)</f>
        <v>0</v>
      </c>
    </row>
    <row r="1210" spans="1:3" x14ac:dyDescent="0.25">
      <c r="A1210">
        <v>33993</v>
      </c>
      <c r="B1210" t="s">
        <v>888</v>
      </c>
      <c r="C1210">
        <f>COUNTIFS(Table24[Client ID '#],"&lt;&gt;",Table24[Residence Zip Code],'G - ZIP Code'!A1210)</f>
        <v>0</v>
      </c>
    </row>
    <row r="1211" spans="1:3" x14ac:dyDescent="0.25">
      <c r="A1211">
        <v>33994</v>
      </c>
      <c r="B1211" t="s">
        <v>888</v>
      </c>
      <c r="C1211">
        <f>COUNTIFS(Table24[Client ID '#],"&lt;&gt;",Table24[Residence Zip Code],'G - ZIP Code'!A1211)</f>
        <v>0</v>
      </c>
    </row>
    <row r="1212" spans="1:3" x14ac:dyDescent="0.25">
      <c r="A1212">
        <v>34101</v>
      </c>
      <c r="B1212" t="s">
        <v>888</v>
      </c>
      <c r="C1212">
        <f>COUNTIFS(Table24[Client ID '#],"&lt;&gt;",Table24[Residence Zip Code],'G - ZIP Code'!A1212)</f>
        <v>0</v>
      </c>
    </row>
    <row r="1213" spans="1:3" x14ac:dyDescent="0.25">
      <c r="A1213">
        <v>34102</v>
      </c>
      <c r="B1213" t="s">
        <v>888</v>
      </c>
      <c r="C1213">
        <f>COUNTIFS(Table24[Client ID '#],"&lt;&gt;",Table24[Residence Zip Code],'G - ZIP Code'!A1213)</f>
        <v>0</v>
      </c>
    </row>
    <row r="1214" spans="1:3" x14ac:dyDescent="0.25">
      <c r="A1214">
        <v>34103</v>
      </c>
      <c r="B1214" t="s">
        <v>888</v>
      </c>
      <c r="C1214">
        <f>COUNTIFS(Table24[Client ID '#],"&lt;&gt;",Table24[Residence Zip Code],'G - ZIP Code'!A1214)</f>
        <v>0</v>
      </c>
    </row>
    <row r="1215" spans="1:3" x14ac:dyDescent="0.25">
      <c r="A1215">
        <v>34104</v>
      </c>
      <c r="B1215" t="s">
        <v>888</v>
      </c>
      <c r="C1215">
        <f>COUNTIFS(Table24[Client ID '#],"&lt;&gt;",Table24[Residence Zip Code],'G - ZIP Code'!A1215)</f>
        <v>0</v>
      </c>
    </row>
    <row r="1216" spans="1:3" x14ac:dyDescent="0.25">
      <c r="A1216">
        <v>34105</v>
      </c>
      <c r="B1216" t="s">
        <v>888</v>
      </c>
      <c r="C1216">
        <f>COUNTIFS(Table24[Client ID '#],"&lt;&gt;",Table24[Residence Zip Code],'G - ZIP Code'!A1216)</f>
        <v>0</v>
      </c>
    </row>
    <row r="1217" spans="1:3" x14ac:dyDescent="0.25">
      <c r="A1217">
        <v>34106</v>
      </c>
      <c r="B1217" t="s">
        <v>888</v>
      </c>
      <c r="C1217">
        <f>COUNTIFS(Table24[Client ID '#],"&lt;&gt;",Table24[Residence Zip Code],'G - ZIP Code'!A1217)</f>
        <v>0</v>
      </c>
    </row>
    <row r="1218" spans="1:3" x14ac:dyDescent="0.25">
      <c r="A1218">
        <v>34107</v>
      </c>
      <c r="B1218" t="s">
        <v>888</v>
      </c>
      <c r="C1218">
        <f>COUNTIFS(Table24[Client ID '#],"&lt;&gt;",Table24[Residence Zip Code],'G - ZIP Code'!A1218)</f>
        <v>0</v>
      </c>
    </row>
    <row r="1219" spans="1:3" x14ac:dyDescent="0.25">
      <c r="A1219">
        <v>34108</v>
      </c>
      <c r="B1219" t="s">
        <v>888</v>
      </c>
      <c r="C1219">
        <f>COUNTIFS(Table24[Client ID '#],"&lt;&gt;",Table24[Residence Zip Code],'G - ZIP Code'!A1219)</f>
        <v>0</v>
      </c>
    </row>
    <row r="1220" spans="1:3" x14ac:dyDescent="0.25">
      <c r="A1220">
        <v>34109</v>
      </c>
      <c r="B1220" t="s">
        <v>888</v>
      </c>
      <c r="C1220">
        <f>COUNTIFS(Table24[Client ID '#],"&lt;&gt;",Table24[Residence Zip Code],'G - ZIP Code'!A1220)</f>
        <v>0</v>
      </c>
    </row>
    <row r="1221" spans="1:3" x14ac:dyDescent="0.25">
      <c r="A1221">
        <v>34110</v>
      </c>
      <c r="B1221" t="s">
        <v>888</v>
      </c>
      <c r="C1221">
        <f>COUNTIFS(Table24[Client ID '#],"&lt;&gt;",Table24[Residence Zip Code],'G - ZIP Code'!A1221)</f>
        <v>0</v>
      </c>
    </row>
    <row r="1222" spans="1:3" x14ac:dyDescent="0.25">
      <c r="A1222">
        <v>34112</v>
      </c>
      <c r="B1222" t="s">
        <v>888</v>
      </c>
      <c r="C1222">
        <f>COUNTIFS(Table24[Client ID '#],"&lt;&gt;",Table24[Residence Zip Code],'G - ZIP Code'!A1222)</f>
        <v>0</v>
      </c>
    </row>
    <row r="1223" spans="1:3" x14ac:dyDescent="0.25">
      <c r="A1223">
        <v>34113</v>
      </c>
      <c r="B1223" t="s">
        <v>888</v>
      </c>
      <c r="C1223">
        <f>COUNTIFS(Table24[Client ID '#],"&lt;&gt;",Table24[Residence Zip Code],'G - ZIP Code'!A1223)</f>
        <v>0</v>
      </c>
    </row>
    <row r="1224" spans="1:3" x14ac:dyDescent="0.25">
      <c r="A1224">
        <v>34114</v>
      </c>
      <c r="B1224" t="s">
        <v>888</v>
      </c>
      <c r="C1224">
        <f>COUNTIFS(Table24[Client ID '#],"&lt;&gt;",Table24[Residence Zip Code],'G - ZIP Code'!A1224)</f>
        <v>0</v>
      </c>
    </row>
    <row r="1225" spans="1:3" x14ac:dyDescent="0.25">
      <c r="A1225">
        <v>34116</v>
      </c>
      <c r="B1225" t="s">
        <v>888</v>
      </c>
      <c r="C1225">
        <f>COUNTIFS(Table24[Client ID '#],"&lt;&gt;",Table24[Residence Zip Code],'G - ZIP Code'!A1225)</f>
        <v>0</v>
      </c>
    </row>
    <row r="1226" spans="1:3" x14ac:dyDescent="0.25">
      <c r="A1226">
        <v>34117</v>
      </c>
      <c r="B1226" t="s">
        <v>888</v>
      </c>
      <c r="C1226">
        <f>COUNTIFS(Table24[Client ID '#],"&lt;&gt;",Table24[Residence Zip Code],'G - ZIP Code'!A1226)</f>
        <v>0</v>
      </c>
    </row>
    <row r="1227" spans="1:3" x14ac:dyDescent="0.25">
      <c r="A1227">
        <v>34119</v>
      </c>
      <c r="B1227" t="s">
        <v>888</v>
      </c>
      <c r="C1227">
        <f>COUNTIFS(Table24[Client ID '#],"&lt;&gt;",Table24[Residence Zip Code],'G - ZIP Code'!A1227)</f>
        <v>0</v>
      </c>
    </row>
    <row r="1228" spans="1:3" x14ac:dyDescent="0.25">
      <c r="A1228">
        <v>34120</v>
      </c>
      <c r="B1228" t="s">
        <v>888</v>
      </c>
      <c r="C1228">
        <f>COUNTIFS(Table24[Client ID '#],"&lt;&gt;",Table24[Residence Zip Code],'G - ZIP Code'!A1228)</f>
        <v>0</v>
      </c>
    </row>
    <row r="1229" spans="1:3" x14ac:dyDescent="0.25">
      <c r="A1229">
        <v>34133</v>
      </c>
      <c r="B1229" t="s">
        <v>888</v>
      </c>
      <c r="C1229">
        <f>COUNTIFS(Table24[Client ID '#],"&lt;&gt;",Table24[Residence Zip Code],'G - ZIP Code'!A1229)</f>
        <v>0</v>
      </c>
    </row>
    <row r="1230" spans="1:3" x14ac:dyDescent="0.25">
      <c r="A1230">
        <v>34134</v>
      </c>
      <c r="B1230" t="s">
        <v>888</v>
      </c>
      <c r="C1230">
        <f>COUNTIFS(Table24[Client ID '#],"&lt;&gt;",Table24[Residence Zip Code],'G - ZIP Code'!A1230)</f>
        <v>0</v>
      </c>
    </row>
    <row r="1231" spans="1:3" x14ac:dyDescent="0.25">
      <c r="A1231">
        <v>34135</v>
      </c>
      <c r="B1231" t="s">
        <v>888</v>
      </c>
      <c r="C1231">
        <f>COUNTIFS(Table24[Client ID '#],"&lt;&gt;",Table24[Residence Zip Code],'G - ZIP Code'!A1231)</f>
        <v>0</v>
      </c>
    </row>
    <row r="1232" spans="1:3" x14ac:dyDescent="0.25">
      <c r="A1232">
        <v>34136</v>
      </c>
      <c r="B1232" t="s">
        <v>888</v>
      </c>
      <c r="C1232">
        <f>COUNTIFS(Table24[Client ID '#],"&lt;&gt;",Table24[Residence Zip Code],'G - ZIP Code'!A1232)</f>
        <v>0</v>
      </c>
    </row>
    <row r="1233" spans="1:3" x14ac:dyDescent="0.25">
      <c r="A1233">
        <v>34137</v>
      </c>
      <c r="B1233" t="s">
        <v>888</v>
      </c>
      <c r="C1233">
        <f>COUNTIFS(Table24[Client ID '#],"&lt;&gt;",Table24[Residence Zip Code],'G - ZIP Code'!A1233)</f>
        <v>0</v>
      </c>
    </row>
    <row r="1234" spans="1:3" x14ac:dyDescent="0.25">
      <c r="A1234">
        <v>34138</v>
      </c>
      <c r="B1234" t="s">
        <v>888</v>
      </c>
      <c r="C1234">
        <f>COUNTIFS(Table24[Client ID '#],"&lt;&gt;",Table24[Residence Zip Code],'G - ZIP Code'!A1234)</f>
        <v>0</v>
      </c>
    </row>
    <row r="1235" spans="1:3" x14ac:dyDescent="0.25">
      <c r="A1235">
        <v>34139</v>
      </c>
      <c r="B1235" t="s">
        <v>888</v>
      </c>
      <c r="C1235">
        <f>COUNTIFS(Table24[Client ID '#],"&lt;&gt;",Table24[Residence Zip Code],'G - ZIP Code'!A1235)</f>
        <v>0</v>
      </c>
    </row>
    <row r="1236" spans="1:3" x14ac:dyDescent="0.25">
      <c r="A1236">
        <v>34140</v>
      </c>
      <c r="B1236" t="s">
        <v>888</v>
      </c>
      <c r="C1236">
        <f>COUNTIFS(Table24[Client ID '#],"&lt;&gt;",Table24[Residence Zip Code],'G - ZIP Code'!A1236)</f>
        <v>0</v>
      </c>
    </row>
    <row r="1237" spans="1:3" x14ac:dyDescent="0.25">
      <c r="A1237">
        <v>34141</v>
      </c>
      <c r="B1237" t="s">
        <v>888</v>
      </c>
      <c r="C1237">
        <f>COUNTIFS(Table24[Client ID '#],"&lt;&gt;",Table24[Residence Zip Code],'G - ZIP Code'!A1237)</f>
        <v>0</v>
      </c>
    </row>
    <row r="1238" spans="1:3" x14ac:dyDescent="0.25">
      <c r="A1238">
        <v>34142</v>
      </c>
      <c r="B1238" t="s">
        <v>888</v>
      </c>
      <c r="C1238">
        <f>COUNTIFS(Table24[Client ID '#],"&lt;&gt;",Table24[Residence Zip Code],'G - ZIP Code'!A1238)</f>
        <v>0</v>
      </c>
    </row>
    <row r="1239" spans="1:3" x14ac:dyDescent="0.25">
      <c r="A1239">
        <v>34143</v>
      </c>
      <c r="B1239" t="s">
        <v>888</v>
      </c>
      <c r="C1239">
        <f>COUNTIFS(Table24[Client ID '#],"&lt;&gt;",Table24[Residence Zip Code],'G - ZIP Code'!A1239)</f>
        <v>0</v>
      </c>
    </row>
    <row r="1240" spans="1:3" x14ac:dyDescent="0.25">
      <c r="A1240">
        <v>34145</v>
      </c>
      <c r="B1240" t="s">
        <v>888</v>
      </c>
      <c r="C1240">
        <f>COUNTIFS(Table24[Client ID '#],"&lt;&gt;",Table24[Residence Zip Code],'G - ZIP Code'!A1240)</f>
        <v>0</v>
      </c>
    </row>
    <row r="1241" spans="1:3" x14ac:dyDescent="0.25">
      <c r="A1241">
        <v>34146</v>
      </c>
      <c r="B1241" t="s">
        <v>888</v>
      </c>
      <c r="C1241">
        <f>COUNTIFS(Table24[Client ID '#],"&lt;&gt;",Table24[Residence Zip Code],'G - ZIP Code'!A1241)</f>
        <v>0</v>
      </c>
    </row>
    <row r="1242" spans="1:3" x14ac:dyDescent="0.25">
      <c r="A1242">
        <v>34201</v>
      </c>
      <c r="B1242" t="s">
        <v>888</v>
      </c>
      <c r="C1242">
        <f>COUNTIFS(Table24[Client ID '#],"&lt;&gt;",Table24[Residence Zip Code],'G - ZIP Code'!A1242)</f>
        <v>0</v>
      </c>
    </row>
    <row r="1243" spans="1:3" x14ac:dyDescent="0.25">
      <c r="A1243">
        <v>34202</v>
      </c>
      <c r="B1243" t="s">
        <v>888</v>
      </c>
      <c r="C1243">
        <f>COUNTIFS(Table24[Client ID '#],"&lt;&gt;",Table24[Residence Zip Code],'G - ZIP Code'!A1243)</f>
        <v>0</v>
      </c>
    </row>
    <row r="1244" spans="1:3" x14ac:dyDescent="0.25">
      <c r="A1244">
        <v>34203</v>
      </c>
      <c r="B1244" t="s">
        <v>888</v>
      </c>
      <c r="C1244">
        <f>COUNTIFS(Table24[Client ID '#],"&lt;&gt;",Table24[Residence Zip Code],'G - ZIP Code'!A1244)</f>
        <v>0</v>
      </c>
    </row>
    <row r="1245" spans="1:3" x14ac:dyDescent="0.25">
      <c r="A1245">
        <v>34204</v>
      </c>
      <c r="B1245" t="s">
        <v>888</v>
      </c>
      <c r="C1245">
        <f>COUNTIFS(Table24[Client ID '#],"&lt;&gt;",Table24[Residence Zip Code],'G - ZIP Code'!A1245)</f>
        <v>0</v>
      </c>
    </row>
    <row r="1246" spans="1:3" x14ac:dyDescent="0.25">
      <c r="A1246">
        <v>34205</v>
      </c>
      <c r="B1246" t="s">
        <v>888</v>
      </c>
      <c r="C1246">
        <f>COUNTIFS(Table24[Client ID '#],"&lt;&gt;",Table24[Residence Zip Code],'G - ZIP Code'!A1246)</f>
        <v>0</v>
      </c>
    </row>
    <row r="1247" spans="1:3" x14ac:dyDescent="0.25">
      <c r="A1247">
        <v>34206</v>
      </c>
      <c r="B1247" t="s">
        <v>888</v>
      </c>
      <c r="C1247">
        <f>COUNTIFS(Table24[Client ID '#],"&lt;&gt;",Table24[Residence Zip Code],'G - ZIP Code'!A1247)</f>
        <v>0</v>
      </c>
    </row>
    <row r="1248" spans="1:3" x14ac:dyDescent="0.25">
      <c r="A1248">
        <v>34207</v>
      </c>
      <c r="B1248" t="s">
        <v>888</v>
      </c>
      <c r="C1248">
        <f>COUNTIFS(Table24[Client ID '#],"&lt;&gt;",Table24[Residence Zip Code],'G - ZIP Code'!A1248)</f>
        <v>0</v>
      </c>
    </row>
    <row r="1249" spans="1:3" x14ac:dyDescent="0.25">
      <c r="A1249">
        <v>34208</v>
      </c>
      <c r="B1249" t="s">
        <v>888</v>
      </c>
      <c r="C1249">
        <f>COUNTIFS(Table24[Client ID '#],"&lt;&gt;",Table24[Residence Zip Code],'G - ZIP Code'!A1249)</f>
        <v>0</v>
      </c>
    </row>
    <row r="1250" spans="1:3" x14ac:dyDescent="0.25">
      <c r="A1250">
        <v>34209</v>
      </c>
      <c r="B1250" t="s">
        <v>888</v>
      </c>
      <c r="C1250">
        <f>COUNTIFS(Table24[Client ID '#],"&lt;&gt;",Table24[Residence Zip Code],'G - ZIP Code'!A1250)</f>
        <v>0</v>
      </c>
    </row>
    <row r="1251" spans="1:3" x14ac:dyDescent="0.25">
      <c r="A1251">
        <v>34210</v>
      </c>
      <c r="B1251" t="s">
        <v>888</v>
      </c>
      <c r="C1251">
        <f>COUNTIFS(Table24[Client ID '#],"&lt;&gt;",Table24[Residence Zip Code],'G - ZIP Code'!A1251)</f>
        <v>0</v>
      </c>
    </row>
    <row r="1252" spans="1:3" x14ac:dyDescent="0.25">
      <c r="A1252">
        <v>34211</v>
      </c>
      <c r="B1252" t="s">
        <v>888</v>
      </c>
      <c r="C1252">
        <f>COUNTIFS(Table24[Client ID '#],"&lt;&gt;",Table24[Residence Zip Code],'G - ZIP Code'!A1252)</f>
        <v>0</v>
      </c>
    </row>
    <row r="1253" spans="1:3" x14ac:dyDescent="0.25">
      <c r="A1253">
        <v>34212</v>
      </c>
      <c r="B1253" t="s">
        <v>888</v>
      </c>
      <c r="C1253">
        <f>COUNTIFS(Table24[Client ID '#],"&lt;&gt;",Table24[Residence Zip Code],'G - ZIP Code'!A1253)</f>
        <v>0</v>
      </c>
    </row>
    <row r="1254" spans="1:3" x14ac:dyDescent="0.25">
      <c r="A1254">
        <v>34215</v>
      </c>
      <c r="B1254" t="s">
        <v>888</v>
      </c>
      <c r="C1254">
        <f>COUNTIFS(Table24[Client ID '#],"&lt;&gt;",Table24[Residence Zip Code],'G - ZIP Code'!A1254)</f>
        <v>0</v>
      </c>
    </row>
    <row r="1255" spans="1:3" x14ac:dyDescent="0.25">
      <c r="A1255">
        <v>34216</v>
      </c>
      <c r="B1255" t="s">
        <v>888</v>
      </c>
      <c r="C1255">
        <f>COUNTIFS(Table24[Client ID '#],"&lt;&gt;",Table24[Residence Zip Code],'G - ZIP Code'!A1255)</f>
        <v>0</v>
      </c>
    </row>
    <row r="1256" spans="1:3" x14ac:dyDescent="0.25">
      <c r="A1256">
        <v>34217</v>
      </c>
      <c r="B1256" t="s">
        <v>888</v>
      </c>
      <c r="C1256">
        <f>COUNTIFS(Table24[Client ID '#],"&lt;&gt;",Table24[Residence Zip Code],'G - ZIP Code'!A1256)</f>
        <v>0</v>
      </c>
    </row>
    <row r="1257" spans="1:3" x14ac:dyDescent="0.25">
      <c r="A1257">
        <v>34218</v>
      </c>
      <c r="B1257" t="s">
        <v>888</v>
      </c>
      <c r="C1257">
        <f>COUNTIFS(Table24[Client ID '#],"&lt;&gt;",Table24[Residence Zip Code],'G - ZIP Code'!A1257)</f>
        <v>0</v>
      </c>
    </row>
    <row r="1258" spans="1:3" x14ac:dyDescent="0.25">
      <c r="A1258">
        <v>34219</v>
      </c>
      <c r="B1258" t="s">
        <v>888</v>
      </c>
      <c r="C1258">
        <f>COUNTIFS(Table24[Client ID '#],"&lt;&gt;",Table24[Residence Zip Code],'G - ZIP Code'!A1258)</f>
        <v>0</v>
      </c>
    </row>
    <row r="1259" spans="1:3" x14ac:dyDescent="0.25">
      <c r="A1259">
        <v>34220</v>
      </c>
      <c r="B1259" t="s">
        <v>888</v>
      </c>
      <c r="C1259">
        <f>COUNTIFS(Table24[Client ID '#],"&lt;&gt;",Table24[Residence Zip Code],'G - ZIP Code'!A1259)</f>
        <v>0</v>
      </c>
    </row>
    <row r="1260" spans="1:3" x14ac:dyDescent="0.25">
      <c r="A1260">
        <v>34221</v>
      </c>
      <c r="B1260" t="s">
        <v>888</v>
      </c>
      <c r="C1260">
        <f>COUNTIFS(Table24[Client ID '#],"&lt;&gt;",Table24[Residence Zip Code],'G - ZIP Code'!A1260)</f>
        <v>0</v>
      </c>
    </row>
    <row r="1261" spans="1:3" x14ac:dyDescent="0.25">
      <c r="A1261">
        <v>34222</v>
      </c>
      <c r="B1261" t="s">
        <v>888</v>
      </c>
      <c r="C1261">
        <f>COUNTIFS(Table24[Client ID '#],"&lt;&gt;",Table24[Residence Zip Code],'G - ZIP Code'!A1261)</f>
        <v>0</v>
      </c>
    </row>
    <row r="1262" spans="1:3" x14ac:dyDescent="0.25">
      <c r="A1262">
        <v>34223</v>
      </c>
      <c r="B1262" t="s">
        <v>888</v>
      </c>
      <c r="C1262">
        <f>COUNTIFS(Table24[Client ID '#],"&lt;&gt;",Table24[Residence Zip Code],'G - ZIP Code'!A1262)</f>
        <v>0</v>
      </c>
    </row>
    <row r="1263" spans="1:3" x14ac:dyDescent="0.25">
      <c r="A1263">
        <v>34224</v>
      </c>
      <c r="B1263" t="s">
        <v>888</v>
      </c>
      <c r="C1263">
        <f>COUNTIFS(Table24[Client ID '#],"&lt;&gt;",Table24[Residence Zip Code],'G - ZIP Code'!A1263)</f>
        <v>0</v>
      </c>
    </row>
    <row r="1264" spans="1:3" x14ac:dyDescent="0.25">
      <c r="A1264">
        <v>34228</v>
      </c>
      <c r="B1264" t="s">
        <v>888</v>
      </c>
      <c r="C1264">
        <f>COUNTIFS(Table24[Client ID '#],"&lt;&gt;",Table24[Residence Zip Code],'G - ZIP Code'!A1264)</f>
        <v>0</v>
      </c>
    </row>
    <row r="1265" spans="1:3" x14ac:dyDescent="0.25">
      <c r="A1265">
        <v>34229</v>
      </c>
      <c r="B1265" t="s">
        <v>888</v>
      </c>
      <c r="C1265">
        <f>COUNTIFS(Table24[Client ID '#],"&lt;&gt;",Table24[Residence Zip Code],'G - ZIP Code'!A1265)</f>
        <v>0</v>
      </c>
    </row>
    <row r="1266" spans="1:3" x14ac:dyDescent="0.25">
      <c r="A1266">
        <v>34230</v>
      </c>
      <c r="B1266" t="s">
        <v>888</v>
      </c>
      <c r="C1266">
        <f>COUNTIFS(Table24[Client ID '#],"&lt;&gt;",Table24[Residence Zip Code],'G - ZIP Code'!A1266)</f>
        <v>0</v>
      </c>
    </row>
    <row r="1267" spans="1:3" x14ac:dyDescent="0.25">
      <c r="A1267">
        <v>34231</v>
      </c>
      <c r="B1267" t="s">
        <v>888</v>
      </c>
      <c r="C1267">
        <f>COUNTIFS(Table24[Client ID '#],"&lt;&gt;",Table24[Residence Zip Code],'G - ZIP Code'!A1267)</f>
        <v>0</v>
      </c>
    </row>
    <row r="1268" spans="1:3" x14ac:dyDescent="0.25">
      <c r="A1268">
        <v>34232</v>
      </c>
      <c r="B1268" t="s">
        <v>888</v>
      </c>
      <c r="C1268">
        <f>COUNTIFS(Table24[Client ID '#],"&lt;&gt;",Table24[Residence Zip Code],'G - ZIP Code'!A1268)</f>
        <v>0</v>
      </c>
    </row>
    <row r="1269" spans="1:3" x14ac:dyDescent="0.25">
      <c r="A1269">
        <v>34233</v>
      </c>
      <c r="B1269" t="s">
        <v>888</v>
      </c>
      <c r="C1269">
        <f>COUNTIFS(Table24[Client ID '#],"&lt;&gt;",Table24[Residence Zip Code],'G - ZIP Code'!A1269)</f>
        <v>0</v>
      </c>
    </row>
    <row r="1270" spans="1:3" x14ac:dyDescent="0.25">
      <c r="A1270">
        <v>34234</v>
      </c>
      <c r="B1270" t="s">
        <v>888</v>
      </c>
      <c r="C1270">
        <f>COUNTIFS(Table24[Client ID '#],"&lt;&gt;",Table24[Residence Zip Code],'G - ZIP Code'!A1270)</f>
        <v>0</v>
      </c>
    </row>
    <row r="1271" spans="1:3" x14ac:dyDescent="0.25">
      <c r="A1271">
        <v>34235</v>
      </c>
      <c r="B1271" t="s">
        <v>888</v>
      </c>
      <c r="C1271">
        <f>COUNTIFS(Table24[Client ID '#],"&lt;&gt;",Table24[Residence Zip Code],'G - ZIP Code'!A1271)</f>
        <v>0</v>
      </c>
    </row>
    <row r="1272" spans="1:3" x14ac:dyDescent="0.25">
      <c r="A1272">
        <v>34236</v>
      </c>
      <c r="B1272" t="s">
        <v>888</v>
      </c>
      <c r="C1272">
        <f>COUNTIFS(Table24[Client ID '#],"&lt;&gt;",Table24[Residence Zip Code],'G - ZIP Code'!A1272)</f>
        <v>0</v>
      </c>
    </row>
    <row r="1273" spans="1:3" x14ac:dyDescent="0.25">
      <c r="A1273">
        <v>34237</v>
      </c>
      <c r="B1273" t="s">
        <v>888</v>
      </c>
      <c r="C1273">
        <f>COUNTIFS(Table24[Client ID '#],"&lt;&gt;",Table24[Residence Zip Code],'G - ZIP Code'!A1273)</f>
        <v>0</v>
      </c>
    </row>
    <row r="1274" spans="1:3" x14ac:dyDescent="0.25">
      <c r="A1274">
        <v>34238</v>
      </c>
      <c r="B1274" t="s">
        <v>888</v>
      </c>
      <c r="C1274">
        <f>COUNTIFS(Table24[Client ID '#],"&lt;&gt;",Table24[Residence Zip Code],'G - ZIP Code'!A1274)</f>
        <v>0</v>
      </c>
    </row>
    <row r="1275" spans="1:3" x14ac:dyDescent="0.25">
      <c r="A1275">
        <v>34239</v>
      </c>
      <c r="B1275" t="s">
        <v>888</v>
      </c>
      <c r="C1275">
        <f>COUNTIFS(Table24[Client ID '#],"&lt;&gt;",Table24[Residence Zip Code],'G - ZIP Code'!A1275)</f>
        <v>0</v>
      </c>
    </row>
    <row r="1276" spans="1:3" x14ac:dyDescent="0.25">
      <c r="A1276">
        <v>34240</v>
      </c>
      <c r="B1276" t="s">
        <v>888</v>
      </c>
      <c r="C1276">
        <f>COUNTIFS(Table24[Client ID '#],"&lt;&gt;",Table24[Residence Zip Code],'G - ZIP Code'!A1276)</f>
        <v>0</v>
      </c>
    </row>
    <row r="1277" spans="1:3" x14ac:dyDescent="0.25">
      <c r="A1277">
        <v>34241</v>
      </c>
      <c r="B1277" t="s">
        <v>888</v>
      </c>
      <c r="C1277">
        <f>COUNTIFS(Table24[Client ID '#],"&lt;&gt;",Table24[Residence Zip Code],'G - ZIP Code'!A1277)</f>
        <v>0</v>
      </c>
    </row>
    <row r="1278" spans="1:3" x14ac:dyDescent="0.25">
      <c r="A1278">
        <v>34242</v>
      </c>
      <c r="B1278" t="s">
        <v>888</v>
      </c>
      <c r="C1278">
        <f>COUNTIFS(Table24[Client ID '#],"&lt;&gt;",Table24[Residence Zip Code],'G - ZIP Code'!A1278)</f>
        <v>0</v>
      </c>
    </row>
    <row r="1279" spans="1:3" x14ac:dyDescent="0.25">
      <c r="A1279">
        <v>34243</v>
      </c>
      <c r="B1279" t="s">
        <v>888</v>
      </c>
      <c r="C1279">
        <f>COUNTIFS(Table24[Client ID '#],"&lt;&gt;",Table24[Residence Zip Code],'G - ZIP Code'!A1279)</f>
        <v>0</v>
      </c>
    </row>
    <row r="1280" spans="1:3" x14ac:dyDescent="0.25">
      <c r="A1280">
        <v>34250</v>
      </c>
      <c r="B1280" t="s">
        <v>888</v>
      </c>
      <c r="C1280">
        <f>COUNTIFS(Table24[Client ID '#],"&lt;&gt;",Table24[Residence Zip Code],'G - ZIP Code'!A1280)</f>
        <v>0</v>
      </c>
    </row>
    <row r="1281" spans="1:3" x14ac:dyDescent="0.25">
      <c r="A1281">
        <v>34251</v>
      </c>
      <c r="B1281" t="s">
        <v>888</v>
      </c>
      <c r="C1281">
        <f>COUNTIFS(Table24[Client ID '#],"&lt;&gt;",Table24[Residence Zip Code],'G - ZIP Code'!A1281)</f>
        <v>0</v>
      </c>
    </row>
    <row r="1282" spans="1:3" x14ac:dyDescent="0.25">
      <c r="A1282">
        <v>34260</v>
      </c>
      <c r="B1282" t="s">
        <v>888</v>
      </c>
      <c r="C1282">
        <f>COUNTIFS(Table24[Client ID '#],"&lt;&gt;",Table24[Residence Zip Code],'G - ZIP Code'!A1282)</f>
        <v>0</v>
      </c>
    </row>
    <row r="1283" spans="1:3" x14ac:dyDescent="0.25">
      <c r="A1283">
        <v>34264</v>
      </c>
      <c r="B1283" t="s">
        <v>888</v>
      </c>
      <c r="C1283">
        <f>COUNTIFS(Table24[Client ID '#],"&lt;&gt;",Table24[Residence Zip Code],'G - ZIP Code'!A1283)</f>
        <v>0</v>
      </c>
    </row>
    <row r="1284" spans="1:3" x14ac:dyDescent="0.25">
      <c r="A1284">
        <v>34265</v>
      </c>
      <c r="B1284" t="s">
        <v>888</v>
      </c>
      <c r="C1284">
        <f>COUNTIFS(Table24[Client ID '#],"&lt;&gt;",Table24[Residence Zip Code],'G - ZIP Code'!A1284)</f>
        <v>0</v>
      </c>
    </row>
    <row r="1285" spans="1:3" x14ac:dyDescent="0.25">
      <c r="A1285">
        <v>34266</v>
      </c>
      <c r="B1285" t="s">
        <v>888</v>
      </c>
      <c r="C1285">
        <f>COUNTIFS(Table24[Client ID '#],"&lt;&gt;",Table24[Residence Zip Code],'G - ZIP Code'!A1285)</f>
        <v>0</v>
      </c>
    </row>
    <row r="1286" spans="1:3" x14ac:dyDescent="0.25">
      <c r="A1286">
        <v>34267</v>
      </c>
      <c r="B1286" t="s">
        <v>888</v>
      </c>
      <c r="C1286">
        <f>COUNTIFS(Table24[Client ID '#],"&lt;&gt;",Table24[Residence Zip Code],'G - ZIP Code'!A1286)</f>
        <v>0</v>
      </c>
    </row>
    <row r="1287" spans="1:3" x14ac:dyDescent="0.25">
      <c r="A1287">
        <v>34268</v>
      </c>
      <c r="B1287" t="s">
        <v>888</v>
      </c>
      <c r="C1287">
        <f>COUNTIFS(Table24[Client ID '#],"&lt;&gt;",Table24[Residence Zip Code],'G - ZIP Code'!A1287)</f>
        <v>0</v>
      </c>
    </row>
    <row r="1288" spans="1:3" x14ac:dyDescent="0.25">
      <c r="A1288">
        <v>34269</v>
      </c>
      <c r="B1288" t="s">
        <v>888</v>
      </c>
      <c r="C1288">
        <f>COUNTIFS(Table24[Client ID '#],"&lt;&gt;",Table24[Residence Zip Code],'G - ZIP Code'!A1288)</f>
        <v>0</v>
      </c>
    </row>
    <row r="1289" spans="1:3" x14ac:dyDescent="0.25">
      <c r="A1289">
        <v>34270</v>
      </c>
      <c r="B1289" t="s">
        <v>888</v>
      </c>
      <c r="C1289">
        <f>COUNTIFS(Table24[Client ID '#],"&lt;&gt;",Table24[Residence Zip Code],'G - ZIP Code'!A1289)</f>
        <v>0</v>
      </c>
    </row>
    <row r="1290" spans="1:3" x14ac:dyDescent="0.25">
      <c r="A1290">
        <v>34272</v>
      </c>
      <c r="B1290" t="s">
        <v>888</v>
      </c>
      <c r="C1290">
        <f>COUNTIFS(Table24[Client ID '#],"&lt;&gt;",Table24[Residence Zip Code],'G - ZIP Code'!A1290)</f>
        <v>0</v>
      </c>
    </row>
    <row r="1291" spans="1:3" x14ac:dyDescent="0.25">
      <c r="A1291">
        <v>34274</v>
      </c>
      <c r="B1291" t="s">
        <v>888</v>
      </c>
      <c r="C1291">
        <f>COUNTIFS(Table24[Client ID '#],"&lt;&gt;",Table24[Residence Zip Code],'G - ZIP Code'!A1291)</f>
        <v>0</v>
      </c>
    </row>
    <row r="1292" spans="1:3" x14ac:dyDescent="0.25">
      <c r="A1292">
        <v>34275</v>
      </c>
      <c r="B1292" t="s">
        <v>888</v>
      </c>
      <c r="C1292">
        <f>COUNTIFS(Table24[Client ID '#],"&lt;&gt;",Table24[Residence Zip Code],'G - ZIP Code'!A1292)</f>
        <v>0</v>
      </c>
    </row>
    <row r="1293" spans="1:3" x14ac:dyDescent="0.25">
      <c r="A1293">
        <v>34276</v>
      </c>
      <c r="B1293" t="s">
        <v>888</v>
      </c>
      <c r="C1293">
        <f>COUNTIFS(Table24[Client ID '#],"&lt;&gt;",Table24[Residence Zip Code],'G - ZIP Code'!A1293)</f>
        <v>0</v>
      </c>
    </row>
    <row r="1294" spans="1:3" x14ac:dyDescent="0.25">
      <c r="A1294">
        <v>34277</v>
      </c>
      <c r="B1294" t="s">
        <v>888</v>
      </c>
      <c r="C1294">
        <f>COUNTIFS(Table24[Client ID '#],"&lt;&gt;",Table24[Residence Zip Code],'G - ZIP Code'!A1294)</f>
        <v>0</v>
      </c>
    </row>
    <row r="1295" spans="1:3" x14ac:dyDescent="0.25">
      <c r="A1295">
        <v>34278</v>
      </c>
      <c r="B1295" t="s">
        <v>888</v>
      </c>
      <c r="C1295">
        <f>COUNTIFS(Table24[Client ID '#],"&lt;&gt;",Table24[Residence Zip Code],'G - ZIP Code'!A1295)</f>
        <v>0</v>
      </c>
    </row>
    <row r="1296" spans="1:3" x14ac:dyDescent="0.25">
      <c r="A1296">
        <v>34280</v>
      </c>
      <c r="B1296" t="s">
        <v>888</v>
      </c>
      <c r="C1296">
        <f>COUNTIFS(Table24[Client ID '#],"&lt;&gt;",Table24[Residence Zip Code],'G - ZIP Code'!A1296)</f>
        <v>0</v>
      </c>
    </row>
    <row r="1297" spans="1:3" x14ac:dyDescent="0.25">
      <c r="A1297">
        <v>34281</v>
      </c>
      <c r="B1297" t="s">
        <v>888</v>
      </c>
      <c r="C1297">
        <f>COUNTIFS(Table24[Client ID '#],"&lt;&gt;",Table24[Residence Zip Code],'G - ZIP Code'!A1297)</f>
        <v>0</v>
      </c>
    </row>
    <row r="1298" spans="1:3" x14ac:dyDescent="0.25">
      <c r="A1298">
        <v>34282</v>
      </c>
      <c r="B1298" t="s">
        <v>888</v>
      </c>
      <c r="C1298">
        <f>COUNTIFS(Table24[Client ID '#],"&lt;&gt;",Table24[Residence Zip Code],'G - ZIP Code'!A1298)</f>
        <v>0</v>
      </c>
    </row>
    <row r="1299" spans="1:3" x14ac:dyDescent="0.25">
      <c r="A1299">
        <v>34284</v>
      </c>
      <c r="B1299" t="s">
        <v>888</v>
      </c>
      <c r="C1299">
        <f>COUNTIFS(Table24[Client ID '#],"&lt;&gt;",Table24[Residence Zip Code],'G - ZIP Code'!A1299)</f>
        <v>0</v>
      </c>
    </row>
    <row r="1300" spans="1:3" x14ac:dyDescent="0.25">
      <c r="A1300">
        <v>34285</v>
      </c>
      <c r="B1300" t="s">
        <v>888</v>
      </c>
      <c r="C1300">
        <f>COUNTIFS(Table24[Client ID '#],"&lt;&gt;",Table24[Residence Zip Code],'G - ZIP Code'!A1300)</f>
        <v>0</v>
      </c>
    </row>
    <row r="1301" spans="1:3" x14ac:dyDescent="0.25">
      <c r="A1301">
        <v>34286</v>
      </c>
      <c r="B1301" t="s">
        <v>888</v>
      </c>
      <c r="C1301">
        <f>COUNTIFS(Table24[Client ID '#],"&lt;&gt;",Table24[Residence Zip Code],'G - ZIP Code'!A1301)</f>
        <v>0</v>
      </c>
    </row>
    <row r="1302" spans="1:3" x14ac:dyDescent="0.25">
      <c r="A1302">
        <v>34287</v>
      </c>
      <c r="B1302" t="s">
        <v>888</v>
      </c>
      <c r="C1302">
        <f>COUNTIFS(Table24[Client ID '#],"&lt;&gt;",Table24[Residence Zip Code],'G - ZIP Code'!A1302)</f>
        <v>0</v>
      </c>
    </row>
    <row r="1303" spans="1:3" x14ac:dyDescent="0.25">
      <c r="A1303">
        <v>34288</v>
      </c>
      <c r="B1303" t="s">
        <v>888</v>
      </c>
      <c r="C1303">
        <f>COUNTIFS(Table24[Client ID '#],"&lt;&gt;",Table24[Residence Zip Code],'G - ZIP Code'!A1303)</f>
        <v>0</v>
      </c>
    </row>
    <row r="1304" spans="1:3" x14ac:dyDescent="0.25">
      <c r="A1304">
        <v>34289</v>
      </c>
      <c r="B1304" t="s">
        <v>888</v>
      </c>
      <c r="C1304">
        <f>COUNTIFS(Table24[Client ID '#],"&lt;&gt;",Table24[Residence Zip Code],'G - ZIP Code'!A1304)</f>
        <v>0</v>
      </c>
    </row>
    <row r="1305" spans="1:3" x14ac:dyDescent="0.25">
      <c r="A1305">
        <v>34292</v>
      </c>
      <c r="B1305" t="s">
        <v>888</v>
      </c>
      <c r="C1305">
        <f>COUNTIFS(Table24[Client ID '#],"&lt;&gt;",Table24[Residence Zip Code],'G - ZIP Code'!A1305)</f>
        <v>0</v>
      </c>
    </row>
    <row r="1306" spans="1:3" x14ac:dyDescent="0.25">
      <c r="A1306">
        <v>34293</v>
      </c>
      <c r="B1306" t="s">
        <v>888</v>
      </c>
      <c r="C1306">
        <f>COUNTIFS(Table24[Client ID '#],"&lt;&gt;",Table24[Residence Zip Code],'G - ZIP Code'!A1306)</f>
        <v>0</v>
      </c>
    </row>
    <row r="1307" spans="1:3" x14ac:dyDescent="0.25">
      <c r="A1307">
        <v>34295</v>
      </c>
      <c r="B1307" t="s">
        <v>888</v>
      </c>
      <c r="C1307">
        <f>COUNTIFS(Table24[Client ID '#],"&lt;&gt;",Table24[Residence Zip Code],'G - ZIP Code'!A1307)</f>
        <v>0</v>
      </c>
    </row>
    <row r="1308" spans="1:3" x14ac:dyDescent="0.25">
      <c r="A1308">
        <v>34420</v>
      </c>
      <c r="B1308" t="s">
        <v>888</v>
      </c>
      <c r="C1308">
        <f>COUNTIFS(Table24[Client ID '#],"&lt;&gt;",Table24[Residence Zip Code],'G - ZIP Code'!A1308)</f>
        <v>0</v>
      </c>
    </row>
    <row r="1309" spans="1:3" x14ac:dyDescent="0.25">
      <c r="A1309">
        <v>34421</v>
      </c>
      <c r="B1309" t="s">
        <v>888</v>
      </c>
      <c r="C1309">
        <f>COUNTIFS(Table24[Client ID '#],"&lt;&gt;",Table24[Residence Zip Code],'G - ZIP Code'!A1309)</f>
        <v>0</v>
      </c>
    </row>
    <row r="1310" spans="1:3" x14ac:dyDescent="0.25">
      <c r="A1310">
        <v>34423</v>
      </c>
      <c r="B1310" t="s">
        <v>888</v>
      </c>
      <c r="C1310">
        <f>COUNTIFS(Table24[Client ID '#],"&lt;&gt;",Table24[Residence Zip Code],'G - ZIP Code'!A1310)</f>
        <v>0</v>
      </c>
    </row>
    <row r="1311" spans="1:3" x14ac:dyDescent="0.25">
      <c r="A1311">
        <v>34428</v>
      </c>
      <c r="B1311" t="s">
        <v>888</v>
      </c>
      <c r="C1311">
        <f>COUNTIFS(Table24[Client ID '#],"&lt;&gt;",Table24[Residence Zip Code],'G - ZIP Code'!A1311)</f>
        <v>0</v>
      </c>
    </row>
    <row r="1312" spans="1:3" x14ac:dyDescent="0.25">
      <c r="A1312">
        <v>34429</v>
      </c>
      <c r="B1312" t="s">
        <v>888</v>
      </c>
      <c r="C1312">
        <f>COUNTIFS(Table24[Client ID '#],"&lt;&gt;",Table24[Residence Zip Code],'G - ZIP Code'!A1312)</f>
        <v>0</v>
      </c>
    </row>
    <row r="1313" spans="1:3" x14ac:dyDescent="0.25">
      <c r="A1313">
        <v>34430</v>
      </c>
      <c r="B1313" t="s">
        <v>888</v>
      </c>
      <c r="C1313">
        <f>COUNTIFS(Table24[Client ID '#],"&lt;&gt;",Table24[Residence Zip Code],'G - ZIP Code'!A1313)</f>
        <v>0</v>
      </c>
    </row>
    <row r="1314" spans="1:3" x14ac:dyDescent="0.25">
      <c r="A1314">
        <v>34431</v>
      </c>
      <c r="B1314" t="s">
        <v>888</v>
      </c>
      <c r="C1314">
        <f>COUNTIFS(Table24[Client ID '#],"&lt;&gt;",Table24[Residence Zip Code],'G - ZIP Code'!A1314)</f>
        <v>0</v>
      </c>
    </row>
    <row r="1315" spans="1:3" x14ac:dyDescent="0.25">
      <c r="A1315">
        <v>34432</v>
      </c>
      <c r="B1315" t="s">
        <v>888</v>
      </c>
      <c r="C1315">
        <f>COUNTIFS(Table24[Client ID '#],"&lt;&gt;",Table24[Residence Zip Code],'G - ZIP Code'!A1315)</f>
        <v>0</v>
      </c>
    </row>
    <row r="1316" spans="1:3" x14ac:dyDescent="0.25">
      <c r="A1316">
        <v>34433</v>
      </c>
      <c r="B1316" t="s">
        <v>888</v>
      </c>
      <c r="C1316">
        <f>COUNTIFS(Table24[Client ID '#],"&lt;&gt;",Table24[Residence Zip Code],'G - ZIP Code'!A1316)</f>
        <v>0</v>
      </c>
    </row>
    <row r="1317" spans="1:3" x14ac:dyDescent="0.25">
      <c r="A1317">
        <v>34434</v>
      </c>
      <c r="B1317" t="s">
        <v>888</v>
      </c>
      <c r="C1317">
        <f>COUNTIFS(Table24[Client ID '#],"&lt;&gt;",Table24[Residence Zip Code],'G - ZIP Code'!A1317)</f>
        <v>0</v>
      </c>
    </row>
    <row r="1318" spans="1:3" x14ac:dyDescent="0.25">
      <c r="A1318">
        <v>34436</v>
      </c>
      <c r="B1318" t="s">
        <v>888</v>
      </c>
      <c r="C1318">
        <f>COUNTIFS(Table24[Client ID '#],"&lt;&gt;",Table24[Residence Zip Code],'G - ZIP Code'!A1318)</f>
        <v>0</v>
      </c>
    </row>
    <row r="1319" spans="1:3" x14ac:dyDescent="0.25">
      <c r="A1319">
        <v>34442</v>
      </c>
      <c r="B1319" t="s">
        <v>888</v>
      </c>
      <c r="C1319">
        <f>COUNTIFS(Table24[Client ID '#],"&lt;&gt;",Table24[Residence Zip Code],'G - ZIP Code'!A1319)</f>
        <v>0</v>
      </c>
    </row>
    <row r="1320" spans="1:3" x14ac:dyDescent="0.25">
      <c r="A1320">
        <v>34445</v>
      </c>
      <c r="B1320" t="s">
        <v>888</v>
      </c>
      <c r="C1320">
        <f>COUNTIFS(Table24[Client ID '#],"&lt;&gt;",Table24[Residence Zip Code],'G - ZIP Code'!A1320)</f>
        <v>0</v>
      </c>
    </row>
    <row r="1321" spans="1:3" x14ac:dyDescent="0.25">
      <c r="A1321">
        <v>34446</v>
      </c>
      <c r="B1321" t="s">
        <v>888</v>
      </c>
      <c r="C1321">
        <f>COUNTIFS(Table24[Client ID '#],"&lt;&gt;",Table24[Residence Zip Code],'G - ZIP Code'!A1321)</f>
        <v>0</v>
      </c>
    </row>
    <row r="1322" spans="1:3" x14ac:dyDescent="0.25">
      <c r="A1322">
        <v>34447</v>
      </c>
      <c r="B1322" t="s">
        <v>888</v>
      </c>
      <c r="C1322">
        <f>COUNTIFS(Table24[Client ID '#],"&lt;&gt;",Table24[Residence Zip Code],'G - ZIP Code'!A1322)</f>
        <v>0</v>
      </c>
    </row>
    <row r="1323" spans="1:3" x14ac:dyDescent="0.25">
      <c r="A1323">
        <v>34448</v>
      </c>
      <c r="B1323" t="s">
        <v>888</v>
      </c>
      <c r="C1323">
        <f>COUNTIFS(Table24[Client ID '#],"&lt;&gt;",Table24[Residence Zip Code],'G - ZIP Code'!A1323)</f>
        <v>0</v>
      </c>
    </row>
    <row r="1324" spans="1:3" x14ac:dyDescent="0.25">
      <c r="A1324">
        <v>34449</v>
      </c>
      <c r="B1324" t="s">
        <v>888</v>
      </c>
      <c r="C1324">
        <f>COUNTIFS(Table24[Client ID '#],"&lt;&gt;",Table24[Residence Zip Code],'G - ZIP Code'!A1324)</f>
        <v>0</v>
      </c>
    </row>
    <row r="1325" spans="1:3" x14ac:dyDescent="0.25">
      <c r="A1325">
        <v>34450</v>
      </c>
      <c r="B1325" t="s">
        <v>888</v>
      </c>
      <c r="C1325">
        <f>COUNTIFS(Table24[Client ID '#],"&lt;&gt;",Table24[Residence Zip Code],'G - ZIP Code'!A1325)</f>
        <v>0</v>
      </c>
    </row>
    <row r="1326" spans="1:3" x14ac:dyDescent="0.25">
      <c r="A1326">
        <v>34451</v>
      </c>
      <c r="B1326" t="s">
        <v>888</v>
      </c>
      <c r="C1326">
        <f>COUNTIFS(Table24[Client ID '#],"&lt;&gt;",Table24[Residence Zip Code],'G - ZIP Code'!A1326)</f>
        <v>0</v>
      </c>
    </row>
    <row r="1327" spans="1:3" x14ac:dyDescent="0.25">
      <c r="A1327">
        <v>34452</v>
      </c>
      <c r="B1327" t="s">
        <v>888</v>
      </c>
      <c r="C1327">
        <f>COUNTIFS(Table24[Client ID '#],"&lt;&gt;",Table24[Residence Zip Code],'G - ZIP Code'!A1327)</f>
        <v>0</v>
      </c>
    </row>
    <row r="1328" spans="1:3" x14ac:dyDescent="0.25">
      <c r="A1328">
        <v>34453</v>
      </c>
      <c r="B1328" t="s">
        <v>888</v>
      </c>
      <c r="C1328">
        <f>COUNTIFS(Table24[Client ID '#],"&lt;&gt;",Table24[Residence Zip Code],'G - ZIP Code'!A1328)</f>
        <v>0</v>
      </c>
    </row>
    <row r="1329" spans="1:3" x14ac:dyDescent="0.25">
      <c r="A1329">
        <v>34460</v>
      </c>
      <c r="B1329" t="s">
        <v>888</v>
      </c>
      <c r="C1329">
        <f>COUNTIFS(Table24[Client ID '#],"&lt;&gt;",Table24[Residence Zip Code],'G - ZIP Code'!A1329)</f>
        <v>0</v>
      </c>
    </row>
    <row r="1330" spans="1:3" x14ac:dyDescent="0.25">
      <c r="A1330">
        <v>34461</v>
      </c>
      <c r="B1330" t="s">
        <v>888</v>
      </c>
      <c r="C1330">
        <f>COUNTIFS(Table24[Client ID '#],"&lt;&gt;",Table24[Residence Zip Code],'G - ZIP Code'!A1330)</f>
        <v>0</v>
      </c>
    </row>
    <row r="1331" spans="1:3" x14ac:dyDescent="0.25">
      <c r="A1331">
        <v>34464</v>
      </c>
      <c r="B1331" t="s">
        <v>888</v>
      </c>
      <c r="C1331">
        <f>COUNTIFS(Table24[Client ID '#],"&lt;&gt;",Table24[Residence Zip Code],'G - ZIP Code'!A1331)</f>
        <v>0</v>
      </c>
    </row>
    <row r="1332" spans="1:3" x14ac:dyDescent="0.25">
      <c r="A1332">
        <v>34465</v>
      </c>
      <c r="B1332" t="s">
        <v>888</v>
      </c>
      <c r="C1332">
        <f>COUNTIFS(Table24[Client ID '#],"&lt;&gt;",Table24[Residence Zip Code],'G - ZIP Code'!A1332)</f>
        <v>0</v>
      </c>
    </row>
    <row r="1333" spans="1:3" x14ac:dyDescent="0.25">
      <c r="A1333">
        <v>34470</v>
      </c>
      <c r="B1333" t="s">
        <v>888</v>
      </c>
      <c r="C1333">
        <f>COUNTIFS(Table24[Client ID '#],"&lt;&gt;",Table24[Residence Zip Code],'G - ZIP Code'!A1333)</f>
        <v>0</v>
      </c>
    </row>
    <row r="1334" spans="1:3" x14ac:dyDescent="0.25">
      <c r="A1334">
        <v>34471</v>
      </c>
      <c r="B1334" t="s">
        <v>888</v>
      </c>
      <c r="C1334">
        <f>COUNTIFS(Table24[Client ID '#],"&lt;&gt;",Table24[Residence Zip Code],'G - ZIP Code'!A1334)</f>
        <v>0</v>
      </c>
    </row>
    <row r="1335" spans="1:3" x14ac:dyDescent="0.25">
      <c r="A1335">
        <v>34472</v>
      </c>
      <c r="B1335" t="s">
        <v>888</v>
      </c>
      <c r="C1335">
        <f>COUNTIFS(Table24[Client ID '#],"&lt;&gt;",Table24[Residence Zip Code],'G - ZIP Code'!A1335)</f>
        <v>0</v>
      </c>
    </row>
    <row r="1336" spans="1:3" x14ac:dyDescent="0.25">
      <c r="A1336">
        <v>34473</v>
      </c>
      <c r="B1336" t="s">
        <v>888</v>
      </c>
      <c r="C1336">
        <f>COUNTIFS(Table24[Client ID '#],"&lt;&gt;",Table24[Residence Zip Code],'G - ZIP Code'!A1336)</f>
        <v>0</v>
      </c>
    </row>
    <row r="1337" spans="1:3" x14ac:dyDescent="0.25">
      <c r="A1337">
        <v>34474</v>
      </c>
      <c r="B1337" t="s">
        <v>888</v>
      </c>
      <c r="C1337">
        <f>COUNTIFS(Table24[Client ID '#],"&lt;&gt;",Table24[Residence Zip Code],'G - ZIP Code'!A1337)</f>
        <v>0</v>
      </c>
    </row>
    <row r="1338" spans="1:3" x14ac:dyDescent="0.25">
      <c r="A1338">
        <v>34475</v>
      </c>
      <c r="B1338" t="s">
        <v>888</v>
      </c>
      <c r="C1338">
        <f>COUNTIFS(Table24[Client ID '#],"&lt;&gt;",Table24[Residence Zip Code],'G - ZIP Code'!A1338)</f>
        <v>0</v>
      </c>
    </row>
    <row r="1339" spans="1:3" x14ac:dyDescent="0.25">
      <c r="A1339">
        <v>34476</v>
      </c>
      <c r="B1339" t="s">
        <v>888</v>
      </c>
      <c r="C1339">
        <f>COUNTIFS(Table24[Client ID '#],"&lt;&gt;",Table24[Residence Zip Code],'G - ZIP Code'!A1339)</f>
        <v>0</v>
      </c>
    </row>
    <row r="1340" spans="1:3" x14ac:dyDescent="0.25">
      <c r="A1340">
        <v>34477</v>
      </c>
      <c r="B1340" t="s">
        <v>888</v>
      </c>
      <c r="C1340">
        <f>COUNTIFS(Table24[Client ID '#],"&lt;&gt;",Table24[Residence Zip Code],'G - ZIP Code'!A1340)</f>
        <v>0</v>
      </c>
    </row>
    <row r="1341" spans="1:3" x14ac:dyDescent="0.25">
      <c r="A1341">
        <v>34478</v>
      </c>
      <c r="B1341" t="s">
        <v>888</v>
      </c>
      <c r="C1341">
        <f>COUNTIFS(Table24[Client ID '#],"&lt;&gt;",Table24[Residence Zip Code],'G - ZIP Code'!A1341)</f>
        <v>0</v>
      </c>
    </row>
    <row r="1342" spans="1:3" x14ac:dyDescent="0.25">
      <c r="A1342">
        <v>34479</v>
      </c>
      <c r="B1342" t="s">
        <v>888</v>
      </c>
      <c r="C1342">
        <f>COUNTIFS(Table24[Client ID '#],"&lt;&gt;",Table24[Residence Zip Code],'G - ZIP Code'!A1342)</f>
        <v>0</v>
      </c>
    </row>
    <row r="1343" spans="1:3" x14ac:dyDescent="0.25">
      <c r="A1343">
        <v>34480</v>
      </c>
      <c r="B1343" t="s">
        <v>888</v>
      </c>
      <c r="C1343">
        <f>COUNTIFS(Table24[Client ID '#],"&lt;&gt;",Table24[Residence Zip Code],'G - ZIP Code'!A1343)</f>
        <v>0</v>
      </c>
    </row>
    <row r="1344" spans="1:3" x14ac:dyDescent="0.25">
      <c r="A1344">
        <v>34481</v>
      </c>
      <c r="B1344" t="s">
        <v>888</v>
      </c>
      <c r="C1344">
        <f>COUNTIFS(Table24[Client ID '#],"&lt;&gt;",Table24[Residence Zip Code],'G - ZIP Code'!A1344)</f>
        <v>0</v>
      </c>
    </row>
    <row r="1345" spans="1:3" x14ac:dyDescent="0.25">
      <c r="A1345">
        <v>34482</v>
      </c>
      <c r="B1345" t="s">
        <v>888</v>
      </c>
      <c r="C1345">
        <f>COUNTIFS(Table24[Client ID '#],"&lt;&gt;",Table24[Residence Zip Code],'G - ZIP Code'!A1345)</f>
        <v>0</v>
      </c>
    </row>
    <row r="1346" spans="1:3" x14ac:dyDescent="0.25">
      <c r="A1346">
        <v>34483</v>
      </c>
      <c r="B1346" t="s">
        <v>888</v>
      </c>
      <c r="C1346">
        <f>COUNTIFS(Table24[Client ID '#],"&lt;&gt;",Table24[Residence Zip Code],'G - ZIP Code'!A1346)</f>
        <v>0</v>
      </c>
    </row>
    <row r="1347" spans="1:3" x14ac:dyDescent="0.25">
      <c r="A1347">
        <v>34484</v>
      </c>
      <c r="B1347" t="s">
        <v>888</v>
      </c>
      <c r="C1347">
        <f>COUNTIFS(Table24[Client ID '#],"&lt;&gt;",Table24[Residence Zip Code],'G - ZIP Code'!A1347)</f>
        <v>0</v>
      </c>
    </row>
    <row r="1348" spans="1:3" x14ac:dyDescent="0.25">
      <c r="A1348">
        <v>34487</v>
      </c>
      <c r="B1348" t="s">
        <v>888</v>
      </c>
      <c r="C1348">
        <f>COUNTIFS(Table24[Client ID '#],"&lt;&gt;",Table24[Residence Zip Code],'G - ZIP Code'!A1348)</f>
        <v>0</v>
      </c>
    </row>
    <row r="1349" spans="1:3" x14ac:dyDescent="0.25">
      <c r="A1349">
        <v>34488</v>
      </c>
      <c r="B1349" t="s">
        <v>888</v>
      </c>
      <c r="C1349">
        <f>COUNTIFS(Table24[Client ID '#],"&lt;&gt;",Table24[Residence Zip Code],'G - ZIP Code'!A1349)</f>
        <v>0</v>
      </c>
    </row>
    <row r="1350" spans="1:3" x14ac:dyDescent="0.25">
      <c r="A1350">
        <v>34489</v>
      </c>
      <c r="B1350" t="s">
        <v>888</v>
      </c>
      <c r="C1350">
        <f>COUNTIFS(Table24[Client ID '#],"&lt;&gt;",Table24[Residence Zip Code],'G - ZIP Code'!A1350)</f>
        <v>0</v>
      </c>
    </row>
    <row r="1351" spans="1:3" x14ac:dyDescent="0.25">
      <c r="A1351">
        <v>34491</v>
      </c>
      <c r="B1351" t="s">
        <v>888</v>
      </c>
      <c r="C1351">
        <f>COUNTIFS(Table24[Client ID '#],"&lt;&gt;",Table24[Residence Zip Code],'G - ZIP Code'!A1351)</f>
        <v>0</v>
      </c>
    </row>
    <row r="1352" spans="1:3" x14ac:dyDescent="0.25">
      <c r="A1352">
        <v>34492</v>
      </c>
      <c r="B1352" t="s">
        <v>888</v>
      </c>
      <c r="C1352">
        <f>COUNTIFS(Table24[Client ID '#],"&lt;&gt;",Table24[Residence Zip Code],'G - ZIP Code'!A1352)</f>
        <v>0</v>
      </c>
    </row>
    <row r="1353" spans="1:3" x14ac:dyDescent="0.25">
      <c r="A1353">
        <v>34498</v>
      </c>
      <c r="B1353" t="s">
        <v>888</v>
      </c>
      <c r="C1353">
        <f>COUNTIFS(Table24[Client ID '#],"&lt;&gt;",Table24[Residence Zip Code],'G - ZIP Code'!A1353)</f>
        <v>0</v>
      </c>
    </row>
    <row r="1354" spans="1:3" x14ac:dyDescent="0.25">
      <c r="A1354">
        <v>34601</v>
      </c>
      <c r="B1354" t="s">
        <v>888</v>
      </c>
      <c r="C1354">
        <f>COUNTIFS(Table24[Client ID '#],"&lt;&gt;",Table24[Residence Zip Code],'G - ZIP Code'!A1354)</f>
        <v>0</v>
      </c>
    </row>
    <row r="1355" spans="1:3" x14ac:dyDescent="0.25">
      <c r="A1355">
        <v>34602</v>
      </c>
      <c r="B1355" t="s">
        <v>888</v>
      </c>
      <c r="C1355">
        <f>COUNTIFS(Table24[Client ID '#],"&lt;&gt;",Table24[Residence Zip Code],'G - ZIP Code'!A1355)</f>
        <v>0</v>
      </c>
    </row>
    <row r="1356" spans="1:3" x14ac:dyDescent="0.25">
      <c r="A1356">
        <v>34603</v>
      </c>
      <c r="B1356" t="s">
        <v>888</v>
      </c>
      <c r="C1356">
        <f>COUNTIFS(Table24[Client ID '#],"&lt;&gt;",Table24[Residence Zip Code],'G - ZIP Code'!A1356)</f>
        <v>0</v>
      </c>
    </row>
    <row r="1357" spans="1:3" x14ac:dyDescent="0.25">
      <c r="A1357">
        <v>34604</v>
      </c>
      <c r="B1357" t="s">
        <v>888</v>
      </c>
      <c r="C1357">
        <f>COUNTIFS(Table24[Client ID '#],"&lt;&gt;",Table24[Residence Zip Code],'G - ZIP Code'!A1357)</f>
        <v>0</v>
      </c>
    </row>
    <row r="1358" spans="1:3" x14ac:dyDescent="0.25">
      <c r="A1358">
        <v>34605</v>
      </c>
      <c r="B1358" t="s">
        <v>888</v>
      </c>
      <c r="C1358">
        <f>COUNTIFS(Table24[Client ID '#],"&lt;&gt;",Table24[Residence Zip Code],'G - ZIP Code'!A1358)</f>
        <v>0</v>
      </c>
    </row>
    <row r="1359" spans="1:3" x14ac:dyDescent="0.25">
      <c r="A1359">
        <v>34606</v>
      </c>
      <c r="B1359" t="s">
        <v>888</v>
      </c>
      <c r="C1359">
        <f>COUNTIFS(Table24[Client ID '#],"&lt;&gt;",Table24[Residence Zip Code],'G - ZIP Code'!A1359)</f>
        <v>0</v>
      </c>
    </row>
    <row r="1360" spans="1:3" x14ac:dyDescent="0.25">
      <c r="A1360">
        <v>34607</v>
      </c>
      <c r="B1360" t="s">
        <v>888</v>
      </c>
      <c r="C1360">
        <f>COUNTIFS(Table24[Client ID '#],"&lt;&gt;",Table24[Residence Zip Code],'G - ZIP Code'!A1360)</f>
        <v>0</v>
      </c>
    </row>
    <row r="1361" spans="1:3" x14ac:dyDescent="0.25">
      <c r="A1361">
        <v>34608</v>
      </c>
      <c r="B1361" t="s">
        <v>888</v>
      </c>
      <c r="C1361">
        <f>COUNTIFS(Table24[Client ID '#],"&lt;&gt;",Table24[Residence Zip Code],'G - ZIP Code'!A1361)</f>
        <v>0</v>
      </c>
    </row>
    <row r="1362" spans="1:3" x14ac:dyDescent="0.25">
      <c r="A1362">
        <v>34609</v>
      </c>
      <c r="B1362" t="s">
        <v>888</v>
      </c>
      <c r="C1362">
        <f>COUNTIFS(Table24[Client ID '#],"&lt;&gt;",Table24[Residence Zip Code],'G - ZIP Code'!A1362)</f>
        <v>0</v>
      </c>
    </row>
    <row r="1363" spans="1:3" x14ac:dyDescent="0.25">
      <c r="A1363">
        <v>34610</v>
      </c>
      <c r="B1363" t="s">
        <v>888</v>
      </c>
      <c r="C1363">
        <f>COUNTIFS(Table24[Client ID '#],"&lt;&gt;",Table24[Residence Zip Code],'G - ZIP Code'!A1363)</f>
        <v>0</v>
      </c>
    </row>
    <row r="1364" spans="1:3" x14ac:dyDescent="0.25">
      <c r="A1364">
        <v>34611</v>
      </c>
      <c r="B1364" t="s">
        <v>888</v>
      </c>
      <c r="C1364">
        <f>COUNTIFS(Table24[Client ID '#],"&lt;&gt;",Table24[Residence Zip Code],'G - ZIP Code'!A1364)</f>
        <v>0</v>
      </c>
    </row>
    <row r="1365" spans="1:3" x14ac:dyDescent="0.25">
      <c r="A1365">
        <v>34613</v>
      </c>
      <c r="B1365" t="s">
        <v>888</v>
      </c>
      <c r="C1365">
        <f>COUNTIFS(Table24[Client ID '#],"&lt;&gt;",Table24[Residence Zip Code],'G - ZIP Code'!A1365)</f>
        <v>0</v>
      </c>
    </row>
    <row r="1366" spans="1:3" x14ac:dyDescent="0.25">
      <c r="A1366">
        <v>34614</v>
      </c>
      <c r="B1366" t="s">
        <v>888</v>
      </c>
      <c r="C1366">
        <f>COUNTIFS(Table24[Client ID '#],"&lt;&gt;",Table24[Residence Zip Code],'G - ZIP Code'!A1366)</f>
        <v>0</v>
      </c>
    </row>
    <row r="1367" spans="1:3" x14ac:dyDescent="0.25">
      <c r="A1367">
        <v>34636</v>
      </c>
      <c r="B1367" t="s">
        <v>888</v>
      </c>
      <c r="C1367">
        <f>COUNTIFS(Table24[Client ID '#],"&lt;&gt;",Table24[Residence Zip Code],'G - ZIP Code'!A1367)</f>
        <v>0</v>
      </c>
    </row>
    <row r="1368" spans="1:3" x14ac:dyDescent="0.25">
      <c r="A1368">
        <v>34637</v>
      </c>
      <c r="B1368" t="s">
        <v>888</v>
      </c>
      <c r="C1368">
        <f>COUNTIFS(Table24[Client ID '#],"&lt;&gt;",Table24[Residence Zip Code],'G - ZIP Code'!A1368)</f>
        <v>0</v>
      </c>
    </row>
    <row r="1369" spans="1:3" x14ac:dyDescent="0.25">
      <c r="A1369">
        <v>34638</v>
      </c>
      <c r="B1369" t="s">
        <v>888</v>
      </c>
      <c r="C1369">
        <f>COUNTIFS(Table24[Client ID '#],"&lt;&gt;",Table24[Residence Zip Code],'G - ZIP Code'!A1369)</f>
        <v>0</v>
      </c>
    </row>
    <row r="1370" spans="1:3" x14ac:dyDescent="0.25">
      <c r="A1370">
        <v>34639</v>
      </c>
      <c r="B1370" t="s">
        <v>888</v>
      </c>
      <c r="C1370">
        <f>COUNTIFS(Table24[Client ID '#],"&lt;&gt;",Table24[Residence Zip Code],'G - ZIP Code'!A1370)</f>
        <v>0</v>
      </c>
    </row>
    <row r="1371" spans="1:3" x14ac:dyDescent="0.25">
      <c r="A1371">
        <v>34652</v>
      </c>
      <c r="B1371" t="s">
        <v>888</v>
      </c>
      <c r="C1371">
        <f>COUNTIFS(Table24[Client ID '#],"&lt;&gt;",Table24[Residence Zip Code],'G - ZIP Code'!A1371)</f>
        <v>0</v>
      </c>
    </row>
    <row r="1372" spans="1:3" x14ac:dyDescent="0.25">
      <c r="A1372">
        <v>34653</v>
      </c>
      <c r="B1372" t="s">
        <v>888</v>
      </c>
      <c r="C1372">
        <f>COUNTIFS(Table24[Client ID '#],"&lt;&gt;",Table24[Residence Zip Code],'G - ZIP Code'!A1372)</f>
        <v>0</v>
      </c>
    </row>
    <row r="1373" spans="1:3" x14ac:dyDescent="0.25">
      <c r="A1373">
        <v>34654</v>
      </c>
      <c r="B1373" t="s">
        <v>888</v>
      </c>
      <c r="C1373">
        <f>COUNTIFS(Table24[Client ID '#],"&lt;&gt;",Table24[Residence Zip Code],'G - ZIP Code'!A1373)</f>
        <v>0</v>
      </c>
    </row>
    <row r="1374" spans="1:3" x14ac:dyDescent="0.25">
      <c r="A1374">
        <v>34655</v>
      </c>
      <c r="B1374" t="s">
        <v>888</v>
      </c>
      <c r="C1374">
        <f>COUNTIFS(Table24[Client ID '#],"&lt;&gt;",Table24[Residence Zip Code],'G - ZIP Code'!A1374)</f>
        <v>0</v>
      </c>
    </row>
    <row r="1375" spans="1:3" x14ac:dyDescent="0.25">
      <c r="A1375">
        <v>34656</v>
      </c>
      <c r="B1375" t="s">
        <v>888</v>
      </c>
      <c r="C1375">
        <f>COUNTIFS(Table24[Client ID '#],"&lt;&gt;",Table24[Residence Zip Code],'G - ZIP Code'!A1375)</f>
        <v>0</v>
      </c>
    </row>
    <row r="1376" spans="1:3" x14ac:dyDescent="0.25">
      <c r="A1376">
        <v>34660</v>
      </c>
      <c r="B1376" t="s">
        <v>888</v>
      </c>
      <c r="C1376">
        <f>COUNTIFS(Table24[Client ID '#],"&lt;&gt;",Table24[Residence Zip Code],'G - ZIP Code'!A1376)</f>
        <v>0</v>
      </c>
    </row>
    <row r="1377" spans="1:3" x14ac:dyDescent="0.25">
      <c r="A1377">
        <v>34661</v>
      </c>
      <c r="B1377" t="s">
        <v>888</v>
      </c>
      <c r="C1377">
        <f>COUNTIFS(Table24[Client ID '#],"&lt;&gt;",Table24[Residence Zip Code],'G - ZIP Code'!A1377)</f>
        <v>0</v>
      </c>
    </row>
    <row r="1378" spans="1:3" x14ac:dyDescent="0.25">
      <c r="A1378">
        <v>34667</v>
      </c>
      <c r="B1378" t="s">
        <v>888</v>
      </c>
      <c r="C1378">
        <f>COUNTIFS(Table24[Client ID '#],"&lt;&gt;",Table24[Residence Zip Code],'G - ZIP Code'!A1378)</f>
        <v>0</v>
      </c>
    </row>
    <row r="1379" spans="1:3" x14ac:dyDescent="0.25">
      <c r="A1379">
        <v>34668</v>
      </c>
      <c r="B1379" t="s">
        <v>888</v>
      </c>
      <c r="C1379">
        <f>COUNTIFS(Table24[Client ID '#],"&lt;&gt;",Table24[Residence Zip Code],'G - ZIP Code'!A1379)</f>
        <v>0</v>
      </c>
    </row>
    <row r="1380" spans="1:3" x14ac:dyDescent="0.25">
      <c r="A1380">
        <v>34669</v>
      </c>
      <c r="B1380" t="s">
        <v>888</v>
      </c>
      <c r="C1380">
        <f>COUNTIFS(Table24[Client ID '#],"&lt;&gt;",Table24[Residence Zip Code],'G - ZIP Code'!A1380)</f>
        <v>0</v>
      </c>
    </row>
    <row r="1381" spans="1:3" x14ac:dyDescent="0.25">
      <c r="A1381">
        <v>34673</v>
      </c>
      <c r="B1381" t="s">
        <v>888</v>
      </c>
      <c r="C1381">
        <f>COUNTIFS(Table24[Client ID '#],"&lt;&gt;",Table24[Residence Zip Code],'G - ZIP Code'!A1381)</f>
        <v>0</v>
      </c>
    </row>
    <row r="1382" spans="1:3" x14ac:dyDescent="0.25">
      <c r="A1382">
        <v>34674</v>
      </c>
      <c r="B1382" t="s">
        <v>888</v>
      </c>
      <c r="C1382">
        <f>COUNTIFS(Table24[Client ID '#],"&lt;&gt;",Table24[Residence Zip Code],'G - ZIP Code'!A1382)</f>
        <v>0</v>
      </c>
    </row>
    <row r="1383" spans="1:3" x14ac:dyDescent="0.25">
      <c r="A1383">
        <v>34677</v>
      </c>
      <c r="B1383" t="s">
        <v>888</v>
      </c>
      <c r="C1383">
        <f>COUNTIFS(Table24[Client ID '#],"&lt;&gt;",Table24[Residence Zip Code],'G - ZIP Code'!A1383)</f>
        <v>0</v>
      </c>
    </row>
    <row r="1384" spans="1:3" x14ac:dyDescent="0.25">
      <c r="A1384">
        <v>34679</v>
      </c>
      <c r="B1384" t="s">
        <v>888</v>
      </c>
      <c r="C1384">
        <f>COUNTIFS(Table24[Client ID '#],"&lt;&gt;",Table24[Residence Zip Code],'G - ZIP Code'!A1384)</f>
        <v>0</v>
      </c>
    </row>
    <row r="1385" spans="1:3" x14ac:dyDescent="0.25">
      <c r="A1385">
        <v>34680</v>
      </c>
      <c r="B1385" t="s">
        <v>888</v>
      </c>
      <c r="C1385">
        <f>COUNTIFS(Table24[Client ID '#],"&lt;&gt;",Table24[Residence Zip Code],'G - ZIP Code'!A1385)</f>
        <v>0</v>
      </c>
    </row>
    <row r="1386" spans="1:3" x14ac:dyDescent="0.25">
      <c r="A1386">
        <v>34681</v>
      </c>
      <c r="B1386" t="s">
        <v>888</v>
      </c>
      <c r="C1386">
        <f>COUNTIFS(Table24[Client ID '#],"&lt;&gt;",Table24[Residence Zip Code],'G - ZIP Code'!A1386)</f>
        <v>0</v>
      </c>
    </row>
    <row r="1387" spans="1:3" x14ac:dyDescent="0.25">
      <c r="A1387">
        <v>34682</v>
      </c>
      <c r="B1387" t="s">
        <v>888</v>
      </c>
      <c r="C1387">
        <f>COUNTIFS(Table24[Client ID '#],"&lt;&gt;",Table24[Residence Zip Code],'G - ZIP Code'!A1387)</f>
        <v>0</v>
      </c>
    </row>
    <row r="1388" spans="1:3" x14ac:dyDescent="0.25">
      <c r="A1388">
        <v>34683</v>
      </c>
      <c r="B1388" t="s">
        <v>888</v>
      </c>
      <c r="C1388">
        <f>COUNTIFS(Table24[Client ID '#],"&lt;&gt;",Table24[Residence Zip Code],'G - ZIP Code'!A1388)</f>
        <v>0</v>
      </c>
    </row>
    <row r="1389" spans="1:3" x14ac:dyDescent="0.25">
      <c r="A1389">
        <v>34684</v>
      </c>
      <c r="B1389" t="s">
        <v>888</v>
      </c>
      <c r="C1389">
        <f>COUNTIFS(Table24[Client ID '#],"&lt;&gt;",Table24[Residence Zip Code],'G - ZIP Code'!A1389)</f>
        <v>0</v>
      </c>
    </row>
    <row r="1390" spans="1:3" x14ac:dyDescent="0.25">
      <c r="A1390">
        <v>34685</v>
      </c>
      <c r="B1390" t="s">
        <v>888</v>
      </c>
      <c r="C1390">
        <f>COUNTIFS(Table24[Client ID '#],"&lt;&gt;",Table24[Residence Zip Code],'G - ZIP Code'!A1390)</f>
        <v>0</v>
      </c>
    </row>
    <row r="1391" spans="1:3" x14ac:dyDescent="0.25">
      <c r="A1391">
        <v>34688</v>
      </c>
      <c r="B1391" t="s">
        <v>888</v>
      </c>
      <c r="C1391">
        <f>COUNTIFS(Table24[Client ID '#],"&lt;&gt;",Table24[Residence Zip Code],'G - ZIP Code'!A1391)</f>
        <v>0</v>
      </c>
    </row>
    <row r="1392" spans="1:3" x14ac:dyDescent="0.25">
      <c r="A1392">
        <v>34689</v>
      </c>
      <c r="B1392" t="s">
        <v>888</v>
      </c>
      <c r="C1392">
        <f>COUNTIFS(Table24[Client ID '#],"&lt;&gt;",Table24[Residence Zip Code],'G - ZIP Code'!A1392)</f>
        <v>0</v>
      </c>
    </row>
    <row r="1393" spans="1:3" x14ac:dyDescent="0.25">
      <c r="A1393">
        <v>34690</v>
      </c>
      <c r="B1393" t="s">
        <v>888</v>
      </c>
      <c r="C1393">
        <f>COUNTIFS(Table24[Client ID '#],"&lt;&gt;",Table24[Residence Zip Code],'G - ZIP Code'!A1393)</f>
        <v>0</v>
      </c>
    </row>
    <row r="1394" spans="1:3" x14ac:dyDescent="0.25">
      <c r="A1394">
        <v>34691</v>
      </c>
      <c r="B1394" t="s">
        <v>888</v>
      </c>
      <c r="C1394">
        <f>COUNTIFS(Table24[Client ID '#],"&lt;&gt;",Table24[Residence Zip Code],'G - ZIP Code'!A1394)</f>
        <v>0</v>
      </c>
    </row>
    <row r="1395" spans="1:3" x14ac:dyDescent="0.25">
      <c r="A1395">
        <v>34692</v>
      </c>
      <c r="B1395" t="s">
        <v>888</v>
      </c>
      <c r="C1395">
        <f>COUNTIFS(Table24[Client ID '#],"&lt;&gt;",Table24[Residence Zip Code],'G - ZIP Code'!A1395)</f>
        <v>0</v>
      </c>
    </row>
    <row r="1396" spans="1:3" x14ac:dyDescent="0.25">
      <c r="A1396">
        <v>34695</v>
      </c>
      <c r="B1396" t="s">
        <v>888</v>
      </c>
      <c r="C1396">
        <f>COUNTIFS(Table24[Client ID '#],"&lt;&gt;",Table24[Residence Zip Code],'G - ZIP Code'!A1396)</f>
        <v>0</v>
      </c>
    </row>
    <row r="1397" spans="1:3" x14ac:dyDescent="0.25">
      <c r="A1397">
        <v>34697</v>
      </c>
      <c r="B1397" t="s">
        <v>888</v>
      </c>
      <c r="C1397">
        <f>COUNTIFS(Table24[Client ID '#],"&lt;&gt;",Table24[Residence Zip Code],'G - ZIP Code'!A1397)</f>
        <v>0</v>
      </c>
    </row>
    <row r="1398" spans="1:3" x14ac:dyDescent="0.25">
      <c r="A1398">
        <v>34698</v>
      </c>
      <c r="B1398" t="s">
        <v>888</v>
      </c>
      <c r="C1398">
        <f>COUNTIFS(Table24[Client ID '#],"&lt;&gt;",Table24[Residence Zip Code],'G - ZIP Code'!A1398)</f>
        <v>0</v>
      </c>
    </row>
    <row r="1399" spans="1:3" x14ac:dyDescent="0.25">
      <c r="A1399">
        <v>34705</v>
      </c>
      <c r="B1399" t="s">
        <v>888</v>
      </c>
      <c r="C1399">
        <f>COUNTIFS(Table24[Client ID '#],"&lt;&gt;",Table24[Residence Zip Code],'G - ZIP Code'!A1399)</f>
        <v>0</v>
      </c>
    </row>
    <row r="1400" spans="1:3" x14ac:dyDescent="0.25">
      <c r="A1400">
        <v>34711</v>
      </c>
      <c r="B1400" t="s">
        <v>888</v>
      </c>
      <c r="C1400">
        <f>COUNTIFS(Table24[Client ID '#],"&lt;&gt;",Table24[Residence Zip Code],'G - ZIP Code'!A1400)</f>
        <v>0</v>
      </c>
    </row>
    <row r="1401" spans="1:3" x14ac:dyDescent="0.25">
      <c r="A1401">
        <v>34712</v>
      </c>
      <c r="B1401" t="s">
        <v>888</v>
      </c>
      <c r="C1401">
        <f>COUNTIFS(Table24[Client ID '#],"&lt;&gt;",Table24[Residence Zip Code],'G - ZIP Code'!A1401)</f>
        <v>0</v>
      </c>
    </row>
    <row r="1402" spans="1:3" x14ac:dyDescent="0.25">
      <c r="A1402">
        <v>34713</v>
      </c>
      <c r="B1402" t="s">
        <v>888</v>
      </c>
      <c r="C1402">
        <f>COUNTIFS(Table24[Client ID '#],"&lt;&gt;",Table24[Residence Zip Code],'G - ZIP Code'!A1402)</f>
        <v>0</v>
      </c>
    </row>
    <row r="1403" spans="1:3" x14ac:dyDescent="0.25">
      <c r="A1403">
        <v>34714</v>
      </c>
      <c r="B1403" t="s">
        <v>888</v>
      </c>
      <c r="C1403">
        <f>COUNTIFS(Table24[Client ID '#],"&lt;&gt;",Table24[Residence Zip Code],'G - ZIP Code'!A1403)</f>
        <v>0</v>
      </c>
    </row>
    <row r="1404" spans="1:3" x14ac:dyDescent="0.25">
      <c r="A1404">
        <v>34715</v>
      </c>
      <c r="B1404" t="s">
        <v>888</v>
      </c>
      <c r="C1404">
        <f>COUNTIFS(Table24[Client ID '#],"&lt;&gt;",Table24[Residence Zip Code],'G - ZIP Code'!A1404)</f>
        <v>0</v>
      </c>
    </row>
    <row r="1405" spans="1:3" x14ac:dyDescent="0.25">
      <c r="A1405">
        <v>34729</v>
      </c>
      <c r="B1405" t="s">
        <v>888</v>
      </c>
      <c r="C1405">
        <f>COUNTIFS(Table24[Client ID '#],"&lt;&gt;",Table24[Residence Zip Code],'G - ZIP Code'!A1405)</f>
        <v>0</v>
      </c>
    </row>
    <row r="1406" spans="1:3" x14ac:dyDescent="0.25">
      <c r="A1406">
        <v>34731</v>
      </c>
      <c r="B1406" t="s">
        <v>888</v>
      </c>
      <c r="C1406">
        <f>COUNTIFS(Table24[Client ID '#],"&lt;&gt;",Table24[Residence Zip Code],'G - ZIP Code'!A1406)</f>
        <v>0</v>
      </c>
    </row>
    <row r="1407" spans="1:3" x14ac:dyDescent="0.25">
      <c r="A1407">
        <v>34734</v>
      </c>
      <c r="B1407" t="s">
        <v>888</v>
      </c>
      <c r="C1407">
        <f>COUNTIFS(Table24[Client ID '#],"&lt;&gt;",Table24[Residence Zip Code],'G - ZIP Code'!A1407)</f>
        <v>0</v>
      </c>
    </row>
    <row r="1408" spans="1:3" x14ac:dyDescent="0.25">
      <c r="A1408">
        <v>34736</v>
      </c>
      <c r="B1408" t="s">
        <v>888</v>
      </c>
      <c r="C1408">
        <f>COUNTIFS(Table24[Client ID '#],"&lt;&gt;",Table24[Residence Zip Code],'G - ZIP Code'!A1408)</f>
        <v>0</v>
      </c>
    </row>
    <row r="1409" spans="1:3" x14ac:dyDescent="0.25">
      <c r="A1409">
        <v>34737</v>
      </c>
      <c r="B1409" t="s">
        <v>888</v>
      </c>
      <c r="C1409">
        <f>COUNTIFS(Table24[Client ID '#],"&lt;&gt;",Table24[Residence Zip Code],'G - ZIP Code'!A1409)</f>
        <v>0</v>
      </c>
    </row>
    <row r="1410" spans="1:3" x14ac:dyDescent="0.25">
      <c r="A1410">
        <v>34739</v>
      </c>
      <c r="B1410" t="s">
        <v>888</v>
      </c>
      <c r="C1410">
        <f>COUNTIFS(Table24[Client ID '#],"&lt;&gt;",Table24[Residence Zip Code],'G - ZIP Code'!A1410)</f>
        <v>0</v>
      </c>
    </row>
    <row r="1411" spans="1:3" x14ac:dyDescent="0.25">
      <c r="A1411">
        <v>34740</v>
      </c>
      <c r="B1411" t="s">
        <v>888</v>
      </c>
      <c r="C1411">
        <f>COUNTIFS(Table24[Client ID '#],"&lt;&gt;",Table24[Residence Zip Code],'G - ZIP Code'!A1411)</f>
        <v>0</v>
      </c>
    </row>
    <row r="1412" spans="1:3" x14ac:dyDescent="0.25">
      <c r="A1412">
        <v>34741</v>
      </c>
      <c r="B1412" t="s">
        <v>888</v>
      </c>
      <c r="C1412">
        <f>COUNTIFS(Table24[Client ID '#],"&lt;&gt;",Table24[Residence Zip Code],'G - ZIP Code'!A1412)</f>
        <v>0</v>
      </c>
    </row>
    <row r="1413" spans="1:3" x14ac:dyDescent="0.25">
      <c r="A1413">
        <v>34742</v>
      </c>
      <c r="B1413" t="s">
        <v>888</v>
      </c>
      <c r="C1413">
        <f>COUNTIFS(Table24[Client ID '#],"&lt;&gt;",Table24[Residence Zip Code],'G - ZIP Code'!A1413)</f>
        <v>0</v>
      </c>
    </row>
    <row r="1414" spans="1:3" x14ac:dyDescent="0.25">
      <c r="A1414">
        <v>34743</v>
      </c>
      <c r="B1414" t="s">
        <v>888</v>
      </c>
      <c r="C1414">
        <f>COUNTIFS(Table24[Client ID '#],"&lt;&gt;",Table24[Residence Zip Code],'G - ZIP Code'!A1414)</f>
        <v>0</v>
      </c>
    </row>
    <row r="1415" spans="1:3" x14ac:dyDescent="0.25">
      <c r="A1415">
        <v>34744</v>
      </c>
      <c r="B1415" t="s">
        <v>888</v>
      </c>
      <c r="C1415">
        <f>COUNTIFS(Table24[Client ID '#],"&lt;&gt;",Table24[Residence Zip Code],'G - ZIP Code'!A1415)</f>
        <v>0</v>
      </c>
    </row>
    <row r="1416" spans="1:3" x14ac:dyDescent="0.25">
      <c r="A1416">
        <v>34745</v>
      </c>
      <c r="B1416" t="s">
        <v>888</v>
      </c>
      <c r="C1416">
        <f>COUNTIFS(Table24[Client ID '#],"&lt;&gt;",Table24[Residence Zip Code],'G - ZIP Code'!A1416)</f>
        <v>0</v>
      </c>
    </row>
    <row r="1417" spans="1:3" x14ac:dyDescent="0.25">
      <c r="A1417">
        <v>34746</v>
      </c>
      <c r="B1417" t="s">
        <v>888</v>
      </c>
      <c r="C1417">
        <f>COUNTIFS(Table24[Client ID '#],"&lt;&gt;",Table24[Residence Zip Code],'G - ZIP Code'!A1417)</f>
        <v>0</v>
      </c>
    </row>
    <row r="1418" spans="1:3" x14ac:dyDescent="0.25">
      <c r="A1418">
        <v>34747</v>
      </c>
      <c r="B1418" t="s">
        <v>888</v>
      </c>
      <c r="C1418">
        <f>COUNTIFS(Table24[Client ID '#],"&lt;&gt;",Table24[Residence Zip Code],'G - ZIP Code'!A1418)</f>
        <v>0</v>
      </c>
    </row>
    <row r="1419" spans="1:3" x14ac:dyDescent="0.25">
      <c r="A1419">
        <v>34748</v>
      </c>
      <c r="B1419" t="s">
        <v>888</v>
      </c>
      <c r="C1419">
        <f>COUNTIFS(Table24[Client ID '#],"&lt;&gt;",Table24[Residence Zip Code],'G - ZIP Code'!A1419)</f>
        <v>0</v>
      </c>
    </row>
    <row r="1420" spans="1:3" x14ac:dyDescent="0.25">
      <c r="A1420">
        <v>34749</v>
      </c>
      <c r="B1420" t="s">
        <v>888</v>
      </c>
      <c r="C1420">
        <f>COUNTIFS(Table24[Client ID '#],"&lt;&gt;",Table24[Residence Zip Code],'G - ZIP Code'!A1420)</f>
        <v>0</v>
      </c>
    </row>
    <row r="1421" spans="1:3" x14ac:dyDescent="0.25">
      <c r="A1421">
        <v>34753</v>
      </c>
      <c r="B1421" t="s">
        <v>888</v>
      </c>
      <c r="C1421">
        <f>COUNTIFS(Table24[Client ID '#],"&lt;&gt;",Table24[Residence Zip Code],'G - ZIP Code'!A1421)</f>
        <v>0</v>
      </c>
    </row>
    <row r="1422" spans="1:3" x14ac:dyDescent="0.25">
      <c r="A1422">
        <v>34755</v>
      </c>
      <c r="B1422" t="s">
        <v>888</v>
      </c>
      <c r="C1422">
        <f>COUNTIFS(Table24[Client ID '#],"&lt;&gt;",Table24[Residence Zip Code],'G - ZIP Code'!A1422)</f>
        <v>0</v>
      </c>
    </row>
    <row r="1423" spans="1:3" x14ac:dyDescent="0.25">
      <c r="A1423">
        <v>34756</v>
      </c>
      <c r="B1423" t="s">
        <v>888</v>
      </c>
      <c r="C1423">
        <f>COUNTIFS(Table24[Client ID '#],"&lt;&gt;",Table24[Residence Zip Code],'G - ZIP Code'!A1423)</f>
        <v>0</v>
      </c>
    </row>
    <row r="1424" spans="1:3" x14ac:dyDescent="0.25">
      <c r="A1424">
        <v>34758</v>
      </c>
      <c r="B1424" t="s">
        <v>888</v>
      </c>
      <c r="C1424">
        <f>COUNTIFS(Table24[Client ID '#],"&lt;&gt;",Table24[Residence Zip Code],'G - ZIP Code'!A1424)</f>
        <v>0</v>
      </c>
    </row>
    <row r="1425" spans="1:3" x14ac:dyDescent="0.25">
      <c r="A1425">
        <v>34759</v>
      </c>
      <c r="B1425" t="s">
        <v>888</v>
      </c>
      <c r="C1425">
        <f>COUNTIFS(Table24[Client ID '#],"&lt;&gt;",Table24[Residence Zip Code],'G - ZIP Code'!A1425)</f>
        <v>0</v>
      </c>
    </row>
    <row r="1426" spans="1:3" x14ac:dyDescent="0.25">
      <c r="A1426">
        <v>34760</v>
      </c>
      <c r="B1426" t="s">
        <v>888</v>
      </c>
      <c r="C1426">
        <f>COUNTIFS(Table24[Client ID '#],"&lt;&gt;",Table24[Residence Zip Code],'G - ZIP Code'!A1426)</f>
        <v>0</v>
      </c>
    </row>
    <row r="1427" spans="1:3" x14ac:dyDescent="0.25">
      <c r="A1427">
        <v>34761</v>
      </c>
      <c r="B1427" t="s">
        <v>888</v>
      </c>
      <c r="C1427">
        <f>COUNTIFS(Table24[Client ID '#],"&lt;&gt;",Table24[Residence Zip Code],'G - ZIP Code'!A1427)</f>
        <v>0</v>
      </c>
    </row>
    <row r="1428" spans="1:3" x14ac:dyDescent="0.25">
      <c r="A1428">
        <v>34762</v>
      </c>
      <c r="B1428" t="s">
        <v>888</v>
      </c>
      <c r="C1428">
        <f>COUNTIFS(Table24[Client ID '#],"&lt;&gt;",Table24[Residence Zip Code],'G - ZIP Code'!A1428)</f>
        <v>0</v>
      </c>
    </row>
    <row r="1429" spans="1:3" x14ac:dyDescent="0.25">
      <c r="A1429">
        <v>34769</v>
      </c>
      <c r="B1429" t="s">
        <v>888</v>
      </c>
      <c r="C1429">
        <f>COUNTIFS(Table24[Client ID '#],"&lt;&gt;",Table24[Residence Zip Code],'G - ZIP Code'!A1429)</f>
        <v>0</v>
      </c>
    </row>
    <row r="1430" spans="1:3" x14ac:dyDescent="0.25">
      <c r="A1430">
        <v>34770</v>
      </c>
      <c r="B1430" t="s">
        <v>888</v>
      </c>
      <c r="C1430">
        <f>COUNTIFS(Table24[Client ID '#],"&lt;&gt;",Table24[Residence Zip Code],'G - ZIP Code'!A1430)</f>
        <v>0</v>
      </c>
    </row>
    <row r="1431" spans="1:3" x14ac:dyDescent="0.25">
      <c r="A1431">
        <v>34771</v>
      </c>
      <c r="B1431" t="s">
        <v>888</v>
      </c>
      <c r="C1431">
        <f>COUNTIFS(Table24[Client ID '#],"&lt;&gt;",Table24[Residence Zip Code],'G - ZIP Code'!A1431)</f>
        <v>0</v>
      </c>
    </row>
    <row r="1432" spans="1:3" x14ac:dyDescent="0.25">
      <c r="A1432">
        <v>34772</v>
      </c>
      <c r="B1432" t="s">
        <v>888</v>
      </c>
      <c r="C1432">
        <f>COUNTIFS(Table24[Client ID '#],"&lt;&gt;",Table24[Residence Zip Code],'G - ZIP Code'!A1432)</f>
        <v>0</v>
      </c>
    </row>
    <row r="1433" spans="1:3" x14ac:dyDescent="0.25">
      <c r="A1433">
        <v>34773</v>
      </c>
      <c r="B1433" t="s">
        <v>888</v>
      </c>
      <c r="C1433">
        <f>COUNTIFS(Table24[Client ID '#],"&lt;&gt;",Table24[Residence Zip Code],'G - ZIP Code'!A1433)</f>
        <v>0</v>
      </c>
    </row>
    <row r="1434" spans="1:3" x14ac:dyDescent="0.25">
      <c r="A1434">
        <v>34777</v>
      </c>
      <c r="B1434" t="s">
        <v>888</v>
      </c>
      <c r="C1434">
        <f>COUNTIFS(Table24[Client ID '#],"&lt;&gt;",Table24[Residence Zip Code],'G - ZIP Code'!A1434)</f>
        <v>0</v>
      </c>
    </row>
    <row r="1435" spans="1:3" x14ac:dyDescent="0.25">
      <c r="A1435">
        <v>34778</v>
      </c>
      <c r="B1435" t="s">
        <v>888</v>
      </c>
      <c r="C1435">
        <f>COUNTIFS(Table24[Client ID '#],"&lt;&gt;",Table24[Residence Zip Code],'G - ZIP Code'!A1435)</f>
        <v>0</v>
      </c>
    </row>
    <row r="1436" spans="1:3" x14ac:dyDescent="0.25">
      <c r="A1436">
        <v>34785</v>
      </c>
      <c r="B1436" t="s">
        <v>888</v>
      </c>
      <c r="C1436">
        <f>COUNTIFS(Table24[Client ID '#],"&lt;&gt;",Table24[Residence Zip Code],'G - ZIP Code'!A1436)</f>
        <v>0</v>
      </c>
    </row>
    <row r="1437" spans="1:3" x14ac:dyDescent="0.25">
      <c r="A1437">
        <v>34786</v>
      </c>
      <c r="B1437" t="s">
        <v>888</v>
      </c>
      <c r="C1437">
        <f>COUNTIFS(Table24[Client ID '#],"&lt;&gt;",Table24[Residence Zip Code],'G - ZIP Code'!A1437)</f>
        <v>0</v>
      </c>
    </row>
    <row r="1438" spans="1:3" x14ac:dyDescent="0.25">
      <c r="A1438">
        <v>34787</v>
      </c>
      <c r="B1438" t="s">
        <v>888</v>
      </c>
      <c r="C1438">
        <f>COUNTIFS(Table24[Client ID '#],"&lt;&gt;",Table24[Residence Zip Code],'G - ZIP Code'!A1438)</f>
        <v>0</v>
      </c>
    </row>
    <row r="1439" spans="1:3" x14ac:dyDescent="0.25">
      <c r="A1439">
        <v>34788</v>
      </c>
      <c r="B1439" t="s">
        <v>888</v>
      </c>
      <c r="C1439">
        <f>COUNTIFS(Table24[Client ID '#],"&lt;&gt;",Table24[Residence Zip Code],'G - ZIP Code'!A1439)</f>
        <v>0</v>
      </c>
    </row>
    <row r="1440" spans="1:3" x14ac:dyDescent="0.25">
      <c r="A1440">
        <v>34789</v>
      </c>
      <c r="B1440" t="s">
        <v>888</v>
      </c>
      <c r="C1440">
        <f>COUNTIFS(Table24[Client ID '#],"&lt;&gt;",Table24[Residence Zip Code],'G - ZIP Code'!A1440)</f>
        <v>0</v>
      </c>
    </row>
    <row r="1441" spans="1:3" x14ac:dyDescent="0.25">
      <c r="A1441">
        <v>34797</v>
      </c>
      <c r="B1441" t="s">
        <v>888</v>
      </c>
      <c r="C1441">
        <f>COUNTIFS(Table24[Client ID '#],"&lt;&gt;",Table24[Residence Zip Code],'G - ZIP Code'!A1441)</f>
        <v>0</v>
      </c>
    </row>
    <row r="1442" spans="1:3" x14ac:dyDescent="0.25">
      <c r="A1442">
        <v>34945</v>
      </c>
      <c r="B1442" t="s">
        <v>888</v>
      </c>
      <c r="C1442">
        <f>COUNTIFS(Table24[Client ID '#],"&lt;&gt;",Table24[Residence Zip Code],'G - ZIP Code'!A1442)</f>
        <v>0</v>
      </c>
    </row>
    <row r="1443" spans="1:3" x14ac:dyDescent="0.25">
      <c r="A1443">
        <v>34946</v>
      </c>
      <c r="B1443" t="s">
        <v>888</v>
      </c>
      <c r="C1443">
        <f>COUNTIFS(Table24[Client ID '#],"&lt;&gt;",Table24[Residence Zip Code],'G - ZIP Code'!A1443)</f>
        <v>0</v>
      </c>
    </row>
    <row r="1444" spans="1:3" x14ac:dyDescent="0.25">
      <c r="A1444">
        <v>34947</v>
      </c>
      <c r="B1444" t="s">
        <v>888</v>
      </c>
      <c r="C1444">
        <f>COUNTIFS(Table24[Client ID '#],"&lt;&gt;",Table24[Residence Zip Code],'G - ZIP Code'!A1444)</f>
        <v>0</v>
      </c>
    </row>
    <row r="1445" spans="1:3" x14ac:dyDescent="0.25">
      <c r="A1445">
        <v>34948</v>
      </c>
      <c r="B1445" t="s">
        <v>888</v>
      </c>
      <c r="C1445">
        <f>COUNTIFS(Table24[Client ID '#],"&lt;&gt;",Table24[Residence Zip Code],'G - ZIP Code'!A1445)</f>
        <v>0</v>
      </c>
    </row>
    <row r="1446" spans="1:3" x14ac:dyDescent="0.25">
      <c r="A1446">
        <v>34949</v>
      </c>
      <c r="B1446" t="s">
        <v>888</v>
      </c>
      <c r="C1446">
        <f>COUNTIFS(Table24[Client ID '#],"&lt;&gt;",Table24[Residence Zip Code],'G - ZIP Code'!A1446)</f>
        <v>0</v>
      </c>
    </row>
    <row r="1447" spans="1:3" x14ac:dyDescent="0.25">
      <c r="A1447">
        <v>34950</v>
      </c>
      <c r="B1447" t="s">
        <v>888</v>
      </c>
      <c r="C1447">
        <f>COUNTIFS(Table24[Client ID '#],"&lt;&gt;",Table24[Residence Zip Code],'G - ZIP Code'!A1447)</f>
        <v>0</v>
      </c>
    </row>
    <row r="1448" spans="1:3" x14ac:dyDescent="0.25">
      <c r="A1448">
        <v>34951</v>
      </c>
      <c r="B1448" t="s">
        <v>888</v>
      </c>
      <c r="C1448">
        <f>COUNTIFS(Table24[Client ID '#],"&lt;&gt;",Table24[Residence Zip Code],'G - ZIP Code'!A1448)</f>
        <v>0</v>
      </c>
    </row>
    <row r="1449" spans="1:3" x14ac:dyDescent="0.25">
      <c r="A1449">
        <v>34952</v>
      </c>
      <c r="B1449" t="s">
        <v>888</v>
      </c>
      <c r="C1449">
        <f>COUNTIFS(Table24[Client ID '#],"&lt;&gt;",Table24[Residence Zip Code],'G - ZIP Code'!A1449)</f>
        <v>0</v>
      </c>
    </row>
    <row r="1450" spans="1:3" x14ac:dyDescent="0.25">
      <c r="A1450">
        <v>34953</v>
      </c>
      <c r="B1450" t="s">
        <v>888</v>
      </c>
      <c r="C1450">
        <f>COUNTIFS(Table24[Client ID '#],"&lt;&gt;",Table24[Residence Zip Code],'G - ZIP Code'!A1450)</f>
        <v>0</v>
      </c>
    </row>
    <row r="1451" spans="1:3" x14ac:dyDescent="0.25">
      <c r="A1451">
        <v>34954</v>
      </c>
      <c r="B1451" t="s">
        <v>888</v>
      </c>
      <c r="C1451">
        <f>COUNTIFS(Table24[Client ID '#],"&lt;&gt;",Table24[Residence Zip Code],'G - ZIP Code'!A1451)</f>
        <v>0</v>
      </c>
    </row>
    <row r="1452" spans="1:3" x14ac:dyDescent="0.25">
      <c r="A1452">
        <v>34956</v>
      </c>
      <c r="B1452" t="s">
        <v>888</v>
      </c>
      <c r="C1452">
        <f>COUNTIFS(Table24[Client ID '#],"&lt;&gt;",Table24[Residence Zip Code],'G - ZIP Code'!A1452)</f>
        <v>0</v>
      </c>
    </row>
    <row r="1453" spans="1:3" x14ac:dyDescent="0.25">
      <c r="A1453">
        <v>34957</v>
      </c>
      <c r="B1453" t="s">
        <v>888</v>
      </c>
      <c r="C1453">
        <f>COUNTIFS(Table24[Client ID '#],"&lt;&gt;",Table24[Residence Zip Code],'G - ZIP Code'!A1453)</f>
        <v>0</v>
      </c>
    </row>
    <row r="1454" spans="1:3" x14ac:dyDescent="0.25">
      <c r="A1454">
        <v>34958</v>
      </c>
      <c r="B1454" t="s">
        <v>888</v>
      </c>
      <c r="C1454">
        <f>COUNTIFS(Table24[Client ID '#],"&lt;&gt;",Table24[Residence Zip Code],'G - ZIP Code'!A1454)</f>
        <v>0</v>
      </c>
    </row>
    <row r="1455" spans="1:3" x14ac:dyDescent="0.25">
      <c r="A1455">
        <v>34972</v>
      </c>
      <c r="B1455" t="s">
        <v>888</v>
      </c>
      <c r="C1455">
        <f>COUNTIFS(Table24[Client ID '#],"&lt;&gt;",Table24[Residence Zip Code],'G - ZIP Code'!A1455)</f>
        <v>0</v>
      </c>
    </row>
    <row r="1456" spans="1:3" x14ac:dyDescent="0.25">
      <c r="A1456">
        <v>34973</v>
      </c>
      <c r="B1456" t="s">
        <v>888</v>
      </c>
      <c r="C1456">
        <f>COUNTIFS(Table24[Client ID '#],"&lt;&gt;",Table24[Residence Zip Code],'G - ZIP Code'!A1456)</f>
        <v>0</v>
      </c>
    </row>
    <row r="1457" spans="1:3" x14ac:dyDescent="0.25">
      <c r="A1457">
        <v>34974</v>
      </c>
      <c r="B1457" t="s">
        <v>888</v>
      </c>
      <c r="C1457">
        <f>COUNTIFS(Table24[Client ID '#],"&lt;&gt;",Table24[Residence Zip Code],'G - ZIP Code'!A1457)</f>
        <v>0</v>
      </c>
    </row>
    <row r="1458" spans="1:3" x14ac:dyDescent="0.25">
      <c r="A1458">
        <v>34979</v>
      </c>
      <c r="B1458" t="s">
        <v>888</v>
      </c>
      <c r="C1458">
        <f>COUNTIFS(Table24[Client ID '#],"&lt;&gt;",Table24[Residence Zip Code],'G - ZIP Code'!A1458)</f>
        <v>0</v>
      </c>
    </row>
    <row r="1459" spans="1:3" x14ac:dyDescent="0.25">
      <c r="A1459">
        <v>34981</v>
      </c>
      <c r="B1459" t="s">
        <v>888</v>
      </c>
      <c r="C1459">
        <f>COUNTIFS(Table24[Client ID '#],"&lt;&gt;",Table24[Residence Zip Code],'G - ZIP Code'!A1459)</f>
        <v>0</v>
      </c>
    </row>
    <row r="1460" spans="1:3" x14ac:dyDescent="0.25">
      <c r="A1460">
        <v>34982</v>
      </c>
      <c r="B1460" t="s">
        <v>888</v>
      </c>
      <c r="C1460">
        <f>COUNTIFS(Table24[Client ID '#],"&lt;&gt;",Table24[Residence Zip Code],'G - ZIP Code'!A1460)</f>
        <v>0</v>
      </c>
    </row>
    <row r="1461" spans="1:3" x14ac:dyDescent="0.25">
      <c r="A1461">
        <v>34983</v>
      </c>
      <c r="B1461" t="s">
        <v>888</v>
      </c>
      <c r="C1461">
        <f>COUNTIFS(Table24[Client ID '#],"&lt;&gt;",Table24[Residence Zip Code],'G - ZIP Code'!A1461)</f>
        <v>0</v>
      </c>
    </row>
    <row r="1462" spans="1:3" x14ac:dyDescent="0.25">
      <c r="A1462">
        <v>34984</v>
      </c>
      <c r="B1462" t="s">
        <v>888</v>
      </c>
      <c r="C1462">
        <f>COUNTIFS(Table24[Client ID '#],"&lt;&gt;",Table24[Residence Zip Code],'G - ZIP Code'!A1462)</f>
        <v>0</v>
      </c>
    </row>
    <row r="1463" spans="1:3" x14ac:dyDescent="0.25">
      <c r="A1463">
        <v>34985</v>
      </c>
      <c r="B1463" t="s">
        <v>888</v>
      </c>
      <c r="C1463">
        <f>COUNTIFS(Table24[Client ID '#],"&lt;&gt;",Table24[Residence Zip Code],'G - ZIP Code'!A1463)</f>
        <v>0</v>
      </c>
    </row>
    <row r="1464" spans="1:3" x14ac:dyDescent="0.25">
      <c r="A1464">
        <v>34986</v>
      </c>
      <c r="B1464" t="s">
        <v>888</v>
      </c>
      <c r="C1464">
        <f>COUNTIFS(Table24[Client ID '#],"&lt;&gt;",Table24[Residence Zip Code],'G - ZIP Code'!A1464)</f>
        <v>0</v>
      </c>
    </row>
    <row r="1465" spans="1:3" x14ac:dyDescent="0.25">
      <c r="A1465">
        <v>34987</v>
      </c>
      <c r="B1465" t="s">
        <v>888</v>
      </c>
      <c r="C1465">
        <f>COUNTIFS(Table24[Client ID '#],"&lt;&gt;",Table24[Residence Zip Code],'G - ZIP Code'!A1465)</f>
        <v>0</v>
      </c>
    </row>
    <row r="1466" spans="1:3" x14ac:dyDescent="0.25">
      <c r="A1466">
        <v>34988</v>
      </c>
      <c r="B1466" t="s">
        <v>888</v>
      </c>
      <c r="C1466">
        <f>COUNTIFS(Table24[Client ID '#],"&lt;&gt;",Table24[Residence Zip Code],'G - ZIP Code'!A1466)</f>
        <v>0</v>
      </c>
    </row>
    <row r="1467" spans="1:3" x14ac:dyDescent="0.25">
      <c r="A1467">
        <v>34990</v>
      </c>
      <c r="B1467" t="s">
        <v>888</v>
      </c>
      <c r="C1467">
        <f>COUNTIFS(Table24[Client ID '#],"&lt;&gt;",Table24[Residence Zip Code],'G - ZIP Code'!A1467)</f>
        <v>0</v>
      </c>
    </row>
    <row r="1468" spans="1:3" x14ac:dyDescent="0.25">
      <c r="A1468">
        <v>34991</v>
      </c>
      <c r="B1468" t="s">
        <v>888</v>
      </c>
      <c r="C1468">
        <f>COUNTIFS(Table24[Client ID '#],"&lt;&gt;",Table24[Residence Zip Code],'G - ZIP Code'!A1468)</f>
        <v>0</v>
      </c>
    </row>
    <row r="1469" spans="1:3" x14ac:dyDescent="0.25">
      <c r="A1469">
        <v>34992</v>
      </c>
      <c r="B1469" t="s">
        <v>888</v>
      </c>
      <c r="C1469">
        <f>COUNTIFS(Table24[Client ID '#],"&lt;&gt;",Table24[Residence Zip Code],'G - ZIP Code'!A1469)</f>
        <v>0</v>
      </c>
    </row>
    <row r="1470" spans="1:3" x14ac:dyDescent="0.25">
      <c r="A1470">
        <v>34994</v>
      </c>
      <c r="B1470" t="s">
        <v>888</v>
      </c>
      <c r="C1470">
        <f>COUNTIFS(Table24[Client ID '#],"&lt;&gt;",Table24[Residence Zip Code],'G - ZIP Code'!A1470)</f>
        <v>0</v>
      </c>
    </row>
    <row r="1471" spans="1:3" x14ac:dyDescent="0.25">
      <c r="A1471">
        <v>34995</v>
      </c>
      <c r="B1471" t="s">
        <v>888</v>
      </c>
      <c r="C1471">
        <f>COUNTIFS(Table24[Client ID '#],"&lt;&gt;",Table24[Residence Zip Code],'G - ZIP Code'!A1471)</f>
        <v>0</v>
      </c>
    </row>
    <row r="1472" spans="1:3" x14ac:dyDescent="0.25">
      <c r="A1472">
        <v>34996</v>
      </c>
      <c r="B1472" t="s">
        <v>888</v>
      </c>
      <c r="C1472">
        <f>COUNTIFS(Table24[Client ID '#],"&lt;&gt;",Table24[Residence Zip Code],'G - ZIP Code'!A1472)</f>
        <v>0</v>
      </c>
    </row>
    <row r="1473" spans="1:3" x14ac:dyDescent="0.25">
      <c r="A1473">
        <v>34997</v>
      </c>
      <c r="B1473" t="s">
        <v>888</v>
      </c>
      <c r="C1473">
        <f>COUNTIFS(Table24[Client ID '#],"&lt;&gt;",Table24[Residence Zip Code],'G - ZIP Code'!A1473)</f>
        <v>0</v>
      </c>
    </row>
  </sheetData>
  <hyperlinks>
    <hyperlink ref="Q1" location="'Field Definitions'!A1" display="Return to Field Definition tab." xr:uid="{6FC4DDF8-BCA9-4C24-933D-8882DDF50590}"/>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AF5F0-480D-4EEC-AA8B-6669E5D78D30}">
  <dimension ref="A1:Q102"/>
  <sheetViews>
    <sheetView workbookViewId="0">
      <selection activeCell="N5" sqref="N5"/>
    </sheetView>
  </sheetViews>
  <sheetFormatPr defaultRowHeight="15" x14ac:dyDescent="0.25"/>
  <cols>
    <col min="4" max="4" width="16.28515625" style="55" bestFit="1" customWidth="1"/>
    <col min="13" max="13" width="19.5703125" bestFit="1" customWidth="1"/>
  </cols>
  <sheetData>
    <row r="1" spans="1:17" x14ac:dyDescent="0.25">
      <c r="A1" t="s">
        <v>25</v>
      </c>
      <c r="B1" t="s">
        <v>56</v>
      </c>
      <c r="C1" t="s">
        <v>82</v>
      </c>
      <c r="D1" s="55" t="s">
        <v>293</v>
      </c>
      <c r="N1" t="s">
        <v>56</v>
      </c>
      <c r="O1" t="s">
        <v>82</v>
      </c>
      <c r="Q1" s="36" t="s">
        <v>899</v>
      </c>
    </row>
    <row r="2" spans="1:17" x14ac:dyDescent="0.25">
      <c r="A2">
        <v>0</v>
      </c>
      <c r="B2">
        <f>COUNTIFS(Table24[Client ID '#],"&lt;&gt;",Table24[Client Age],'G - Age and Sex'!$A2,Table24[Sex],'G - Age and Sex'!B$1)</f>
        <v>0</v>
      </c>
      <c r="C2">
        <f>COUNTIFS(Table24[Client ID '#],"&lt;&gt;",Table24[Client Age],'G - Age and Sex'!$A2,Table24[Sex],'G - Age and Sex'!C$1)</f>
        <v>0</v>
      </c>
      <c r="D2" s="55" t="str">
        <f>IFERROR(COUNTIFS(Table24[Client ID '#],"&lt;&gt;",Table24[Admission to CSU?],"Yes",Table24[Client Age],'G - Age and Sex'!A2)/SUM('G - Age and Sex'!B2:C2),"")</f>
        <v/>
      </c>
      <c r="M2" t="s">
        <v>291</v>
      </c>
      <c r="N2">
        <f>COUNTIFS(Table24[Client ID '#],"&lt;&gt;",Table24[Sex],'G - Age and Sex'!N1,Table24[Admission to CSU?],"Yes")</f>
        <v>0</v>
      </c>
      <c r="O2">
        <f>COUNTIFS(Table24[Client ID '#],"&lt;&gt;",Table24[Sex],'G - Age and Sex'!O1,Table24[Admission to CSU?],"Yes")</f>
        <v>0</v>
      </c>
    </row>
    <row r="3" spans="1:17" x14ac:dyDescent="0.25">
      <c r="A3">
        <v>1</v>
      </c>
      <c r="B3">
        <f>COUNTIFS(Table24[Client ID '#],"&lt;&gt;",Table24[Client Age],'G - Age and Sex'!$A3,Table24[Sex],'G - Age and Sex'!B$1)</f>
        <v>0</v>
      </c>
      <c r="C3">
        <f>COUNTIFS(Table24[Client ID '#],"&lt;&gt;",Table24[Client Age],'G - Age and Sex'!$A3,Table24[Sex],'G - Age and Sex'!C$1)</f>
        <v>0</v>
      </c>
      <c r="D3" s="55" t="str">
        <f>IFERROR(COUNTIFS(Table24[Client ID '#],"&lt;&gt;",Table24[Admission to CSU?],"Yes",Table24[Client Age],'G - Age and Sex'!A3)/SUM('G - Age and Sex'!B3:C3),"")</f>
        <v/>
      </c>
      <c r="M3" t="s">
        <v>292</v>
      </c>
      <c r="N3">
        <f>COUNTIFS(Table24[Client ID '#],"&lt;&gt;",Table24[Sex],'G - Age and Sex'!N1,Table24[Admission to CSU?],"No")</f>
        <v>0</v>
      </c>
      <c r="O3">
        <f>COUNTIFS(Table24[Client ID '#],"&lt;&gt;",Table24[Sex],'G - Age and Sex'!O1,Table24[Admission to CSU?],"No")</f>
        <v>0</v>
      </c>
    </row>
    <row r="4" spans="1:17" x14ac:dyDescent="0.25">
      <c r="A4">
        <v>2</v>
      </c>
      <c r="B4">
        <f>COUNTIFS(Table24[Client ID '#],"&lt;&gt;",Table24[Client Age],'G - Age and Sex'!$A4,Table24[Sex],'G - Age and Sex'!B$1)</f>
        <v>0</v>
      </c>
      <c r="C4">
        <f>COUNTIFS(Table24[Client ID '#],"&lt;&gt;",Table24[Client Age],'G - Age and Sex'!$A4,Table24[Sex],'G - Age and Sex'!C$1)</f>
        <v>0</v>
      </c>
      <c r="D4" s="55" t="str">
        <f>IFERROR(COUNTIFS(Table24[Client ID '#],"&lt;&gt;",Table24[Admission to CSU?],"Yes",Table24[Client Age],'G - Age and Sex'!A4)/SUM('G - Age and Sex'!B4:C4),"")</f>
        <v/>
      </c>
      <c r="M4" t="s">
        <v>291</v>
      </c>
      <c r="N4" s="55" t="str">
        <f>IFERROR(N2/SUM($N$2:$N$3),"")</f>
        <v/>
      </c>
      <c r="O4" s="55" t="str">
        <f>IFERROR(O2/SUM($O$2:$O$3),"")</f>
        <v/>
      </c>
    </row>
    <row r="5" spans="1:17" x14ac:dyDescent="0.25">
      <c r="A5">
        <v>3</v>
      </c>
      <c r="B5">
        <f>COUNTIFS(Table24[Client ID '#],"&lt;&gt;",Table24[Client Age],'G - Age and Sex'!$A5,Table24[Sex],'G - Age and Sex'!B$1)</f>
        <v>0</v>
      </c>
      <c r="C5">
        <f>COUNTIFS(Table24[Client ID '#],"&lt;&gt;",Table24[Client Age],'G - Age and Sex'!$A5,Table24[Sex],'G - Age and Sex'!C$1)</f>
        <v>0</v>
      </c>
      <c r="D5" s="55" t="str">
        <f>IFERROR(COUNTIFS(Table24[Client ID '#],"&lt;&gt;",Table24[Admission to CSU?],"Yes",Table24[Client Age],'G - Age and Sex'!A5)/SUM('G - Age and Sex'!B5:C5),"")</f>
        <v/>
      </c>
      <c r="M5" t="s">
        <v>292</v>
      </c>
      <c r="N5" s="55" t="str">
        <f>IFERROR(N3/SUM($N$2:$N$3),"")</f>
        <v/>
      </c>
      <c r="O5" s="55" t="str">
        <f>IFERROR(O3/SUM($O$2:$O$3),"")</f>
        <v/>
      </c>
    </row>
    <row r="6" spans="1:17" x14ac:dyDescent="0.25">
      <c r="A6">
        <v>4</v>
      </c>
      <c r="B6">
        <f>COUNTIFS(Table24[Client ID '#],"&lt;&gt;",Table24[Client Age],'G - Age and Sex'!$A6,Table24[Sex],'G - Age and Sex'!B$1)</f>
        <v>0</v>
      </c>
      <c r="C6">
        <f>COUNTIFS(Table24[Client ID '#],"&lt;&gt;",Table24[Client Age],'G - Age and Sex'!$A6,Table24[Sex],'G - Age and Sex'!C$1)</f>
        <v>0</v>
      </c>
      <c r="D6" s="55" t="str">
        <f>IFERROR(COUNTIFS(Table24[Client ID '#],"&lt;&gt;",Table24[Admission to CSU?],"Yes",Table24[Client Age],'G - Age and Sex'!A6)/SUM('G - Age and Sex'!B6:C6),"")</f>
        <v/>
      </c>
    </row>
    <row r="7" spans="1:17" x14ac:dyDescent="0.25">
      <c r="A7">
        <v>5</v>
      </c>
      <c r="B7">
        <f>COUNTIFS(Table24[Client ID '#],"&lt;&gt;",Table24[Client Age],'G - Age and Sex'!$A7,Table24[Sex],'G - Age and Sex'!B$1)</f>
        <v>0</v>
      </c>
      <c r="C7">
        <f>COUNTIFS(Table24[Client ID '#],"&lt;&gt;",Table24[Client Age],'G - Age and Sex'!$A7,Table24[Sex],'G - Age and Sex'!C$1)</f>
        <v>0</v>
      </c>
      <c r="D7" s="55" t="str">
        <f>IFERROR(COUNTIFS(Table24[Client ID '#],"&lt;&gt;",Table24[Admission to CSU?],"Yes",Table24[Client Age],'G - Age and Sex'!A7)/SUM('G - Age and Sex'!B7:C7),"")</f>
        <v/>
      </c>
    </row>
    <row r="8" spans="1:17" x14ac:dyDescent="0.25">
      <c r="A8">
        <v>6</v>
      </c>
      <c r="B8">
        <f>COUNTIFS(Table24[Client ID '#],"&lt;&gt;",Table24[Client Age],'G - Age and Sex'!$A8,Table24[Sex],'G - Age and Sex'!B$1)</f>
        <v>0</v>
      </c>
      <c r="C8">
        <f>COUNTIFS(Table24[Client ID '#],"&lt;&gt;",Table24[Client Age],'G - Age and Sex'!$A8,Table24[Sex],'G - Age and Sex'!C$1)</f>
        <v>0</v>
      </c>
      <c r="D8" s="55" t="str">
        <f>IFERROR(COUNTIFS(Table24[Client ID '#],"&lt;&gt;",Table24[Admission to CSU?],"Yes",Table24[Client Age],'G - Age and Sex'!A8)/SUM('G - Age and Sex'!B8:C8),"")</f>
        <v/>
      </c>
    </row>
    <row r="9" spans="1:17" x14ac:dyDescent="0.25">
      <c r="A9">
        <v>7</v>
      </c>
      <c r="B9">
        <f>COUNTIFS(Table24[Client ID '#],"&lt;&gt;",Table24[Client Age],'G - Age and Sex'!$A9,Table24[Sex],'G - Age and Sex'!B$1)</f>
        <v>0</v>
      </c>
      <c r="C9">
        <f>COUNTIFS(Table24[Client ID '#],"&lt;&gt;",Table24[Client Age],'G - Age and Sex'!$A9,Table24[Sex],'G - Age and Sex'!C$1)</f>
        <v>0</v>
      </c>
      <c r="D9" s="55" t="str">
        <f>IFERROR(COUNTIFS(Table24[Client ID '#],"&lt;&gt;",Table24[Admission to CSU?],"Yes",Table24[Client Age],'G - Age and Sex'!A9)/SUM('G - Age and Sex'!B9:C9),"")</f>
        <v/>
      </c>
    </row>
    <row r="10" spans="1:17" x14ac:dyDescent="0.25">
      <c r="A10">
        <v>8</v>
      </c>
      <c r="B10">
        <f>COUNTIFS(Table24[Client ID '#],"&lt;&gt;",Table24[Client Age],'G - Age and Sex'!$A10,Table24[Sex],'G - Age and Sex'!B$1)</f>
        <v>0</v>
      </c>
      <c r="C10">
        <f>COUNTIFS(Table24[Client ID '#],"&lt;&gt;",Table24[Client Age],'G - Age and Sex'!$A10,Table24[Sex],'G - Age and Sex'!C$1)</f>
        <v>0</v>
      </c>
      <c r="D10" s="55" t="str">
        <f>IFERROR(COUNTIFS(Table24[Client ID '#],"&lt;&gt;",Table24[Admission to CSU?],"Yes",Table24[Client Age],'G - Age and Sex'!A10)/SUM('G - Age and Sex'!B10:C10),"")</f>
        <v/>
      </c>
    </row>
    <row r="11" spans="1:17" x14ac:dyDescent="0.25">
      <c r="A11">
        <v>9</v>
      </c>
      <c r="B11">
        <f>COUNTIFS(Table24[Client ID '#],"&lt;&gt;",Table24[Client Age],'G - Age and Sex'!$A11,Table24[Sex],'G - Age and Sex'!B$1)</f>
        <v>0</v>
      </c>
      <c r="C11">
        <f>COUNTIFS(Table24[Client ID '#],"&lt;&gt;",Table24[Client Age],'G - Age and Sex'!$A11,Table24[Sex],'G - Age and Sex'!C$1)</f>
        <v>0</v>
      </c>
      <c r="D11" s="55" t="str">
        <f>IFERROR(COUNTIFS(Table24[Client ID '#],"&lt;&gt;",Table24[Admission to CSU?],"Yes",Table24[Client Age],'G - Age and Sex'!A11)/SUM('G - Age and Sex'!B11:C11),"")</f>
        <v/>
      </c>
    </row>
    <row r="12" spans="1:17" x14ac:dyDescent="0.25">
      <c r="A12">
        <v>10</v>
      </c>
      <c r="B12">
        <f>COUNTIFS(Table24[Client ID '#],"&lt;&gt;",Table24[Client Age],'G - Age and Sex'!$A12,Table24[Sex],'G - Age and Sex'!B$1)</f>
        <v>0</v>
      </c>
      <c r="C12">
        <f>COUNTIFS(Table24[Client ID '#],"&lt;&gt;",Table24[Client Age],'G - Age and Sex'!$A12,Table24[Sex],'G - Age and Sex'!C$1)</f>
        <v>0</v>
      </c>
      <c r="D12" s="55" t="str">
        <f>IFERROR(COUNTIFS(Table24[Client ID '#],"&lt;&gt;",Table24[Admission to CSU?],"Yes",Table24[Client Age],'G - Age and Sex'!A12)/SUM('G - Age and Sex'!B12:C12),"")</f>
        <v/>
      </c>
    </row>
    <row r="13" spans="1:17" x14ac:dyDescent="0.25">
      <c r="A13">
        <v>11</v>
      </c>
      <c r="B13">
        <f>COUNTIFS(Table24[Client ID '#],"&lt;&gt;",Table24[Client Age],'G - Age and Sex'!$A13,Table24[Sex],'G - Age and Sex'!B$1)</f>
        <v>0</v>
      </c>
      <c r="C13">
        <f>COUNTIFS(Table24[Client ID '#],"&lt;&gt;",Table24[Client Age],'G - Age and Sex'!$A13,Table24[Sex],'G - Age and Sex'!C$1)</f>
        <v>0</v>
      </c>
      <c r="D13" s="55" t="str">
        <f>IFERROR(COUNTIFS(Table24[Client ID '#],"&lt;&gt;",Table24[Admission to CSU?],"Yes",Table24[Client Age],'G - Age and Sex'!A13)/SUM('G - Age and Sex'!B13:C13),"")</f>
        <v/>
      </c>
    </row>
    <row r="14" spans="1:17" x14ac:dyDescent="0.25">
      <c r="A14">
        <v>12</v>
      </c>
      <c r="B14">
        <f>COUNTIFS(Table24[Client ID '#],"&lt;&gt;",Table24[Client Age],'G - Age and Sex'!$A14,Table24[Sex],'G - Age and Sex'!B$1)</f>
        <v>0</v>
      </c>
      <c r="C14">
        <f>COUNTIFS(Table24[Client ID '#],"&lt;&gt;",Table24[Client Age],'G - Age and Sex'!$A14,Table24[Sex],'G - Age and Sex'!C$1)</f>
        <v>0</v>
      </c>
      <c r="D14" s="55" t="str">
        <f>IFERROR(COUNTIFS(Table24[Client ID '#],"&lt;&gt;",Table24[Admission to CSU?],"Yes",Table24[Client Age],'G - Age and Sex'!A14)/SUM('G - Age and Sex'!B14:C14),"")</f>
        <v/>
      </c>
    </row>
    <row r="15" spans="1:17" x14ac:dyDescent="0.25">
      <c r="A15">
        <v>13</v>
      </c>
      <c r="B15">
        <f>COUNTIFS(Table24[Client ID '#],"&lt;&gt;",Table24[Client Age],'G - Age and Sex'!$A15,Table24[Sex],'G - Age and Sex'!B$1)</f>
        <v>0</v>
      </c>
      <c r="C15">
        <f>COUNTIFS(Table24[Client ID '#],"&lt;&gt;",Table24[Client Age],'G - Age and Sex'!$A15,Table24[Sex],'G - Age and Sex'!C$1)</f>
        <v>0</v>
      </c>
      <c r="D15" s="55" t="str">
        <f>IFERROR(COUNTIFS(Table24[Client ID '#],"&lt;&gt;",Table24[Admission to CSU?],"Yes",Table24[Client Age],'G - Age and Sex'!A15)/SUM('G - Age and Sex'!B15:C15),"")</f>
        <v/>
      </c>
    </row>
    <row r="16" spans="1:17" x14ac:dyDescent="0.25">
      <c r="A16">
        <v>14</v>
      </c>
      <c r="B16">
        <f>COUNTIFS(Table24[Client ID '#],"&lt;&gt;",Table24[Client Age],'G - Age and Sex'!$A16,Table24[Sex],'G - Age and Sex'!B$1)</f>
        <v>0</v>
      </c>
      <c r="C16">
        <f>COUNTIFS(Table24[Client ID '#],"&lt;&gt;",Table24[Client Age],'G - Age and Sex'!$A16,Table24[Sex],'G - Age and Sex'!C$1)</f>
        <v>0</v>
      </c>
      <c r="D16" s="55" t="str">
        <f>IFERROR(COUNTIFS(Table24[Client ID '#],"&lt;&gt;",Table24[Admission to CSU?],"Yes",Table24[Client Age],'G - Age and Sex'!A16)/SUM('G - Age and Sex'!B16:C16),"")</f>
        <v/>
      </c>
    </row>
    <row r="17" spans="1:4" x14ac:dyDescent="0.25">
      <c r="A17">
        <v>15</v>
      </c>
      <c r="B17">
        <f>COUNTIFS(Table24[Client ID '#],"&lt;&gt;",Table24[Client Age],'G - Age and Sex'!$A17,Table24[Sex],'G - Age and Sex'!B$1)</f>
        <v>0</v>
      </c>
      <c r="C17">
        <f>COUNTIFS(Table24[Client ID '#],"&lt;&gt;",Table24[Client Age],'G - Age and Sex'!$A17,Table24[Sex],'G - Age and Sex'!C$1)</f>
        <v>0</v>
      </c>
      <c r="D17" s="55" t="str">
        <f>IFERROR(COUNTIFS(Table24[Client ID '#],"&lt;&gt;",Table24[Admission to CSU?],"Yes",Table24[Client Age],'G - Age and Sex'!A17)/SUM('G - Age and Sex'!B17:C17),"")</f>
        <v/>
      </c>
    </row>
    <row r="18" spans="1:4" x14ac:dyDescent="0.25">
      <c r="A18">
        <v>16</v>
      </c>
      <c r="B18">
        <f>COUNTIFS(Table24[Client ID '#],"&lt;&gt;",Table24[Client Age],'G - Age and Sex'!$A18,Table24[Sex],'G - Age and Sex'!B$1)</f>
        <v>0</v>
      </c>
      <c r="C18">
        <f>COUNTIFS(Table24[Client ID '#],"&lt;&gt;",Table24[Client Age],'G - Age and Sex'!$A18,Table24[Sex],'G - Age and Sex'!C$1)</f>
        <v>0</v>
      </c>
      <c r="D18" s="55" t="str">
        <f>IFERROR(COUNTIFS(Table24[Client ID '#],"&lt;&gt;",Table24[Admission to CSU?],"Yes",Table24[Client Age],'G - Age and Sex'!A18)/SUM('G - Age and Sex'!B18:C18),"")</f>
        <v/>
      </c>
    </row>
    <row r="19" spans="1:4" x14ac:dyDescent="0.25">
      <c r="A19">
        <v>17</v>
      </c>
      <c r="B19">
        <f>COUNTIFS(Table24[Client ID '#],"&lt;&gt;",Table24[Client Age],'G - Age and Sex'!$A19,Table24[Sex],'G - Age and Sex'!B$1)</f>
        <v>0</v>
      </c>
      <c r="C19">
        <f>COUNTIFS(Table24[Client ID '#],"&lt;&gt;",Table24[Client Age],'G - Age and Sex'!$A19,Table24[Sex],'G - Age and Sex'!C$1)</f>
        <v>0</v>
      </c>
      <c r="D19" s="55" t="str">
        <f>IFERROR(COUNTIFS(Table24[Client ID '#],"&lt;&gt;",Table24[Admission to CSU?],"Yes",Table24[Client Age],'G - Age and Sex'!A19)/SUM('G - Age and Sex'!B19:C19),"")</f>
        <v/>
      </c>
    </row>
    <row r="20" spans="1:4" x14ac:dyDescent="0.25">
      <c r="A20">
        <v>18</v>
      </c>
      <c r="B20">
        <f>COUNTIFS(Table24[Client ID '#],"&lt;&gt;",Table24[Client Age],'G - Age and Sex'!$A20,Table24[Sex],'G - Age and Sex'!B$1)</f>
        <v>0</v>
      </c>
      <c r="C20">
        <f>COUNTIFS(Table24[Client ID '#],"&lt;&gt;",Table24[Client Age],'G - Age and Sex'!$A20,Table24[Sex],'G - Age and Sex'!C$1)</f>
        <v>0</v>
      </c>
      <c r="D20" s="55" t="str">
        <f>IFERROR(COUNTIFS(Table24[Client ID '#],"&lt;&gt;",Table24[Admission to CSU?],"Yes",Table24[Client Age],'G - Age and Sex'!A20)/SUM('G - Age and Sex'!B20:C20),"")</f>
        <v/>
      </c>
    </row>
    <row r="21" spans="1:4" x14ac:dyDescent="0.25">
      <c r="A21">
        <v>19</v>
      </c>
      <c r="B21">
        <f>COUNTIFS(Table24[Client ID '#],"&lt;&gt;",Table24[Client Age],'G - Age and Sex'!$A21,Table24[Sex],'G - Age and Sex'!B$1)</f>
        <v>0</v>
      </c>
      <c r="C21">
        <f>COUNTIFS(Table24[Client ID '#],"&lt;&gt;",Table24[Client Age],'G - Age and Sex'!$A21,Table24[Sex],'G - Age and Sex'!C$1)</f>
        <v>0</v>
      </c>
      <c r="D21" s="55" t="str">
        <f>IFERROR(COUNTIFS(Table24[Client ID '#],"&lt;&gt;",Table24[Admission to CSU?],"Yes",Table24[Client Age],'G - Age and Sex'!A21)/SUM('G - Age and Sex'!B21:C21),"")</f>
        <v/>
      </c>
    </row>
    <row r="22" spans="1:4" x14ac:dyDescent="0.25">
      <c r="A22">
        <v>20</v>
      </c>
      <c r="B22">
        <f>COUNTIFS(Table24[Client ID '#],"&lt;&gt;",Table24[Client Age],'G - Age and Sex'!$A22,Table24[Sex],'G - Age and Sex'!B$1)</f>
        <v>0</v>
      </c>
      <c r="C22">
        <f>COUNTIFS(Table24[Client ID '#],"&lt;&gt;",Table24[Client Age],'G - Age and Sex'!$A22,Table24[Sex],'G - Age and Sex'!C$1)</f>
        <v>0</v>
      </c>
      <c r="D22" s="55" t="str">
        <f>IFERROR(COUNTIFS(Table24[Client ID '#],"&lt;&gt;",Table24[Admission to CSU?],"Yes",Table24[Client Age],'G - Age and Sex'!A22)/SUM('G - Age and Sex'!B22:C22),"")</f>
        <v/>
      </c>
    </row>
    <row r="23" spans="1:4" x14ac:dyDescent="0.25">
      <c r="A23">
        <v>21</v>
      </c>
      <c r="B23">
        <f>COUNTIFS(Table24[Client ID '#],"&lt;&gt;",Table24[Client Age],'G - Age and Sex'!$A23,Table24[Sex],'G - Age and Sex'!B$1)</f>
        <v>0</v>
      </c>
      <c r="C23">
        <f>COUNTIFS(Table24[Client ID '#],"&lt;&gt;",Table24[Client Age],'G - Age and Sex'!$A23,Table24[Sex],'G - Age and Sex'!C$1)</f>
        <v>0</v>
      </c>
      <c r="D23" s="55" t="str">
        <f>IFERROR(COUNTIFS(Table24[Client ID '#],"&lt;&gt;",Table24[Admission to CSU?],"Yes",Table24[Client Age],'G - Age and Sex'!A23)/SUM('G - Age and Sex'!B23:C23),"")</f>
        <v/>
      </c>
    </row>
    <row r="24" spans="1:4" x14ac:dyDescent="0.25">
      <c r="A24">
        <v>22</v>
      </c>
      <c r="B24">
        <f>COUNTIFS(Table24[Client ID '#],"&lt;&gt;",Table24[Client Age],'G - Age and Sex'!$A24,Table24[Sex],'G - Age and Sex'!B$1)</f>
        <v>0</v>
      </c>
      <c r="C24">
        <f>COUNTIFS(Table24[Client ID '#],"&lt;&gt;",Table24[Client Age],'G - Age and Sex'!$A24,Table24[Sex],'G - Age and Sex'!C$1)</f>
        <v>0</v>
      </c>
      <c r="D24" s="55" t="str">
        <f>IFERROR(COUNTIFS(Table24[Client ID '#],"&lt;&gt;",Table24[Admission to CSU?],"Yes",Table24[Client Age],'G - Age and Sex'!A24)/SUM('G - Age and Sex'!B24:C24),"")</f>
        <v/>
      </c>
    </row>
    <row r="25" spans="1:4" x14ac:dyDescent="0.25">
      <c r="A25">
        <v>23</v>
      </c>
      <c r="B25">
        <f>COUNTIFS(Table24[Client ID '#],"&lt;&gt;",Table24[Client Age],'G - Age and Sex'!$A25,Table24[Sex],'G - Age and Sex'!B$1)</f>
        <v>0</v>
      </c>
      <c r="C25">
        <f>COUNTIFS(Table24[Client ID '#],"&lt;&gt;",Table24[Client Age],'G - Age and Sex'!$A25,Table24[Sex],'G - Age and Sex'!C$1)</f>
        <v>0</v>
      </c>
      <c r="D25" s="55" t="str">
        <f>IFERROR(COUNTIFS(Table24[Client ID '#],"&lt;&gt;",Table24[Admission to CSU?],"Yes",Table24[Client Age],'G - Age and Sex'!A25)/SUM('G - Age and Sex'!B25:C25),"")</f>
        <v/>
      </c>
    </row>
    <row r="26" spans="1:4" x14ac:dyDescent="0.25">
      <c r="A26">
        <v>24</v>
      </c>
      <c r="B26">
        <f>COUNTIFS(Table24[Client ID '#],"&lt;&gt;",Table24[Client Age],'G - Age and Sex'!$A26,Table24[Sex],'G - Age and Sex'!B$1)</f>
        <v>0</v>
      </c>
      <c r="C26">
        <f>COUNTIFS(Table24[Client ID '#],"&lt;&gt;",Table24[Client Age],'G - Age and Sex'!$A26,Table24[Sex],'G - Age and Sex'!C$1)</f>
        <v>0</v>
      </c>
      <c r="D26" s="55" t="str">
        <f>IFERROR(COUNTIFS(Table24[Client ID '#],"&lt;&gt;",Table24[Admission to CSU?],"Yes",Table24[Client Age],'G - Age and Sex'!A26)/SUM('G - Age and Sex'!B26:C26),"")</f>
        <v/>
      </c>
    </row>
    <row r="27" spans="1:4" x14ac:dyDescent="0.25">
      <c r="A27">
        <v>25</v>
      </c>
      <c r="B27">
        <f>COUNTIFS(Table24[Client ID '#],"&lt;&gt;",Table24[Client Age],'G - Age and Sex'!$A27,Table24[Sex],'G - Age and Sex'!B$1)</f>
        <v>0</v>
      </c>
      <c r="C27">
        <f>COUNTIFS(Table24[Client ID '#],"&lt;&gt;",Table24[Client Age],'G - Age and Sex'!$A27,Table24[Sex],'G - Age and Sex'!C$1)</f>
        <v>0</v>
      </c>
      <c r="D27" s="55" t="str">
        <f>IFERROR(COUNTIFS(Table24[Client ID '#],"&lt;&gt;",Table24[Admission to CSU?],"Yes",Table24[Client Age],'G - Age and Sex'!A27)/SUM('G - Age and Sex'!B27:C27),"")</f>
        <v/>
      </c>
    </row>
    <row r="28" spans="1:4" x14ac:dyDescent="0.25">
      <c r="A28">
        <v>26</v>
      </c>
      <c r="B28">
        <f>COUNTIFS(Table24[Client ID '#],"&lt;&gt;",Table24[Client Age],'G - Age and Sex'!$A28,Table24[Sex],'G - Age and Sex'!B$1)</f>
        <v>0</v>
      </c>
      <c r="C28">
        <f>COUNTIFS(Table24[Client ID '#],"&lt;&gt;",Table24[Client Age],'G - Age and Sex'!$A28,Table24[Sex],'G - Age and Sex'!C$1)</f>
        <v>0</v>
      </c>
      <c r="D28" s="55" t="str">
        <f>IFERROR(COUNTIFS(Table24[Client ID '#],"&lt;&gt;",Table24[Admission to CSU?],"Yes",Table24[Client Age],'G - Age and Sex'!A28)/SUM('G - Age and Sex'!B28:C28),"")</f>
        <v/>
      </c>
    </row>
    <row r="29" spans="1:4" x14ac:dyDescent="0.25">
      <c r="A29">
        <v>27</v>
      </c>
      <c r="B29">
        <f>COUNTIFS(Table24[Client ID '#],"&lt;&gt;",Table24[Client Age],'G - Age and Sex'!$A29,Table24[Sex],'G - Age and Sex'!B$1)</f>
        <v>0</v>
      </c>
      <c r="C29">
        <f>COUNTIFS(Table24[Client ID '#],"&lt;&gt;",Table24[Client Age],'G - Age and Sex'!$A29,Table24[Sex],'G - Age and Sex'!C$1)</f>
        <v>0</v>
      </c>
      <c r="D29" s="55" t="str">
        <f>IFERROR(COUNTIFS(Table24[Client ID '#],"&lt;&gt;",Table24[Admission to CSU?],"Yes",Table24[Client Age],'G - Age and Sex'!A29)/SUM('G - Age and Sex'!B29:C29),"")</f>
        <v/>
      </c>
    </row>
    <row r="30" spans="1:4" x14ac:dyDescent="0.25">
      <c r="A30">
        <v>28</v>
      </c>
      <c r="B30">
        <f>COUNTIFS(Table24[Client ID '#],"&lt;&gt;",Table24[Client Age],'G - Age and Sex'!$A30,Table24[Sex],'G - Age and Sex'!B$1)</f>
        <v>0</v>
      </c>
      <c r="C30">
        <f>COUNTIFS(Table24[Client ID '#],"&lt;&gt;",Table24[Client Age],'G - Age and Sex'!$A30,Table24[Sex],'G - Age and Sex'!C$1)</f>
        <v>0</v>
      </c>
      <c r="D30" s="55" t="str">
        <f>IFERROR(COUNTIFS(Table24[Client ID '#],"&lt;&gt;",Table24[Admission to CSU?],"Yes",Table24[Client Age],'G - Age and Sex'!A30)/SUM('G - Age and Sex'!B30:C30),"")</f>
        <v/>
      </c>
    </row>
    <row r="31" spans="1:4" x14ac:dyDescent="0.25">
      <c r="A31">
        <v>29</v>
      </c>
      <c r="B31">
        <f>COUNTIFS(Table24[Client ID '#],"&lt;&gt;",Table24[Client Age],'G - Age and Sex'!$A31,Table24[Sex],'G - Age and Sex'!B$1)</f>
        <v>0</v>
      </c>
      <c r="C31">
        <f>COUNTIFS(Table24[Client ID '#],"&lt;&gt;",Table24[Client Age],'G - Age and Sex'!$A31,Table24[Sex],'G - Age and Sex'!C$1)</f>
        <v>0</v>
      </c>
      <c r="D31" s="55" t="str">
        <f>IFERROR(COUNTIFS(Table24[Client ID '#],"&lt;&gt;",Table24[Admission to CSU?],"Yes",Table24[Client Age],'G - Age and Sex'!A31)/SUM('G - Age and Sex'!B31:C31),"")</f>
        <v/>
      </c>
    </row>
    <row r="32" spans="1:4" x14ac:dyDescent="0.25">
      <c r="A32">
        <v>30</v>
      </c>
      <c r="B32">
        <f>COUNTIFS(Table24[Client ID '#],"&lt;&gt;",Table24[Client Age],'G - Age and Sex'!$A32,Table24[Sex],'G - Age and Sex'!B$1)</f>
        <v>0</v>
      </c>
      <c r="C32">
        <f>COUNTIFS(Table24[Client ID '#],"&lt;&gt;",Table24[Client Age],'G - Age and Sex'!$A32,Table24[Sex],'G - Age and Sex'!C$1)</f>
        <v>0</v>
      </c>
      <c r="D32" s="55" t="str">
        <f>IFERROR(COUNTIFS(Table24[Client ID '#],"&lt;&gt;",Table24[Admission to CSU?],"Yes",Table24[Client Age],'G - Age and Sex'!A32)/SUM('G - Age and Sex'!B32:C32),"")</f>
        <v/>
      </c>
    </row>
    <row r="33" spans="1:4" x14ac:dyDescent="0.25">
      <c r="A33">
        <v>31</v>
      </c>
      <c r="B33">
        <f>COUNTIFS(Table24[Client ID '#],"&lt;&gt;",Table24[Client Age],'G - Age and Sex'!$A33,Table24[Sex],'G - Age and Sex'!B$1)</f>
        <v>0</v>
      </c>
      <c r="C33">
        <f>COUNTIFS(Table24[Client ID '#],"&lt;&gt;",Table24[Client Age],'G - Age and Sex'!$A33,Table24[Sex],'G - Age and Sex'!C$1)</f>
        <v>0</v>
      </c>
      <c r="D33" s="55" t="str">
        <f>IFERROR(COUNTIFS(Table24[Client ID '#],"&lt;&gt;",Table24[Admission to CSU?],"Yes",Table24[Client Age],'G - Age and Sex'!A33)/SUM('G - Age and Sex'!B33:C33),"")</f>
        <v/>
      </c>
    </row>
    <row r="34" spans="1:4" x14ac:dyDescent="0.25">
      <c r="A34">
        <v>32</v>
      </c>
      <c r="B34">
        <f>COUNTIFS(Table24[Client ID '#],"&lt;&gt;",Table24[Client Age],'G - Age and Sex'!$A34,Table24[Sex],'G - Age and Sex'!B$1)</f>
        <v>0</v>
      </c>
      <c r="C34">
        <f>COUNTIFS(Table24[Client ID '#],"&lt;&gt;",Table24[Client Age],'G - Age and Sex'!$A34,Table24[Sex],'G - Age and Sex'!C$1)</f>
        <v>0</v>
      </c>
      <c r="D34" s="55" t="str">
        <f>IFERROR(COUNTIFS(Table24[Client ID '#],"&lt;&gt;",Table24[Admission to CSU?],"Yes",Table24[Client Age],'G - Age and Sex'!A34)/SUM('G - Age and Sex'!B34:C34),"")</f>
        <v/>
      </c>
    </row>
    <row r="35" spans="1:4" x14ac:dyDescent="0.25">
      <c r="A35">
        <v>33</v>
      </c>
      <c r="B35">
        <f>COUNTIFS(Table24[Client ID '#],"&lt;&gt;",Table24[Client Age],'G - Age and Sex'!$A35,Table24[Sex],'G - Age and Sex'!B$1)</f>
        <v>0</v>
      </c>
      <c r="C35">
        <f>COUNTIFS(Table24[Client ID '#],"&lt;&gt;",Table24[Client Age],'G - Age and Sex'!$A35,Table24[Sex],'G - Age and Sex'!C$1)</f>
        <v>0</v>
      </c>
      <c r="D35" s="55" t="str">
        <f>IFERROR(COUNTIFS(Table24[Client ID '#],"&lt;&gt;",Table24[Admission to CSU?],"Yes",Table24[Client Age],'G - Age and Sex'!A35)/SUM('G - Age and Sex'!B35:C35),"")</f>
        <v/>
      </c>
    </row>
    <row r="36" spans="1:4" x14ac:dyDescent="0.25">
      <c r="A36">
        <v>34</v>
      </c>
      <c r="B36">
        <f>COUNTIFS(Table24[Client ID '#],"&lt;&gt;",Table24[Client Age],'G - Age and Sex'!$A36,Table24[Sex],'G - Age and Sex'!B$1)</f>
        <v>0</v>
      </c>
      <c r="C36">
        <f>COUNTIFS(Table24[Client ID '#],"&lt;&gt;",Table24[Client Age],'G - Age and Sex'!$A36,Table24[Sex],'G - Age and Sex'!C$1)</f>
        <v>0</v>
      </c>
      <c r="D36" s="55" t="str">
        <f>IFERROR(COUNTIFS(Table24[Client ID '#],"&lt;&gt;",Table24[Admission to CSU?],"Yes",Table24[Client Age],'G - Age and Sex'!A36)/SUM('G - Age and Sex'!B36:C36),"")</f>
        <v/>
      </c>
    </row>
    <row r="37" spans="1:4" x14ac:dyDescent="0.25">
      <c r="A37">
        <v>35</v>
      </c>
      <c r="B37">
        <f>COUNTIFS(Table24[Client ID '#],"&lt;&gt;",Table24[Client Age],'G - Age and Sex'!$A37,Table24[Sex],'G - Age and Sex'!B$1)</f>
        <v>0</v>
      </c>
      <c r="C37">
        <f>COUNTIFS(Table24[Client ID '#],"&lt;&gt;",Table24[Client Age],'G - Age and Sex'!$A37,Table24[Sex],'G - Age and Sex'!C$1)</f>
        <v>0</v>
      </c>
      <c r="D37" s="55" t="str">
        <f>IFERROR(COUNTIFS(Table24[Client ID '#],"&lt;&gt;",Table24[Admission to CSU?],"Yes",Table24[Client Age],'G - Age and Sex'!A37)/SUM('G - Age and Sex'!B37:C37),"")</f>
        <v/>
      </c>
    </row>
    <row r="38" spans="1:4" x14ac:dyDescent="0.25">
      <c r="A38">
        <v>36</v>
      </c>
      <c r="B38">
        <f>COUNTIFS(Table24[Client ID '#],"&lt;&gt;",Table24[Client Age],'G - Age and Sex'!$A38,Table24[Sex],'G - Age and Sex'!B$1)</f>
        <v>0</v>
      </c>
      <c r="C38">
        <f>COUNTIFS(Table24[Client ID '#],"&lt;&gt;",Table24[Client Age],'G - Age and Sex'!$A38,Table24[Sex],'G - Age and Sex'!C$1)</f>
        <v>0</v>
      </c>
      <c r="D38" s="55" t="str">
        <f>IFERROR(COUNTIFS(Table24[Client ID '#],"&lt;&gt;",Table24[Admission to CSU?],"Yes",Table24[Client Age],'G - Age and Sex'!A38)/SUM('G - Age and Sex'!B38:C38),"")</f>
        <v/>
      </c>
    </row>
    <row r="39" spans="1:4" x14ac:dyDescent="0.25">
      <c r="A39">
        <v>37</v>
      </c>
      <c r="B39">
        <f>COUNTIFS(Table24[Client ID '#],"&lt;&gt;",Table24[Client Age],'G - Age and Sex'!$A39,Table24[Sex],'G - Age and Sex'!B$1)</f>
        <v>0</v>
      </c>
      <c r="C39">
        <f>COUNTIFS(Table24[Client ID '#],"&lt;&gt;",Table24[Client Age],'G - Age and Sex'!$A39,Table24[Sex],'G - Age and Sex'!C$1)</f>
        <v>0</v>
      </c>
      <c r="D39" s="55" t="str">
        <f>IFERROR(COUNTIFS(Table24[Client ID '#],"&lt;&gt;",Table24[Admission to CSU?],"Yes",Table24[Client Age],'G - Age and Sex'!A39)/SUM('G - Age and Sex'!B39:C39),"")</f>
        <v/>
      </c>
    </row>
    <row r="40" spans="1:4" x14ac:dyDescent="0.25">
      <c r="A40">
        <v>38</v>
      </c>
      <c r="B40">
        <f>COUNTIFS(Table24[Client ID '#],"&lt;&gt;",Table24[Client Age],'G - Age and Sex'!$A40,Table24[Sex],'G - Age and Sex'!B$1)</f>
        <v>0</v>
      </c>
      <c r="C40">
        <f>COUNTIFS(Table24[Client ID '#],"&lt;&gt;",Table24[Client Age],'G - Age and Sex'!$A40,Table24[Sex],'G - Age and Sex'!C$1)</f>
        <v>0</v>
      </c>
      <c r="D40" s="55" t="str">
        <f>IFERROR(COUNTIFS(Table24[Client ID '#],"&lt;&gt;",Table24[Admission to CSU?],"Yes",Table24[Client Age],'G - Age and Sex'!A40)/SUM('G - Age and Sex'!B40:C40),"")</f>
        <v/>
      </c>
    </row>
    <row r="41" spans="1:4" x14ac:dyDescent="0.25">
      <c r="A41">
        <v>39</v>
      </c>
      <c r="B41">
        <f>COUNTIFS(Table24[Client ID '#],"&lt;&gt;",Table24[Client Age],'G - Age and Sex'!$A41,Table24[Sex],'G - Age and Sex'!B$1)</f>
        <v>0</v>
      </c>
      <c r="C41">
        <f>COUNTIFS(Table24[Client ID '#],"&lt;&gt;",Table24[Client Age],'G - Age and Sex'!$A41,Table24[Sex],'G - Age and Sex'!C$1)</f>
        <v>0</v>
      </c>
      <c r="D41" s="55" t="str">
        <f>IFERROR(COUNTIFS(Table24[Client ID '#],"&lt;&gt;",Table24[Admission to CSU?],"Yes",Table24[Client Age],'G - Age and Sex'!A41)/SUM('G - Age and Sex'!B41:C41),"")</f>
        <v/>
      </c>
    </row>
    <row r="42" spans="1:4" x14ac:dyDescent="0.25">
      <c r="A42">
        <v>40</v>
      </c>
      <c r="B42">
        <f>COUNTIFS(Table24[Client ID '#],"&lt;&gt;",Table24[Client Age],'G - Age and Sex'!$A42,Table24[Sex],'G - Age and Sex'!B$1)</f>
        <v>0</v>
      </c>
      <c r="C42">
        <f>COUNTIFS(Table24[Client ID '#],"&lt;&gt;",Table24[Client Age],'G - Age and Sex'!$A42,Table24[Sex],'G - Age and Sex'!C$1)</f>
        <v>0</v>
      </c>
      <c r="D42" s="55" t="str">
        <f>IFERROR(COUNTIFS(Table24[Client ID '#],"&lt;&gt;",Table24[Admission to CSU?],"Yes",Table24[Client Age],'G - Age and Sex'!A42)/SUM('G - Age and Sex'!B42:C42),"")</f>
        <v/>
      </c>
    </row>
    <row r="43" spans="1:4" x14ac:dyDescent="0.25">
      <c r="A43">
        <v>41</v>
      </c>
      <c r="B43">
        <f>COUNTIFS(Table24[Client ID '#],"&lt;&gt;",Table24[Client Age],'G - Age and Sex'!$A43,Table24[Sex],'G - Age and Sex'!B$1)</f>
        <v>0</v>
      </c>
      <c r="C43">
        <f>COUNTIFS(Table24[Client ID '#],"&lt;&gt;",Table24[Client Age],'G - Age and Sex'!$A43,Table24[Sex],'G - Age and Sex'!C$1)</f>
        <v>0</v>
      </c>
      <c r="D43" s="55" t="str">
        <f>IFERROR(COUNTIFS(Table24[Client ID '#],"&lt;&gt;",Table24[Admission to CSU?],"Yes",Table24[Client Age],'G - Age and Sex'!A43)/SUM('G - Age and Sex'!B43:C43),"")</f>
        <v/>
      </c>
    </row>
    <row r="44" spans="1:4" x14ac:dyDescent="0.25">
      <c r="A44">
        <v>42</v>
      </c>
      <c r="B44">
        <f>COUNTIFS(Table24[Client ID '#],"&lt;&gt;",Table24[Client Age],'G - Age and Sex'!$A44,Table24[Sex],'G - Age and Sex'!B$1)</f>
        <v>0</v>
      </c>
      <c r="C44">
        <f>COUNTIFS(Table24[Client ID '#],"&lt;&gt;",Table24[Client Age],'G - Age and Sex'!$A44,Table24[Sex],'G - Age and Sex'!C$1)</f>
        <v>0</v>
      </c>
      <c r="D44" s="55" t="str">
        <f>IFERROR(COUNTIFS(Table24[Client ID '#],"&lt;&gt;",Table24[Admission to CSU?],"Yes",Table24[Client Age],'G - Age and Sex'!A44)/SUM('G - Age and Sex'!B44:C44),"")</f>
        <v/>
      </c>
    </row>
    <row r="45" spans="1:4" x14ac:dyDescent="0.25">
      <c r="A45">
        <v>43</v>
      </c>
      <c r="B45">
        <f>COUNTIFS(Table24[Client ID '#],"&lt;&gt;",Table24[Client Age],'G - Age and Sex'!$A45,Table24[Sex],'G - Age and Sex'!B$1)</f>
        <v>0</v>
      </c>
      <c r="C45">
        <f>COUNTIFS(Table24[Client ID '#],"&lt;&gt;",Table24[Client Age],'G - Age and Sex'!$A45,Table24[Sex],'G - Age and Sex'!C$1)</f>
        <v>0</v>
      </c>
      <c r="D45" s="55" t="str">
        <f>IFERROR(COUNTIFS(Table24[Client ID '#],"&lt;&gt;",Table24[Admission to CSU?],"Yes",Table24[Client Age],'G - Age and Sex'!A45)/SUM('G - Age and Sex'!B45:C45),"")</f>
        <v/>
      </c>
    </row>
    <row r="46" spans="1:4" x14ac:dyDescent="0.25">
      <c r="A46">
        <v>44</v>
      </c>
      <c r="B46">
        <f>COUNTIFS(Table24[Client ID '#],"&lt;&gt;",Table24[Client Age],'G - Age and Sex'!$A46,Table24[Sex],'G - Age and Sex'!B$1)</f>
        <v>0</v>
      </c>
      <c r="C46">
        <f>COUNTIFS(Table24[Client ID '#],"&lt;&gt;",Table24[Client Age],'G - Age and Sex'!$A46,Table24[Sex],'G - Age and Sex'!C$1)</f>
        <v>0</v>
      </c>
      <c r="D46" s="55" t="str">
        <f>IFERROR(COUNTIFS(Table24[Client ID '#],"&lt;&gt;",Table24[Admission to CSU?],"Yes",Table24[Client Age],'G - Age and Sex'!A46)/SUM('G - Age and Sex'!B46:C46),"")</f>
        <v/>
      </c>
    </row>
    <row r="47" spans="1:4" x14ac:dyDescent="0.25">
      <c r="A47">
        <v>45</v>
      </c>
      <c r="B47">
        <f>COUNTIFS(Table24[Client ID '#],"&lt;&gt;",Table24[Client Age],'G - Age and Sex'!$A47,Table24[Sex],'G - Age and Sex'!B$1)</f>
        <v>0</v>
      </c>
      <c r="C47">
        <f>COUNTIFS(Table24[Client ID '#],"&lt;&gt;",Table24[Client Age],'G - Age and Sex'!$A47,Table24[Sex],'G - Age and Sex'!C$1)</f>
        <v>0</v>
      </c>
      <c r="D47" s="55" t="str">
        <f>IFERROR(COUNTIFS(Table24[Client ID '#],"&lt;&gt;",Table24[Admission to CSU?],"Yes",Table24[Client Age],'G - Age and Sex'!A47)/SUM('G - Age and Sex'!B47:C47),"")</f>
        <v/>
      </c>
    </row>
    <row r="48" spans="1:4" x14ac:dyDescent="0.25">
      <c r="A48">
        <v>46</v>
      </c>
      <c r="B48">
        <f>COUNTIFS(Table24[Client ID '#],"&lt;&gt;",Table24[Client Age],'G - Age and Sex'!$A48,Table24[Sex],'G - Age and Sex'!B$1)</f>
        <v>0</v>
      </c>
      <c r="C48">
        <f>COUNTIFS(Table24[Client ID '#],"&lt;&gt;",Table24[Client Age],'G - Age and Sex'!$A48,Table24[Sex],'G - Age and Sex'!C$1)</f>
        <v>0</v>
      </c>
      <c r="D48" s="55" t="str">
        <f>IFERROR(COUNTIFS(Table24[Client ID '#],"&lt;&gt;",Table24[Admission to CSU?],"Yes",Table24[Client Age],'G - Age and Sex'!A48)/SUM('G - Age and Sex'!B48:C48),"")</f>
        <v/>
      </c>
    </row>
    <row r="49" spans="1:4" x14ac:dyDescent="0.25">
      <c r="A49">
        <v>47</v>
      </c>
      <c r="B49">
        <f>COUNTIFS(Table24[Client ID '#],"&lt;&gt;",Table24[Client Age],'G - Age and Sex'!$A49,Table24[Sex],'G - Age and Sex'!B$1)</f>
        <v>0</v>
      </c>
      <c r="C49">
        <f>COUNTIFS(Table24[Client ID '#],"&lt;&gt;",Table24[Client Age],'G - Age and Sex'!$A49,Table24[Sex],'G - Age and Sex'!C$1)</f>
        <v>0</v>
      </c>
      <c r="D49" s="55" t="str">
        <f>IFERROR(COUNTIFS(Table24[Client ID '#],"&lt;&gt;",Table24[Admission to CSU?],"Yes",Table24[Client Age],'G - Age and Sex'!A49)/SUM('G - Age and Sex'!B49:C49),"")</f>
        <v/>
      </c>
    </row>
    <row r="50" spans="1:4" x14ac:dyDescent="0.25">
      <c r="A50">
        <v>48</v>
      </c>
      <c r="B50">
        <f>COUNTIFS(Table24[Client ID '#],"&lt;&gt;",Table24[Client Age],'G - Age and Sex'!$A50,Table24[Sex],'G - Age and Sex'!B$1)</f>
        <v>0</v>
      </c>
      <c r="C50">
        <f>COUNTIFS(Table24[Client ID '#],"&lt;&gt;",Table24[Client Age],'G - Age and Sex'!$A50,Table24[Sex],'G - Age and Sex'!C$1)</f>
        <v>0</v>
      </c>
      <c r="D50" s="55" t="str">
        <f>IFERROR(COUNTIFS(Table24[Client ID '#],"&lt;&gt;",Table24[Admission to CSU?],"Yes",Table24[Client Age],'G - Age and Sex'!A50)/SUM('G - Age and Sex'!B50:C50),"")</f>
        <v/>
      </c>
    </row>
    <row r="51" spans="1:4" x14ac:dyDescent="0.25">
      <c r="A51">
        <v>49</v>
      </c>
      <c r="B51">
        <f>COUNTIFS(Table24[Client ID '#],"&lt;&gt;",Table24[Client Age],'G - Age and Sex'!$A51,Table24[Sex],'G - Age and Sex'!B$1)</f>
        <v>0</v>
      </c>
      <c r="C51">
        <f>COUNTIFS(Table24[Client ID '#],"&lt;&gt;",Table24[Client Age],'G - Age and Sex'!$A51,Table24[Sex],'G - Age and Sex'!C$1)</f>
        <v>0</v>
      </c>
      <c r="D51" s="55" t="str">
        <f>IFERROR(COUNTIFS(Table24[Client ID '#],"&lt;&gt;",Table24[Admission to CSU?],"Yes",Table24[Client Age],'G - Age and Sex'!A51)/SUM('G - Age and Sex'!B51:C51),"")</f>
        <v/>
      </c>
    </row>
    <row r="52" spans="1:4" x14ac:dyDescent="0.25">
      <c r="A52">
        <v>50</v>
      </c>
      <c r="B52">
        <f>COUNTIFS(Table24[Client ID '#],"&lt;&gt;",Table24[Client Age],'G - Age and Sex'!$A52,Table24[Sex],'G - Age and Sex'!B$1)</f>
        <v>0</v>
      </c>
      <c r="C52">
        <f>COUNTIFS(Table24[Client ID '#],"&lt;&gt;",Table24[Client Age],'G - Age and Sex'!$A52,Table24[Sex],'G - Age and Sex'!C$1)</f>
        <v>0</v>
      </c>
      <c r="D52" s="55" t="str">
        <f>IFERROR(COUNTIFS(Table24[Client ID '#],"&lt;&gt;",Table24[Admission to CSU?],"Yes",Table24[Client Age],'G - Age and Sex'!A52)/SUM('G - Age and Sex'!B52:C52),"")</f>
        <v/>
      </c>
    </row>
    <row r="53" spans="1:4" x14ac:dyDescent="0.25">
      <c r="A53">
        <v>51</v>
      </c>
      <c r="B53">
        <f>COUNTIFS(Table24[Client ID '#],"&lt;&gt;",Table24[Client Age],'G - Age and Sex'!$A53,Table24[Sex],'G - Age and Sex'!B$1)</f>
        <v>0</v>
      </c>
      <c r="C53">
        <f>COUNTIFS(Table24[Client ID '#],"&lt;&gt;",Table24[Client Age],'G - Age and Sex'!$A53,Table24[Sex],'G - Age and Sex'!C$1)</f>
        <v>0</v>
      </c>
      <c r="D53" s="55" t="str">
        <f>IFERROR(COUNTIFS(Table24[Client ID '#],"&lt;&gt;",Table24[Admission to CSU?],"Yes",Table24[Client Age],'G - Age and Sex'!A53)/SUM('G - Age and Sex'!B53:C53),"")</f>
        <v/>
      </c>
    </row>
    <row r="54" spans="1:4" x14ac:dyDescent="0.25">
      <c r="A54">
        <v>52</v>
      </c>
      <c r="B54">
        <f>COUNTIFS(Table24[Client ID '#],"&lt;&gt;",Table24[Client Age],'G - Age and Sex'!$A54,Table24[Sex],'G - Age and Sex'!B$1)</f>
        <v>0</v>
      </c>
      <c r="C54">
        <f>COUNTIFS(Table24[Client ID '#],"&lt;&gt;",Table24[Client Age],'G - Age and Sex'!$A54,Table24[Sex],'G - Age and Sex'!C$1)</f>
        <v>0</v>
      </c>
      <c r="D54" s="55" t="str">
        <f>IFERROR(COUNTIFS(Table24[Client ID '#],"&lt;&gt;",Table24[Admission to CSU?],"Yes",Table24[Client Age],'G - Age and Sex'!A54)/SUM('G - Age and Sex'!B54:C54),"")</f>
        <v/>
      </c>
    </row>
    <row r="55" spans="1:4" x14ac:dyDescent="0.25">
      <c r="A55">
        <v>53</v>
      </c>
      <c r="B55">
        <f>COUNTIFS(Table24[Client ID '#],"&lt;&gt;",Table24[Client Age],'G - Age and Sex'!$A55,Table24[Sex],'G - Age and Sex'!B$1)</f>
        <v>0</v>
      </c>
      <c r="C55">
        <f>COUNTIFS(Table24[Client ID '#],"&lt;&gt;",Table24[Client Age],'G - Age and Sex'!$A55,Table24[Sex],'G - Age and Sex'!C$1)</f>
        <v>0</v>
      </c>
      <c r="D55" s="55" t="str">
        <f>IFERROR(COUNTIFS(Table24[Client ID '#],"&lt;&gt;",Table24[Admission to CSU?],"Yes",Table24[Client Age],'G - Age and Sex'!A55)/SUM('G - Age and Sex'!B55:C55),"")</f>
        <v/>
      </c>
    </row>
    <row r="56" spans="1:4" x14ac:dyDescent="0.25">
      <c r="A56">
        <v>54</v>
      </c>
      <c r="B56">
        <f>COUNTIFS(Table24[Client ID '#],"&lt;&gt;",Table24[Client Age],'G - Age and Sex'!$A56,Table24[Sex],'G - Age and Sex'!B$1)</f>
        <v>0</v>
      </c>
      <c r="C56">
        <f>COUNTIFS(Table24[Client ID '#],"&lt;&gt;",Table24[Client Age],'G - Age and Sex'!$A56,Table24[Sex],'G - Age and Sex'!C$1)</f>
        <v>0</v>
      </c>
      <c r="D56" s="55" t="str">
        <f>IFERROR(COUNTIFS(Table24[Client ID '#],"&lt;&gt;",Table24[Admission to CSU?],"Yes",Table24[Client Age],'G - Age and Sex'!A56)/SUM('G - Age and Sex'!B56:C56),"")</f>
        <v/>
      </c>
    </row>
    <row r="57" spans="1:4" x14ac:dyDescent="0.25">
      <c r="A57">
        <v>55</v>
      </c>
      <c r="B57">
        <f>COUNTIFS(Table24[Client ID '#],"&lt;&gt;",Table24[Client Age],'G - Age and Sex'!$A57,Table24[Sex],'G - Age and Sex'!B$1)</f>
        <v>0</v>
      </c>
      <c r="C57">
        <f>COUNTIFS(Table24[Client ID '#],"&lt;&gt;",Table24[Client Age],'G - Age and Sex'!$A57,Table24[Sex],'G - Age and Sex'!C$1)</f>
        <v>0</v>
      </c>
      <c r="D57" s="55" t="str">
        <f>IFERROR(COUNTIFS(Table24[Client ID '#],"&lt;&gt;",Table24[Admission to CSU?],"Yes",Table24[Client Age],'G - Age and Sex'!A57)/SUM('G - Age and Sex'!B57:C57),"")</f>
        <v/>
      </c>
    </row>
    <row r="58" spans="1:4" x14ac:dyDescent="0.25">
      <c r="A58">
        <v>56</v>
      </c>
      <c r="B58">
        <f>COUNTIFS(Table24[Client ID '#],"&lt;&gt;",Table24[Client Age],'G - Age and Sex'!$A58,Table24[Sex],'G - Age and Sex'!B$1)</f>
        <v>0</v>
      </c>
      <c r="C58">
        <f>COUNTIFS(Table24[Client ID '#],"&lt;&gt;",Table24[Client Age],'G - Age and Sex'!$A58,Table24[Sex],'G - Age and Sex'!C$1)</f>
        <v>0</v>
      </c>
      <c r="D58" s="55" t="str">
        <f>IFERROR(COUNTIFS(Table24[Client ID '#],"&lt;&gt;",Table24[Admission to CSU?],"Yes",Table24[Client Age],'G - Age and Sex'!A58)/SUM('G - Age and Sex'!B58:C58),"")</f>
        <v/>
      </c>
    </row>
    <row r="59" spans="1:4" x14ac:dyDescent="0.25">
      <c r="A59">
        <v>57</v>
      </c>
      <c r="B59">
        <f>COUNTIFS(Table24[Client ID '#],"&lt;&gt;",Table24[Client Age],'G - Age and Sex'!$A59,Table24[Sex],'G - Age and Sex'!B$1)</f>
        <v>0</v>
      </c>
      <c r="C59">
        <f>COUNTIFS(Table24[Client ID '#],"&lt;&gt;",Table24[Client Age],'G - Age and Sex'!$A59,Table24[Sex],'G - Age and Sex'!C$1)</f>
        <v>0</v>
      </c>
      <c r="D59" s="55" t="str">
        <f>IFERROR(COUNTIFS(Table24[Client ID '#],"&lt;&gt;",Table24[Admission to CSU?],"Yes",Table24[Client Age],'G - Age and Sex'!A59)/SUM('G - Age and Sex'!B59:C59),"")</f>
        <v/>
      </c>
    </row>
    <row r="60" spans="1:4" x14ac:dyDescent="0.25">
      <c r="A60">
        <v>58</v>
      </c>
      <c r="B60">
        <f>COUNTIFS(Table24[Client ID '#],"&lt;&gt;",Table24[Client Age],'G - Age and Sex'!$A60,Table24[Sex],'G - Age and Sex'!B$1)</f>
        <v>0</v>
      </c>
      <c r="C60">
        <f>COUNTIFS(Table24[Client ID '#],"&lt;&gt;",Table24[Client Age],'G - Age and Sex'!$A60,Table24[Sex],'G - Age and Sex'!C$1)</f>
        <v>0</v>
      </c>
      <c r="D60" s="55" t="str">
        <f>IFERROR(COUNTIFS(Table24[Client ID '#],"&lt;&gt;",Table24[Admission to CSU?],"Yes",Table24[Client Age],'G - Age and Sex'!A60)/SUM('G - Age and Sex'!B60:C60),"")</f>
        <v/>
      </c>
    </row>
    <row r="61" spans="1:4" x14ac:dyDescent="0.25">
      <c r="A61">
        <v>59</v>
      </c>
      <c r="B61">
        <f>COUNTIFS(Table24[Client ID '#],"&lt;&gt;",Table24[Client Age],'G - Age and Sex'!$A61,Table24[Sex],'G - Age and Sex'!B$1)</f>
        <v>0</v>
      </c>
      <c r="C61">
        <f>COUNTIFS(Table24[Client ID '#],"&lt;&gt;",Table24[Client Age],'G - Age and Sex'!$A61,Table24[Sex],'G - Age and Sex'!C$1)</f>
        <v>0</v>
      </c>
      <c r="D61" s="55" t="str">
        <f>IFERROR(COUNTIFS(Table24[Client ID '#],"&lt;&gt;",Table24[Admission to CSU?],"Yes",Table24[Client Age],'G - Age and Sex'!A61)/SUM('G - Age and Sex'!B61:C61),"")</f>
        <v/>
      </c>
    </row>
    <row r="62" spans="1:4" x14ac:dyDescent="0.25">
      <c r="A62">
        <v>60</v>
      </c>
      <c r="B62">
        <f>COUNTIFS(Table24[Client ID '#],"&lt;&gt;",Table24[Client Age],'G - Age and Sex'!$A62,Table24[Sex],'G - Age and Sex'!B$1)</f>
        <v>0</v>
      </c>
      <c r="C62">
        <f>COUNTIFS(Table24[Client ID '#],"&lt;&gt;",Table24[Client Age],'G - Age and Sex'!$A62,Table24[Sex],'G - Age and Sex'!C$1)</f>
        <v>0</v>
      </c>
      <c r="D62" s="55" t="str">
        <f>IFERROR(COUNTIFS(Table24[Client ID '#],"&lt;&gt;",Table24[Admission to CSU?],"Yes",Table24[Client Age],'G - Age and Sex'!A62)/SUM('G - Age and Sex'!B62:C62),"")</f>
        <v/>
      </c>
    </row>
    <row r="63" spans="1:4" x14ac:dyDescent="0.25">
      <c r="A63">
        <v>61</v>
      </c>
      <c r="B63">
        <f>COUNTIFS(Table24[Client ID '#],"&lt;&gt;",Table24[Client Age],'G - Age and Sex'!$A63,Table24[Sex],'G - Age and Sex'!B$1)</f>
        <v>0</v>
      </c>
      <c r="C63">
        <f>COUNTIFS(Table24[Client ID '#],"&lt;&gt;",Table24[Client Age],'G - Age and Sex'!$A63,Table24[Sex],'G - Age and Sex'!C$1)</f>
        <v>0</v>
      </c>
      <c r="D63" s="55" t="str">
        <f>IFERROR(COUNTIFS(Table24[Client ID '#],"&lt;&gt;",Table24[Admission to CSU?],"Yes",Table24[Client Age],'G - Age and Sex'!A63)/SUM('G - Age and Sex'!B63:C63),"")</f>
        <v/>
      </c>
    </row>
    <row r="64" spans="1:4" x14ac:dyDescent="0.25">
      <c r="A64">
        <v>62</v>
      </c>
      <c r="B64">
        <f>COUNTIFS(Table24[Client ID '#],"&lt;&gt;",Table24[Client Age],'G - Age and Sex'!$A64,Table24[Sex],'G - Age and Sex'!B$1)</f>
        <v>0</v>
      </c>
      <c r="C64">
        <f>COUNTIFS(Table24[Client ID '#],"&lt;&gt;",Table24[Client Age],'G - Age and Sex'!$A64,Table24[Sex],'G - Age and Sex'!C$1)</f>
        <v>0</v>
      </c>
      <c r="D64" s="55" t="str">
        <f>IFERROR(COUNTIFS(Table24[Client ID '#],"&lt;&gt;",Table24[Admission to CSU?],"Yes",Table24[Client Age],'G - Age and Sex'!A64)/SUM('G - Age and Sex'!B64:C64),"")</f>
        <v/>
      </c>
    </row>
    <row r="65" spans="1:4" x14ac:dyDescent="0.25">
      <c r="A65">
        <v>63</v>
      </c>
      <c r="B65">
        <f>COUNTIFS(Table24[Client ID '#],"&lt;&gt;",Table24[Client Age],'G - Age and Sex'!$A65,Table24[Sex],'G - Age and Sex'!B$1)</f>
        <v>0</v>
      </c>
      <c r="C65">
        <f>COUNTIFS(Table24[Client ID '#],"&lt;&gt;",Table24[Client Age],'G - Age and Sex'!$A65,Table24[Sex],'G - Age and Sex'!C$1)</f>
        <v>0</v>
      </c>
      <c r="D65" s="55" t="str">
        <f>IFERROR(COUNTIFS(Table24[Client ID '#],"&lt;&gt;",Table24[Admission to CSU?],"Yes",Table24[Client Age],'G - Age and Sex'!A65)/SUM('G - Age and Sex'!B65:C65),"")</f>
        <v/>
      </c>
    </row>
    <row r="66" spans="1:4" x14ac:dyDescent="0.25">
      <c r="A66">
        <v>64</v>
      </c>
      <c r="B66">
        <f>COUNTIFS(Table24[Client ID '#],"&lt;&gt;",Table24[Client Age],'G - Age and Sex'!$A66,Table24[Sex],'G - Age and Sex'!B$1)</f>
        <v>0</v>
      </c>
      <c r="C66">
        <f>COUNTIFS(Table24[Client ID '#],"&lt;&gt;",Table24[Client Age],'G - Age and Sex'!$A66,Table24[Sex],'G - Age and Sex'!C$1)</f>
        <v>0</v>
      </c>
      <c r="D66" s="55" t="str">
        <f>IFERROR(COUNTIFS(Table24[Client ID '#],"&lt;&gt;",Table24[Admission to CSU?],"Yes",Table24[Client Age],'G - Age and Sex'!A66)/SUM('G - Age and Sex'!B66:C66),"")</f>
        <v/>
      </c>
    </row>
    <row r="67" spans="1:4" x14ac:dyDescent="0.25">
      <c r="A67">
        <v>65</v>
      </c>
      <c r="B67">
        <f>COUNTIFS(Table24[Client ID '#],"&lt;&gt;",Table24[Client Age],'G - Age and Sex'!$A67,Table24[Sex],'G - Age and Sex'!B$1)</f>
        <v>0</v>
      </c>
      <c r="C67">
        <f>COUNTIFS(Table24[Client ID '#],"&lt;&gt;",Table24[Client Age],'G - Age and Sex'!$A67,Table24[Sex],'G - Age and Sex'!C$1)</f>
        <v>0</v>
      </c>
      <c r="D67" s="55" t="str">
        <f>IFERROR(COUNTIFS(Table24[Client ID '#],"&lt;&gt;",Table24[Admission to CSU?],"Yes",Table24[Client Age],'G - Age and Sex'!A67)/SUM('G - Age and Sex'!B67:C67),"")</f>
        <v/>
      </c>
    </row>
    <row r="68" spans="1:4" x14ac:dyDescent="0.25">
      <c r="A68">
        <v>66</v>
      </c>
      <c r="B68">
        <f>COUNTIFS(Table24[Client ID '#],"&lt;&gt;",Table24[Client Age],'G - Age and Sex'!$A68,Table24[Sex],'G - Age and Sex'!B$1)</f>
        <v>0</v>
      </c>
      <c r="C68">
        <f>COUNTIFS(Table24[Client ID '#],"&lt;&gt;",Table24[Client Age],'G - Age and Sex'!$A68,Table24[Sex],'G - Age and Sex'!C$1)</f>
        <v>0</v>
      </c>
      <c r="D68" s="55" t="str">
        <f>IFERROR(COUNTIFS(Table24[Client ID '#],"&lt;&gt;",Table24[Admission to CSU?],"Yes",Table24[Client Age],'G - Age and Sex'!A68)/SUM('G - Age and Sex'!B68:C68),"")</f>
        <v/>
      </c>
    </row>
    <row r="69" spans="1:4" x14ac:dyDescent="0.25">
      <c r="A69">
        <v>67</v>
      </c>
      <c r="B69">
        <f>COUNTIFS(Table24[Client ID '#],"&lt;&gt;",Table24[Client Age],'G - Age and Sex'!$A69,Table24[Sex],'G - Age and Sex'!B$1)</f>
        <v>0</v>
      </c>
      <c r="C69">
        <f>COUNTIFS(Table24[Client ID '#],"&lt;&gt;",Table24[Client Age],'G - Age and Sex'!$A69,Table24[Sex],'G - Age and Sex'!C$1)</f>
        <v>0</v>
      </c>
      <c r="D69" s="55" t="str">
        <f>IFERROR(COUNTIFS(Table24[Client ID '#],"&lt;&gt;",Table24[Admission to CSU?],"Yes",Table24[Client Age],'G - Age and Sex'!A69)/SUM('G - Age and Sex'!B69:C69),"")</f>
        <v/>
      </c>
    </row>
    <row r="70" spans="1:4" x14ac:dyDescent="0.25">
      <c r="A70">
        <v>68</v>
      </c>
      <c r="B70">
        <f>COUNTIFS(Table24[Client ID '#],"&lt;&gt;",Table24[Client Age],'G - Age and Sex'!$A70,Table24[Sex],'G - Age and Sex'!B$1)</f>
        <v>0</v>
      </c>
      <c r="C70">
        <f>COUNTIFS(Table24[Client ID '#],"&lt;&gt;",Table24[Client Age],'G - Age and Sex'!$A70,Table24[Sex],'G - Age and Sex'!C$1)</f>
        <v>0</v>
      </c>
      <c r="D70" s="55" t="str">
        <f>IFERROR(COUNTIFS(Table24[Client ID '#],"&lt;&gt;",Table24[Admission to CSU?],"Yes",Table24[Client Age],'G - Age and Sex'!A70)/SUM('G - Age and Sex'!B70:C70),"")</f>
        <v/>
      </c>
    </row>
    <row r="71" spans="1:4" x14ac:dyDescent="0.25">
      <c r="A71">
        <v>69</v>
      </c>
      <c r="B71">
        <f>COUNTIFS(Table24[Client ID '#],"&lt;&gt;",Table24[Client Age],'G - Age and Sex'!$A71,Table24[Sex],'G - Age and Sex'!B$1)</f>
        <v>0</v>
      </c>
      <c r="C71">
        <f>COUNTIFS(Table24[Client ID '#],"&lt;&gt;",Table24[Client Age],'G - Age and Sex'!$A71,Table24[Sex],'G - Age and Sex'!C$1)</f>
        <v>0</v>
      </c>
      <c r="D71" s="55" t="str">
        <f>IFERROR(COUNTIFS(Table24[Client ID '#],"&lt;&gt;",Table24[Admission to CSU?],"Yes",Table24[Client Age],'G - Age and Sex'!A71)/SUM('G - Age and Sex'!B71:C71),"")</f>
        <v/>
      </c>
    </row>
    <row r="72" spans="1:4" x14ac:dyDescent="0.25">
      <c r="A72">
        <v>70</v>
      </c>
      <c r="B72">
        <f>COUNTIFS(Table24[Client ID '#],"&lt;&gt;",Table24[Client Age],'G - Age and Sex'!$A72,Table24[Sex],'G - Age and Sex'!B$1)</f>
        <v>0</v>
      </c>
      <c r="C72">
        <f>COUNTIFS(Table24[Client ID '#],"&lt;&gt;",Table24[Client Age],'G - Age and Sex'!$A72,Table24[Sex],'G - Age and Sex'!C$1)</f>
        <v>0</v>
      </c>
      <c r="D72" s="55" t="str">
        <f>IFERROR(COUNTIFS(Table24[Client ID '#],"&lt;&gt;",Table24[Admission to CSU?],"Yes",Table24[Client Age],'G - Age and Sex'!A72)/SUM('G - Age and Sex'!B72:C72),"")</f>
        <v/>
      </c>
    </row>
    <row r="73" spans="1:4" x14ac:dyDescent="0.25">
      <c r="A73">
        <v>71</v>
      </c>
      <c r="B73">
        <f>COUNTIFS(Table24[Client ID '#],"&lt;&gt;",Table24[Client Age],'G - Age and Sex'!$A73,Table24[Sex],'G - Age and Sex'!B$1)</f>
        <v>0</v>
      </c>
      <c r="C73">
        <f>COUNTIFS(Table24[Client ID '#],"&lt;&gt;",Table24[Client Age],'G - Age and Sex'!$A73,Table24[Sex],'G - Age and Sex'!C$1)</f>
        <v>0</v>
      </c>
      <c r="D73" s="55" t="str">
        <f>IFERROR(COUNTIFS(Table24[Client ID '#],"&lt;&gt;",Table24[Admission to CSU?],"Yes",Table24[Client Age],'G - Age and Sex'!A73)/SUM('G - Age and Sex'!B73:C73),"")</f>
        <v/>
      </c>
    </row>
    <row r="74" spans="1:4" x14ac:dyDescent="0.25">
      <c r="A74">
        <v>72</v>
      </c>
      <c r="B74">
        <f>COUNTIFS(Table24[Client ID '#],"&lt;&gt;",Table24[Client Age],'G - Age and Sex'!$A74,Table24[Sex],'G - Age and Sex'!B$1)</f>
        <v>0</v>
      </c>
      <c r="C74">
        <f>COUNTIFS(Table24[Client ID '#],"&lt;&gt;",Table24[Client Age],'G - Age and Sex'!$A74,Table24[Sex],'G - Age and Sex'!C$1)</f>
        <v>0</v>
      </c>
      <c r="D74" s="55" t="str">
        <f>IFERROR(COUNTIFS(Table24[Client ID '#],"&lt;&gt;",Table24[Admission to CSU?],"Yes",Table24[Client Age],'G - Age and Sex'!A74)/SUM('G - Age and Sex'!B74:C74),"")</f>
        <v/>
      </c>
    </row>
    <row r="75" spans="1:4" x14ac:dyDescent="0.25">
      <c r="A75">
        <v>73</v>
      </c>
      <c r="B75">
        <f>COUNTIFS(Table24[Client ID '#],"&lt;&gt;",Table24[Client Age],'G - Age and Sex'!$A75,Table24[Sex],'G - Age and Sex'!B$1)</f>
        <v>0</v>
      </c>
      <c r="C75">
        <f>COUNTIFS(Table24[Client ID '#],"&lt;&gt;",Table24[Client Age],'G - Age and Sex'!$A75,Table24[Sex],'G - Age and Sex'!C$1)</f>
        <v>0</v>
      </c>
      <c r="D75" s="55" t="str">
        <f>IFERROR(COUNTIFS(Table24[Client ID '#],"&lt;&gt;",Table24[Admission to CSU?],"Yes",Table24[Client Age],'G - Age and Sex'!A75)/SUM('G - Age and Sex'!B75:C75),"")</f>
        <v/>
      </c>
    </row>
    <row r="76" spans="1:4" x14ac:dyDescent="0.25">
      <c r="A76">
        <v>74</v>
      </c>
      <c r="B76">
        <f>COUNTIFS(Table24[Client ID '#],"&lt;&gt;",Table24[Client Age],'G - Age and Sex'!$A76,Table24[Sex],'G - Age and Sex'!B$1)</f>
        <v>0</v>
      </c>
      <c r="C76">
        <f>COUNTIFS(Table24[Client ID '#],"&lt;&gt;",Table24[Client Age],'G - Age and Sex'!$A76,Table24[Sex],'G - Age and Sex'!C$1)</f>
        <v>0</v>
      </c>
      <c r="D76" s="55" t="str">
        <f>IFERROR(COUNTIFS(Table24[Client ID '#],"&lt;&gt;",Table24[Admission to CSU?],"Yes",Table24[Client Age],'G - Age and Sex'!A76)/SUM('G - Age and Sex'!B76:C76),"")</f>
        <v/>
      </c>
    </row>
    <row r="77" spans="1:4" x14ac:dyDescent="0.25">
      <c r="A77">
        <v>75</v>
      </c>
      <c r="B77">
        <f>COUNTIFS(Table24[Client ID '#],"&lt;&gt;",Table24[Client Age],'G - Age and Sex'!$A77,Table24[Sex],'G - Age and Sex'!B$1)</f>
        <v>0</v>
      </c>
      <c r="C77">
        <f>COUNTIFS(Table24[Client ID '#],"&lt;&gt;",Table24[Client Age],'G - Age and Sex'!$A77,Table24[Sex],'G - Age and Sex'!C$1)</f>
        <v>0</v>
      </c>
      <c r="D77" s="55" t="str">
        <f>IFERROR(COUNTIFS(Table24[Client ID '#],"&lt;&gt;",Table24[Admission to CSU?],"Yes",Table24[Client Age],'G - Age and Sex'!A77)/SUM('G - Age and Sex'!B77:C77),"")</f>
        <v/>
      </c>
    </row>
    <row r="78" spans="1:4" x14ac:dyDescent="0.25">
      <c r="A78">
        <v>76</v>
      </c>
      <c r="B78">
        <f>COUNTIFS(Table24[Client ID '#],"&lt;&gt;",Table24[Client Age],'G - Age and Sex'!$A78,Table24[Sex],'G - Age and Sex'!B$1)</f>
        <v>0</v>
      </c>
      <c r="C78">
        <f>COUNTIFS(Table24[Client ID '#],"&lt;&gt;",Table24[Client Age],'G - Age and Sex'!$A78,Table24[Sex],'G - Age and Sex'!C$1)</f>
        <v>0</v>
      </c>
      <c r="D78" s="55" t="str">
        <f>IFERROR(COUNTIFS(Table24[Client ID '#],"&lt;&gt;",Table24[Admission to CSU?],"Yes",Table24[Client Age],'G - Age and Sex'!A78)/SUM('G - Age and Sex'!B78:C78),"")</f>
        <v/>
      </c>
    </row>
    <row r="79" spans="1:4" x14ac:dyDescent="0.25">
      <c r="A79">
        <v>77</v>
      </c>
      <c r="B79">
        <f>COUNTIFS(Table24[Client ID '#],"&lt;&gt;",Table24[Client Age],'G - Age and Sex'!$A79,Table24[Sex],'G - Age and Sex'!B$1)</f>
        <v>0</v>
      </c>
      <c r="C79">
        <f>COUNTIFS(Table24[Client ID '#],"&lt;&gt;",Table24[Client Age],'G - Age and Sex'!$A79,Table24[Sex],'G - Age and Sex'!C$1)</f>
        <v>0</v>
      </c>
      <c r="D79" s="55" t="str">
        <f>IFERROR(COUNTIFS(Table24[Client ID '#],"&lt;&gt;",Table24[Admission to CSU?],"Yes",Table24[Client Age],'G - Age and Sex'!A79)/SUM('G - Age and Sex'!B79:C79),"")</f>
        <v/>
      </c>
    </row>
    <row r="80" spans="1:4" x14ac:dyDescent="0.25">
      <c r="A80">
        <v>78</v>
      </c>
      <c r="B80">
        <f>COUNTIFS(Table24[Client ID '#],"&lt;&gt;",Table24[Client Age],'G - Age and Sex'!$A80,Table24[Sex],'G - Age and Sex'!B$1)</f>
        <v>0</v>
      </c>
      <c r="C80">
        <f>COUNTIFS(Table24[Client ID '#],"&lt;&gt;",Table24[Client Age],'G - Age and Sex'!$A80,Table24[Sex],'G - Age and Sex'!C$1)</f>
        <v>0</v>
      </c>
      <c r="D80" s="55" t="str">
        <f>IFERROR(COUNTIFS(Table24[Client ID '#],"&lt;&gt;",Table24[Admission to CSU?],"Yes",Table24[Client Age],'G - Age and Sex'!A80)/SUM('G - Age and Sex'!B80:C80),"")</f>
        <v/>
      </c>
    </row>
    <row r="81" spans="1:4" x14ac:dyDescent="0.25">
      <c r="A81">
        <v>79</v>
      </c>
      <c r="B81">
        <f>COUNTIFS(Table24[Client ID '#],"&lt;&gt;",Table24[Client Age],'G - Age and Sex'!$A81,Table24[Sex],'G - Age and Sex'!B$1)</f>
        <v>0</v>
      </c>
      <c r="C81">
        <f>COUNTIFS(Table24[Client ID '#],"&lt;&gt;",Table24[Client Age],'G - Age and Sex'!$A81,Table24[Sex],'G - Age and Sex'!C$1)</f>
        <v>0</v>
      </c>
      <c r="D81" s="55" t="str">
        <f>IFERROR(COUNTIFS(Table24[Client ID '#],"&lt;&gt;",Table24[Admission to CSU?],"Yes",Table24[Client Age],'G - Age and Sex'!A81)/SUM('G - Age and Sex'!B81:C81),"")</f>
        <v/>
      </c>
    </row>
    <row r="82" spans="1:4" x14ac:dyDescent="0.25">
      <c r="A82">
        <v>80</v>
      </c>
      <c r="B82">
        <f>COUNTIFS(Table24[Client ID '#],"&lt;&gt;",Table24[Client Age],'G - Age and Sex'!$A82,Table24[Sex],'G - Age and Sex'!B$1)</f>
        <v>0</v>
      </c>
      <c r="C82">
        <f>COUNTIFS(Table24[Client ID '#],"&lt;&gt;",Table24[Client Age],'G - Age and Sex'!$A82,Table24[Sex],'G - Age and Sex'!C$1)</f>
        <v>0</v>
      </c>
      <c r="D82" s="55" t="str">
        <f>IFERROR(COUNTIFS(Table24[Client ID '#],"&lt;&gt;",Table24[Admission to CSU?],"Yes",Table24[Client Age],'G - Age and Sex'!A82)/SUM('G - Age and Sex'!B82:C82),"")</f>
        <v/>
      </c>
    </row>
    <row r="83" spans="1:4" x14ac:dyDescent="0.25">
      <c r="A83">
        <v>81</v>
      </c>
      <c r="B83">
        <f>COUNTIFS(Table24[Client ID '#],"&lt;&gt;",Table24[Client Age],'G - Age and Sex'!$A83,Table24[Sex],'G - Age and Sex'!B$1)</f>
        <v>0</v>
      </c>
      <c r="C83">
        <f>COUNTIFS(Table24[Client ID '#],"&lt;&gt;",Table24[Client Age],'G - Age and Sex'!$A83,Table24[Sex],'G - Age and Sex'!C$1)</f>
        <v>0</v>
      </c>
      <c r="D83" s="55" t="str">
        <f>IFERROR(COUNTIFS(Table24[Client ID '#],"&lt;&gt;",Table24[Admission to CSU?],"Yes",Table24[Client Age],'G - Age and Sex'!A83)/SUM('G - Age and Sex'!B83:C83),"")</f>
        <v/>
      </c>
    </row>
    <row r="84" spans="1:4" x14ac:dyDescent="0.25">
      <c r="A84">
        <v>82</v>
      </c>
      <c r="B84">
        <f>COUNTIFS(Table24[Client ID '#],"&lt;&gt;",Table24[Client Age],'G - Age and Sex'!$A84,Table24[Sex],'G - Age and Sex'!B$1)</f>
        <v>0</v>
      </c>
      <c r="C84">
        <f>COUNTIFS(Table24[Client ID '#],"&lt;&gt;",Table24[Client Age],'G - Age and Sex'!$A84,Table24[Sex],'G - Age and Sex'!C$1)</f>
        <v>0</v>
      </c>
      <c r="D84" s="55" t="str">
        <f>IFERROR(COUNTIFS(Table24[Client ID '#],"&lt;&gt;",Table24[Admission to CSU?],"Yes",Table24[Client Age],'G - Age and Sex'!A84)/SUM('G - Age and Sex'!B84:C84),"")</f>
        <v/>
      </c>
    </row>
    <row r="85" spans="1:4" x14ac:dyDescent="0.25">
      <c r="A85">
        <v>83</v>
      </c>
      <c r="B85">
        <f>COUNTIFS(Table24[Client ID '#],"&lt;&gt;",Table24[Client Age],'G - Age and Sex'!$A85,Table24[Sex],'G - Age and Sex'!B$1)</f>
        <v>0</v>
      </c>
      <c r="C85">
        <f>COUNTIFS(Table24[Client ID '#],"&lt;&gt;",Table24[Client Age],'G - Age and Sex'!$A85,Table24[Sex],'G - Age and Sex'!C$1)</f>
        <v>0</v>
      </c>
      <c r="D85" s="55" t="str">
        <f>IFERROR(COUNTIFS(Table24[Client ID '#],"&lt;&gt;",Table24[Admission to CSU?],"Yes",Table24[Client Age],'G - Age and Sex'!A85)/SUM('G - Age and Sex'!B85:C85),"")</f>
        <v/>
      </c>
    </row>
    <row r="86" spans="1:4" x14ac:dyDescent="0.25">
      <c r="A86">
        <v>84</v>
      </c>
      <c r="B86">
        <f>COUNTIFS(Table24[Client ID '#],"&lt;&gt;",Table24[Client Age],'G - Age and Sex'!$A86,Table24[Sex],'G - Age and Sex'!B$1)</f>
        <v>0</v>
      </c>
      <c r="C86">
        <f>COUNTIFS(Table24[Client ID '#],"&lt;&gt;",Table24[Client Age],'G - Age and Sex'!$A86,Table24[Sex],'G - Age and Sex'!C$1)</f>
        <v>0</v>
      </c>
      <c r="D86" s="55" t="str">
        <f>IFERROR(COUNTIFS(Table24[Client ID '#],"&lt;&gt;",Table24[Admission to CSU?],"Yes",Table24[Client Age],'G - Age and Sex'!A86)/SUM('G - Age and Sex'!B86:C86),"")</f>
        <v/>
      </c>
    </row>
    <row r="87" spans="1:4" x14ac:dyDescent="0.25">
      <c r="A87">
        <v>85</v>
      </c>
      <c r="B87">
        <f>COUNTIFS(Table24[Client ID '#],"&lt;&gt;",Table24[Client Age],'G - Age and Sex'!$A87,Table24[Sex],'G - Age and Sex'!B$1)</f>
        <v>0</v>
      </c>
      <c r="C87">
        <f>COUNTIFS(Table24[Client ID '#],"&lt;&gt;",Table24[Client Age],'G - Age and Sex'!$A87,Table24[Sex],'G - Age and Sex'!C$1)</f>
        <v>0</v>
      </c>
      <c r="D87" s="55" t="str">
        <f>IFERROR(COUNTIFS(Table24[Client ID '#],"&lt;&gt;",Table24[Admission to CSU?],"Yes",Table24[Client Age],'G - Age and Sex'!A87)/SUM('G - Age and Sex'!B87:C87),"")</f>
        <v/>
      </c>
    </row>
    <row r="88" spans="1:4" x14ac:dyDescent="0.25">
      <c r="A88">
        <v>86</v>
      </c>
      <c r="B88">
        <f>COUNTIFS(Table24[Client ID '#],"&lt;&gt;",Table24[Client Age],'G - Age and Sex'!$A88,Table24[Sex],'G - Age and Sex'!B$1)</f>
        <v>0</v>
      </c>
      <c r="C88">
        <f>COUNTIFS(Table24[Client ID '#],"&lt;&gt;",Table24[Client Age],'G - Age and Sex'!$A88,Table24[Sex],'G - Age and Sex'!C$1)</f>
        <v>0</v>
      </c>
      <c r="D88" s="55" t="str">
        <f>IFERROR(COUNTIFS(Table24[Client ID '#],"&lt;&gt;",Table24[Admission to CSU?],"Yes",Table24[Client Age],'G - Age and Sex'!A88)/SUM('G - Age and Sex'!B88:C88),"")</f>
        <v/>
      </c>
    </row>
    <row r="89" spans="1:4" x14ac:dyDescent="0.25">
      <c r="A89">
        <v>87</v>
      </c>
      <c r="B89">
        <f>COUNTIFS(Table24[Client ID '#],"&lt;&gt;",Table24[Client Age],'G - Age and Sex'!$A89,Table24[Sex],'G - Age and Sex'!B$1)</f>
        <v>0</v>
      </c>
      <c r="C89">
        <f>COUNTIFS(Table24[Client ID '#],"&lt;&gt;",Table24[Client Age],'G - Age and Sex'!$A89,Table24[Sex],'G - Age and Sex'!C$1)</f>
        <v>0</v>
      </c>
      <c r="D89" s="55" t="str">
        <f>IFERROR(COUNTIFS(Table24[Client ID '#],"&lt;&gt;",Table24[Admission to CSU?],"Yes",Table24[Client Age],'G - Age and Sex'!A89)/SUM('G - Age and Sex'!B89:C89),"")</f>
        <v/>
      </c>
    </row>
    <row r="90" spans="1:4" x14ac:dyDescent="0.25">
      <c r="A90">
        <v>88</v>
      </c>
      <c r="B90">
        <f>COUNTIFS(Table24[Client ID '#],"&lt;&gt;",Table24[Client Age],'G - Age and Sex'!$A90,Table24[Sex],'G - Age and Sex'!B$1)</f>
        <v>0</v>
      </c>
      <c r="C90">
        <f>COUNTIFS(Table24[Client ID '#],"&lt;&gt;",Table24[Client Age],'G - Age and Sex'!$A90,Table24[Sex],'G - Age and Sex'!C$1)</f>
        <v>0</v>
      </c>
      <c r="D90" s="55" t="str">
        <f>IFERROR(COUNTIFS(Table24[Client ID '#],"&lt;&gt;",Table24[Admission to CSU?],"Yes",Table24[Client Age],'G - Age and Sex'!A90)/SUM('G - Age and Sex'!B90:C90),"")</f>
        <v/>
      </c>
    </row>
    <row r="91" spans="1:4" x14ac:dyDescent="0.25">
      <c r="A91">
        <v>89</v>
      </c>
      <c r="B91">
        <f>COUNTIFS(Table24[Client ID '#],"&lt;&gt;",Table24[Client Age],'G - Age and Sex'!$A91,Table24[Sex],'G - Age and Sex'!B$1)</f>
        <v>0</v>
      </c>
      <c r="C91">
        <f>COUNTIFS(Table24[Client ID '#],"&lt;&gt;",Table24[Client Age],'G - Age and Sex'!$A91,Table24[Sex],'G - Age and Sex'!C$1)</f>
        <v>0</v>
      </c>
      <c r="D91" s="55" t="str">
        <f>IFERROR(COUNTIFS(Table24[Client ID '#],"&lt;&gt;",Table24[Admission to CSU?],"Yes",Table24[Client Age],'G - Age and Sex'!A91)/SUM('G - Age and Sex'!B91:C91),"")</f>
        <v/>
      </c>
    </row>
    <row r="92" spans="1:4" x14ac:dyDescent="0.25">
      <c r="A92">
        <v>90</v>
      </c>
      <c r="B92">
        <f>COUNTIFS(Table24[Client ID '#],"&lt;&gt;",Table24[Client Age],'G - Age and Sex'!$A92,Table24[Sex],'G - Age and Sex'!B$1)</f>
        <v>0</v>
      </c>
      <c r="C92">
        <f>COUNTIFS(Table24[Client ID '#],"&lt;&gt;",Table24[Client Age],'G - Age and Sex'!$A92,Table24[Sex],'G - Age and Sex'!C$1)</f>
        <v>0</v>
      </c>
      <c r="D92" s="55" t="str">
        <f>IFERROR(COUNTIFS(Table24[Client ID '#],"&lt;&gt;",Table24[Admission to CSU?],"Yes",Table24[Client Age],'G - Age and Sex'!A92)/SUM('G - Age and Sex'!B92:C92),"")</f>
        <v/>
      </c>
    </row>
    <row r="93" spans="1:4" x14ac:dyDescent="0.25">
      <c r="A93">
        <v>91</v>
      </c>
      <c r="B93">
        <f>COUNTIFS(Table24[Client ID '#],"&lt;&gt;",Table24[Client Age],'G - Age and Sex'!$A93,Table24[Sex],'G - Age and Sex'!B$1)</f>
        <v>0</v>
      </c>
      <c r="C93">
        <f>COUNTIFS(Table24[Client ID '#],"&lt;&gt;",Table24[Client Age],'G - Age and Sex'!$A93,Table24[Sex],'G - Age and Sex'!C$1)</f>
        <v>0</v>
      </c>
      <c r="D93" s="55" t="str">
        <f>IFERROR(COUNTIFS(Table24[Client ID '#],"&lt;&gt;",Table24[Admission to CSU?],"Yes",Table24[Client Age],'G - Age and Sex'!A93)/SUM('G - Age and Sex'!B93:C93),"")</f>
        <v/>
      </c>
    </row>
    <row r="94" spans="1:4" x14ac:dyDescent="0.25">
      <c r="A94">
        <v>92</v>
      </c>
      <c r="B94">
        <f>COUNTIFS(Table24[Client ID '#],"&lt;&gt;",Table24[Client Age],'G - Age and Sex'!$A94,Table24[Sex],'G - Age and Sex'!B$1)</f>
        <v>0</v>
      </c>
      <c r="C94">
        <f>COUNTIFS(Table24[Client ID '#],"&lt;&gt;",Table24[Client Age],'G - Age and Sex'!$A94,Table24[Sex],'G - Age and Sex'!C$1)</f>
        <v>0</v>
      </c>
      <c r="D94" s="55" t="str">
        <f>IFERROR(COUNTIFS(Table24[Client ID '#],"&lt;&gt;",Table24[Admission to CSU?],"Yes",Table24[Client Age],'G - Age and Sex'!A94)/SUM('G - Age and Sex'!B94:C94),"")</f>
        <v/>
      </c>
    </row>
    <row r="95" spans="1:4" x14ac:dyDescent="0.25">
      <c r="A95">
        <v>93</v>
      </c>
      <c r="B95">
        <f>COUNTIFS(Table24[Client ID '#],"&lt;&gt;",Table24[Client Age],'G - Age and Sex'!$A95,Table24[Sex],'G - Age and Sex'!B$1)</f>
        <v>0</v>
      </c>
      <c r="C95">
        <f>COUNTIFS(Table24[Client ID '#],"&lt;&gt;",Table24[Client Age],'G - Age and Sex'!$A95,Table24[Sex],'G - Age and Sex'!C$1)</f>
        <v>0</v>
      </c>
      <c r="D95" s="55" t="str">
        <f>IFERROR(COUNTIFS(Table24[Client ID '#],"&lt;&gt;",Table24[Admission to CSU?],"Yes",Table24[Client Age],'G - Age and Sex'!A95)/SUM('G - Age and Sex'!B95:C95),"")</f>
        <v/>
      </c>
    </row>
    <row r="96" spans="1:4" x14ac:dyDescent="0.25">
      <c r="A96">
        <v>94</v>
      </c>
      <c r="B96">
        <f>COUNTIFS(Table24[Client ID '#],"&lt;&gt;",Table24[Client Age],'G - Age and Sex'!$A96,Table24[Sex],'G - Age and Sex'!B$1)</f>
        <v>0</v>
      </c>
      <c r="C96">
        <f>COUNTIFS(Table24[Client ID '#],"&lt;&gt;",Table24[Client Age],'G - Age and Sex'!$A96,Table24[Sex],'G - Age and Sex'!C$1)</f>
        <v>0</v>
      </c>
      <c r="D96" s="55" t="str">
        <f>IFERROR(COUNTIFS(Table24[Client ID '#],"&lt;&gt;",Table24[Admission to CSU?],"Yes",Table24[Client Age],'G - Age and Sex'!A96)/SUM('G - Age and Sex'!B96:C96),"")</f>
        <v/>
      </c>
    </row>
    <row r="97" spans="1:4" x14ac:dyDescent="0.25">
      <c r="A97">
        <v>95</v>
      </c>
      <c r="B97">
        <f>COUNTIFS(Table24[Client ID '#],"&lt;&gt;",Table24[Client Age],'G - Age and Sex'!$A97,Table24[Sex],'G - Age and Sex'!B$1)</f>
        <v>0</v>
      </c>
      <c r="C97">
        <f>COUNTIFS(Table24[Client ID '#],"&lt;&gt;",Table24[Client Age],'G - Age and Sex'!$A97,Table24[Sex],'G - Age and Sex'!C$1)</f>
        <v>0</v>
      </c>
      <c r="D97" s="55" t="str">
        <f>IFERROR(COUNTIFS(Table24[Client ID '#],"&lt;&gt;",Table24[Admission to CSU?],"Yes",Table24[Client Age],'G - Age and Sex'!A97)/SUM('G - Age and Sex'!B97:C97),"")</f>
        <v/>
      </c>
    </row>
    <row r="98" spans="1:4" x14ac:dyDescent="0.25">
      <c r="A98">
        <v>96</v>
      </c>
      <c r="B98">
        <f>COUNTIFS(Table24[Client ID '#],"&lt;&gt;",Table24[Client Age],'G - Age and Sex'!$A98,Table24[Sex],'G - Age and Sex'!B$1)</f>
        <v>0</v>
      </c>
      <c r="C98">
        <f>COUNTIFS(Table24[Client ID '#],"&lt;&gt;",Table24[Client Age],'G - Age and Sex'!$A98,Table24[Sex],'G - Age and Sex'!C$1)</f>
        <v>0</v>
      </c>
      <c r="D98" s="55" t="str">
        <f>IFERROR(COUNTIFS(Table24[Client ID '#],"&lt;&gt;",Table24[Admission to CSU?],"Yes",Table24[Client Age],'G - Age and Sex'!A98)/SUM('G - Age and Sex'!B98:C98),"")</f>
        <v/>
      </c>
    </row>
    <row r="99" spans="1:4" x14ac:dyDescent="0.25">
      <c r="A99">
        <v>97</v>
      </c>
      <c r="B99">
        <f>COUNTIFS(Table24[Client ID '#],"&lt;&gt;",Table24[Client Age],'G - Age and Sex'!$A99,Table24[Sex],'G - Age and Sex'!B$1)</f>
        <v>0</v>
      </c>
      <c r="C99">
        <f>COUNTIFS(Table24[Client ID '#],"&lt;&gt;",Table24[Client Age],'G - Age and Sex'!$A99,Table24[Sex],'G - Age and Sex'!C$1)</f>
        <v>0</v>
      </c>
      <c r="D99" s="55" t="str">
        <f>IFERROR(COUNTIFS(Table24[Client ID '#],"&lt;&gt;",Table24[Admission to CSU?],"Yes",Table24[Client Age],'G - Age and Sex'!A99)/SUM('G - Age and Sex'!B99:C99),"")</f>
        <v/>
      </c>
    </row>
    <row r="100" spans="1:4" x14ac:dyDescent="0.25">
      <c r="A100">
        <v>98</v>
      </c>
      <c r="B100">
        <f>COUNTIFS(Table24[Client ID '#],"&lt;&gt;",Table24[Client Age],'G - Age and Sex'!$A100,Table24[Sex],'G - Age and Sex'!B$1)</f>
        <v>0</v>
      </c>
      <c r="C100">
        <f>COUNTIFS(Table24[Client ID '#],"&lt;&gt;",Table24[Client Age],'G - Age and Sex'!$A100,Table24[Sex],'G - Age and Sex'!C$1)</f>
        <v>0</v>
      </c>
      <c r="D100" s="55" t="str">
        <f>IFERROR(COUNTIFS(Table24[Client ID '#],"&lt;&gt;",Table24[Admission to CSU?],"Yes",Table24[Client Age],'G - Age and Sex'!A100)/SUM('G - Age and Sex'!B100:C100),"")</f>
        <v/>
      </c>
    </row>
    <row r="101" spans="1:4" x14ac:dyDescent="0.25">
      <c r="A101">
        <v>99</v>
      </c>
      <c r="B101">
        <f>COUNTIFS(Table24[Client ID '#],"&lt;&gt;",Table24[Client Age],'G - Age and Sex'!$A101,Table24[Sex],'G - Age and Sex'!B$1)</f>
        <v>0</v>
      </c>
      <c r="C101">
        <f>COUNTIFS(Table24[Client ID '#],"&lt;&gt;",Table24[Client Age],'G - Age and Sex'!$A101,Table24[Sex],'G - Age and Sex'!C$1)</f>
        <v>0</v>
      </c>
      <c r="D101" s="55" t="str">
        <f>IFERROR(COUNTIFS(Table24[Client ID '#],"&lt;&gt;",Table24[Admission to CSU?],"Yes",Table24[Client Age],'G - Age and Sex'!A101)/SUM('G - Age and Sex'!B101:C101),"")</f>
        <v/>
      </c>
    </row>
    <row r="102" spans="1:4" x14ac:dyDescent="0.25">
      <c r="A102">
        <v>100</v>
      </c>
      <c r="B102">
        <f>COUNTIFS(Table24[Client ID '#],"&lt;&gt;",Table24[Client Age],'G - Age and Sex'!$A102,Table24[Sex],'G - Age and Sex'!B$1)</f>
        <v>0</v>
      </c>
      <c r="C102">
        <f>COUNTIFS(Table24[Client ID '#],"&lt;&gt;",Table24[Client Age],'G - Age and Sex'!$A102,Table24[Sex],'G - Age and Sex'!C$1)</f>
        <v>0</v>
      </c>
      <c r="D102" s="55" t="str">
        <f>IFERROR(COUNTIFS(Table24[Client ID '#],"&lt;&gt;",Table24[Admission to CSU?],"Yes",Table24[Client Age],'G - Age and Sex'!A102)/SUM('G - Age and Sex'!B102:C102),"")</f>
        <v/>
      </c>
    </row>
  </sheetData>
  <hyperlinks>
    <hyperlink ref="Q1" location="'Field Definitions'!A1" display="Return to Field Definition tab." xr:uid="{1A168615-7B7C-4A67-B396-01697BFAF7E9}"/>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FB727-C616-45E9-95AB-DE165DF89496}">
  <dimension ref="A1:O8"/>
  <sheetViews>
    <sheetView workbookViewId="0">
      <selection activeCell="O1" sqref="O1"/>
    </sheetView>
  </sheetViews>
  <sheetFormatPr defaultRowHeight="15" x14ac:dyDescent="0.25"/>
  <cols>
    <col min="1" max="1" width="12.140625" bestFit="1" customWidth="1"/>
    <col min="2" max="2" width="10.85546875" bestFit="1" customWidth="1"/>
    <col min="3" max="3" width="17.28515625" bestFit="1" customWidth="1"/>
    <col min="4" max="4" width="16.7109375" bestFit="1" customWidth="1"/>
    <col min="5" max="5" width="17.85546875" bestFit="1" customWidth="1"/>
    <col min="15" max="15" width="28" bestFit="1" customWidth="1"/>
  </cols>
  <sheetData>
    <row r="1" spans="1:15" x14ac:dyDescent="0.25">
      <c r="A1" t="s">
        <v>300</v>
      </c>
      <c r="B1" t="s">
        <v>299</v>
      </c>
      <c r="C1" t="s">
        <v>298</v>
      </c>
      <c r="D1" t="s">
        <v>297</v>
      </c>
      <c r="E1" t="s">
        <v>286</v>
      </c>
      <c r="O1" s="36" t="s">
        <v>899</v>
      </c>
    </row>
    <row r="2" spans="1:15" x14ac:dyDescent="0.25">
      <c r="A2" t="s">
        <v>301</v>
      </c>
      <c r="B2">
        <f>COUNTIFS(Table24[Client ID '#],"&lt;&gt;",Table24[Day of Week of Call],A2)</f>
        <v>0</v>
      </c>
      <c r="C2">
        <f>COUNTIFS(Table24[Client ID '#],"&lt;&gt;",Table24[Day of Week of Call],A2,Table24[Admission to CSU?],"Yes")</f>
        <v>0</v>
      </c>
      <c r="D2" s="55" t="str">
        <f>IFERROR(B2/SUM($B$2:$B$8),"")</f>
        <v/>
      </c>
      <c r="E2" s="55" t="str">
        <f>IFERROR(C2/B2,"")</f>
        <v/>
      </c>
    </row>
    <row r="3" spans="1:15" x14ac:dyDescent="0.25">
      <c r="A3" t="s">
        <v>302</v>
      </c>
      <c r="B3">
        <f>COUNTIFS(Table24[Client ID '#],"&lt;&gt;",Table24[Day of Week of Call],A3)</f>
        <v>0</v>
      </c>
      <c r="C3">
        <f>COUNTIFS(Table24[Client ID '#],"&lt;&gt;",Table24[Day of Week of Call],A3,Table24[Admission to CSU?],"Yes")</f>
        <v>0</v>
      </c>
      <c r="D3" s="55" t="str">
        <f t="shared" ref="D3:D8" si="0">IFERROR(B3/SUM($B$2:$B$8),"")</f>
        <v/>
      </c>
      <c r="E3" s="55" t="str">
        <f t="shared" ref="E3:E8" si="1">IFERROR(C3/B3,"")</f>
        <v/>
      </c>
    </row>
    <row r="4" spans="1:15" x14ac:dyDescent="0.25">
      <c r="A4" t="s">
        <v>303</v>
      </c>
      <c r="B4">
        <f>COUNTIFS(Table24[Client ID '#],"&lt;&gt;",Table24[Day of Week of Call],A4)</f>
        <v>0</v>
      </c>
      <c r="C4">
        <f>COUNTIFS(Table24[Client ID '#],"&lt;&gt;",Table24[Day of Week of Call],A4,Table24[Admission to CSU?],"Yes")</f>
        <v>0</v>
      </c>
      <c r="D4" s="55" t="str">
        <f t="shared" si="0"/>
        <v/>
      </c>
      <c r="E4" s="55" t="str">
        <f t="shared" si="1"/>
        <v/>
      </c>
    </row>
    <row r="5" spans="1:15" x14ac:dyDescent="0.25">
      <c r="A5" t="s">
        <v>304</v>
      </c>
      <c r="B5">
        <f>COUNTIFS(Table24[Client ID '#],"&lt;&gt;",Table24[Day of Week of Call],A5)</f>
        <v>0</v>
      </c>
      <c r="C5">
        <f>COUNTIFS(Table24[Client ID '#],"&lt;&gt;",Table24[Day of Week of Call],A5,Table24[Admission to CSU?],"Yes")</f>
        <v>0</v>
      </c>
      <c r="D5" s="55" t="str">
        <f t="shared" si="0"/>
        <v/>
      </c>
      <c r="E5" s="55" t="str">
        <f t="shared" si="1"/>
        <v/>
      </c>
    </row>
    <row r="6" spans="1:15" x14ac:dyDescent="0.25">
      <c r="A6" t="s">
        <v>305</v>
      </c>
      <c r="B6">
        <f>COUNTIFS(Table24[Client ID '#],"&lt;&gt;",Table24[Day of Week of Call],A6)</f>
        <v>0</v>
      </c>
      <c r="C6">
        <f>COUNTIFS(Table24[Client ID '#],"&lt;&gt;",Table24[Day of Week of Call],A6,Table24[Admission to CSU?],"Yes")</f>
        <v>0</v>
      </c>
      <c r="D6" s="55" t="str">
        <f t="shared" si="0"/>
        <v/>
      </c>
      <c r="E6" s="55" t="str">
        <f t="shared" si="1"/>
        <v/>
      </c>
    </row>
    <row r="7" spans="1:15" x14ac:dyDescent="0.25">
      <c r="A7" t="s">
        <v>306</v>
      </c>
      <c r="B7">
        <f>COUNTIFS(Table24[Client ID '#],"&lt;&gt;",Table24[Day of Week of Call],A7)</f>
        <v>0</v>
      </c>
      <c r="C7">
        <f>COUNTIFS(Table24[Client ID '#],"&lt;&gt;",Table24[Day of Week of Call],A7,Table24[Admission to CSU?],"Yes")</f>
        <v>0</v>
      </c>
      <c r="D7" s="55" t="str">
        <f t="shared" si="0"/>
        <v/>
      </c>
      <c r="E7" s="55" t="str">
        <f t="shared" si="1"/>
        <v/>
      </c>
    </row>
    <row r="8" spans="1:15" x14ac:dyDescent="0.25">
      <c r="A8" t="s">
        <v>307</v>
      </c>
      <c r="B8">
        <f>COUNTIFS(Table24[Client ID '#],"&lt;&gt;",Table24[Day of Week of Call],A8)</f>
        <v>0</v>
      </c>
      <c r="C8">
        <f>COUNTIFS(Table24[Client ID '#],"&lt;&gt;",Table24[Day of Week of Call],A8,Table24[Admission to CSU?],"Yes")</f>
        <v>0</v>
      </c>
      <c r="D8" s="55" t="str">
        <f t="shared" si="0"/>
        <v/>
      </c>
      <c r="E8" s="55" t="str">
        <f t="shared" si="1"/>
        <v/>
      </c>
    </row>
  </sheetData>
  <hyperlinks>
    <hyperlink ref="O1" location="'Field Definitions'!A1" display="Return to Field Definition tab." xr:uid="{D1834586-A8ED-4B07-9574-D92D1704825F}"/>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3C9F6-EFB0-4728-9511-32E68874486E}">
  <dimension ref="A1:W10"/>
  <sheetViews>
    <sheetView tabSelected="1" workbookViewId="0">
      <selection activeCell="Q6" sqref="Q6"/>
    </sheetView>
  </sheetViews>
  <sheetFormatPr defaultRowHeight="15" x14ac:dyDescent="0.25"/>
  <cols>
    <col min="1" max="1" width="29.7109375" customWidth="1"/>
    <col min="2" max="2" width="16.140625" customWidth="1"/>
  </cols>
  <sheetData>
    <row r="1" spans="1:23" ht="46.5" x14ac:dyDescent="0.7">
      <c r="A1" s="64" t="s">
        <v>111</v>
      </c>
      <c r="B1" s="64"/>
      <c r="C1" s="64"/>
      <c r="D1" s="64"/>
      <c r="E1" s="64"/>
      <c r="F1" s="64"/>
      <c r="G1" s="64"/>
      <c r="H1" s="64"/>
      <c r="I1" s="64"/>
      <c r="J1" s="64"/>
      <c r="K1" s="64"/>
      <c r="L1" s="64"/>
      <c r="M1" s="64"/>
      <c r="N1" s="64"/>
      <c r="O1" s="64"/>
      <c r="P1" s="64"/>
      <c r="Q1" s="64"/>
      <c r="R1" s="64"/>
      <c r="S1" s="64"/>
      <c r="T1" s="64"/>
      <c r="U1" s="64"/>
      <c r="V1" s="64"/>
      <c r="W1" s="64"/>
    </row>
    <row r="2" spans="1:23" ht="33" customHeight="1" x14ac:dyDescent="0.35">
      <c r="A2" s="66" t="s">
        <v>110</v>
      </c>
      <c r="B2" s="66"/>
      <c r="C2" s="66"/>
      <c r="D2" s="66"/>
      <c r="E2" s="66"/>
      <c r="F2" s="66"/>
      <c r="G2" s="66"/>
      <c r="H2" s="66"/>
      <c r="I2" s="66"/>
      <c r="J2" s="66"/>
      <c r="K2" s="66"/>
      <c r="L2" s="66"/>
      <c r="M2" s="66"/>
      <c r="N2" s="66"/>
      <c r="O2" s="66"/>
      <c r="P2" s="66"/>
      <c r="Q2" s="66"/>
      <c r="R2" s="66"/>
      <c r="S2" s="66"/>
      <c r="T2" s="66"/>
      <c r="U2" s="66"/>
      <c r="V2" s="66"/>
      <c r="W2" s="66"/>
    </row>
    <row r="3" spans="1:23" ht="41.25" customHeight="1" x14ac:dyDescent="0.35">
      <c r="A3" s="67" t="s">
        <v>112</v>
      </c>
      <c r="B3" s="68"/>
      <c r="C3" s="68"/>
      <c r="D3" s="68"/>
      <c r="E3" s="68"/>
      <c r="F3" s="68"/>
      <c r="G3" s="68"/>
      <c r="H3" s="68"/>
      <c r="I3" s="68"/>
      <c r="J3" s="68"/>
      <c r="K3" s="68"/>
      <c r="L3" s="68"/>
      <c r="M3" s="68"/>
      <c r="N3" s="68"/>
      <c r="O3" s="68"/>
      <c r="P3" s="68"/>
      <c r="Q3" s="68"/>
      <c r="R3" s="68"/>
      <c r="S3" s="68"/>
      <c r="T3" s="20"/>
      <c r="U3" s="20"/>
      <c r="V3" s="20"/>
      <c r="W3" s="20"/>
    </row>
    <row r="4" spans="1:23" ht="45" customHeight="1" x14ac:dyDescent="0.35">
      <c r="A4" s="65" t="s">
        <v>113</v>
      </c>
      <c r="B4" s="65"/>
      <c r="C4" s="65"/>
      <c r="D4" s="65"/>
      <c r="E4" s="65"/>
      <c r="F4" s="65"/>
      <c r="G4" s="65"/>
      <c r="H4" s="65"/>
      <c r="I4" s="65"/>
      <c r="J4" s="65"/>
      <c r="K4" s="65"/>
      <c r="L4" s="65"/>
      <c r="M4" s="65"/>
      <c r="N4" s="65"/>
      <c r="O4" s="65"/>
      <c r="P4" s="65"/>
      <c r="Q4" s="65"/>
      <c r="R4" s="65"/>
      <c r="S4" s="65"/>
      <c r="T4" s="65"/>
      <c r="U4" s="65"/>
      <c r="V4" s="65"/>
      <c r="W4" s="65"/>
    </row>
    <row r="5" spans="1:23" ht="21" x14ac:dyDescent="0.35">
      <c r="A5" s="21" t="s">
        <v>109</v>
      </c>
      <c r="Q5" s="63" t="s">
        <v>932</v>
      </c>
    </row>
    <row r="6" spans="1:23" ht="21" x14ac:dyDescent="0.35">
      <c r="A6" s="21" t="s">
        <v>239</v>
      </c>
    </row>
    <row r="8" spans="1:23" x14ac:dyDescent="0.25">
      <c r="A8" s="22" t="s">
        <v>108</v>
      </c>
      <c r="B8" s="23"/>
    </row>
    <row r="9" spans="1:23" x14ac:dyDescent="0.25">
      <c r="A9" s="22" t="s">
        <v>238</v>
      </c>
      <c r="B9" s="23"/>
    </row>
    <row r="10" spans="1:23" x14ac:dyDescent="0.25">
      <c r="A10" s="22" t="s">
        <v>250</v>
      </c>
      <c r="B10" s="23">
        <v>2022</v>
      </c>
    </row>
  </sheetData>
  <mergeCells count="4">
    <mergeCell ref="A1:W1"/>
    <mergeCell ref="A4:W4"/>
    <mergeCell ref="A2:W2"/>
    <mergeCell ref="A3:S3"/>
  </mergeCells>
  <dataValidations count="1">
    <dataValidation type="list" errorStyle="warning" allowBlank="1" showInputMessage="1" showErrorMessage="1" error="Please enter a provider from the dropdown list." sqref="B8" xr:uid="{5CFEB0B7-3576-4D76-A0C3-25B78887789E}">
      <formula1>INDIRECT("Table4")</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9719B33D-7772-4D17-ABF7-1628D5F99E58}">
          <x14:formula1>
            <xm:f>INDIRECT(Background!$X$3)</xm:f>
          </x14:formula1>
          <xm:sqref>B9</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246D3-BC14-4F6C-B5E2-F9229E9C9BEE}">
  <dimension ref="A1:O25"/>
  <sheetViews>
    <sheetView workbookViewId="0">
      <selection activeCell="E7" sqref="E7"/>
    </sheetView>
  </sheetViews>
  <sheetFormatPr defaultRowHeight="15" x14ac:dyDescent="0.25"/>
  <cols>
    <col min="1" max="1" width="9" bestFit="1" customWidth="1"/>
    <col min="2" max="2" width="10.85546875" bestFit="1" customWidth="1"/>
    <col min="3" max="3" width="17.28515625" bestFit="1" customWidth="1"/>
    <col min="4" max="4" width="16.7109375" bestFit="1" customWidth="1"/>
    <col min="5" max="5" width="17.85546875" bestFit="1" customWidth="1"/>
    <col min="15" max="15" width="28" bestFit="1" customWidth="1"/>
  </cols>
  <sheetData>
    <row r="1" spans="1:15" x14ac:dyDescent="0.25">
      <c r="A1" t="s">
        <v>296</v>
      </c>
      <c r="B1" t="s">
        <v>299</v>
      </c>
      <c r="C1" t="s">
        <v>298</v>
      </c>
      <c r="D1" t="s">
        <v>297</v>
      </c>
      <c r="E1" t="s">
        <v>286</v>
      </c>
      <c r="O1" s="36" t="s">
        <v>899</v>
      </c>
    </row>
    <row r="2" spans="1:15" x14ac:dyDescent="0.25">
      <c r="A2" s="56">
        <v>0</v>
      </c>
      <c r="B2">
        <f>COUNTIFS(Table24[Client ID '#],"&lt;&gt;",Table24[Rounded Time of Call],'G - Time of Day'!A2)</f>
        <v>0</v>
      </c>
      <c r="C2">
        <f>COUNTIFS(Table24[Client ID '#],"&lt;&gt;",Table24[Rounded Time of Call],'G - Time of Day'!A2,Table24[Admission to CSU?],"Yes")</f>
        <v>0</v>
      </c>
      <c r="D2" s="55" t="str">
        <f>IFERROR(B2/SUM($B$2:$B$25),"")</f>
        <v/>
      </c>
      <c r="E2" s="55" t="str">
        <f>IFERROR(C2/B2,"")</f>
        <v/>
      </c>
    </row>
    <row r="3" spans="1:15" x14ac:dyDescent="0.25">
      <c r="A3" s="56">
        <v>4.1666666666666699E-2</v>
      </c>
      <c r="B3">
        <f>COUNTIFS(Table24[Client ID '#],"&lt;&gt;",Table24[Rounded Time of Call],'G - Time of Day'!A3)</f>
        <v>0</v>
      </c>
      <c r="C3">
        <f>COUNTIFS(Table24[Client ID '#],"&lt;&gt;",Table24[Rounded Time of Call],'G - Time of Day'!A3,Table24[Admission to CSU?],"Yes")</f>
        <v>0</v>
      </c>
      <c r="D3" s="55" t="str">
        <f t="shared" ref="D3:D25" si="0">IFERROR(B3/SUM($B$2:$B$25),"")</f>
        <v/>
      </c>
      <c r="E3" s="55" t="str">
        <f t="shared" ref="E3:E25" si="1">IFERROR(C3/B3,"")</f>
        <v/>
      </c>
    </row>
    <row r="4" spans="1:15" x14ac:dyDescent="0.25">
      <c r="A4" s="56">
        <v>8.3333333333333301E-2</v>
      </c>
      <c r="B4">
        <f>COUNTIFS(Table24[Client ID '#],"&lt;&gt;",Table24[Rounded Time of Call],'G - Time of Day'!A4)</f>
        <v>0</v>
      </c>
      <c r="C4">
        <f>COUNTIFS(Table24[Client ID '#],"&lt;&gt;",Table24[Rounded Time of Call],'G - Time of Day'!A4,Table24[Admission to CSU?],"Yes")</f>
        <v>0</v>
      </c>
      <c r="D4" s="55" t="str">
        <f t="shared" si="0"/>
        <v/>
      </c>
      <c r="E4" s="55" t="str">
        <f t="shared" si="1"/>
        <v/>
      </c>
    </row>
    <row r="5" spans="1:15" x14ac:dyDescent="0.25">
      <c r="A5" s="56">
        <v>0.125</v>
      </c>
      <c r="B5">
        <f>COUNTIFS(Table24[Client ID '#],"&lt;&gt;",Table24[Rounded Time of Call],'G - Time of Day'!A5)</f>
        <v>0</v>
      </c>
      <c r="C5">
        <f>COUNTIFS(Table24[Client ID '#],"&lt;&gt;",Table24[Rounded Time of Call],'G - Time of Day'!A5,Table24[Admission to CSU?],"Yes")</f>
        <v>0</v>
      </c>
      <c r="D5" s="55" t="str">
        <f t="shared" si="0"/>
        <v/>
      </c>
      <c r="E5" s="55" t="str">
        <f t="shared" si="1"/>
        <v/>
      </c>
    </row>
    <row r="6" spans="1:15" x14ac:dyDescent="0.25">
      <c r="A6" s="56">
        <v>0.16666666666666699</v>
      </c>
      <c r="B6">
        <f>COUNTIFS(Table24[Client ID '#],"&lt;&gt;",Table24[Rounded Time of Call],'G - Time of Day'!A6)</f>
        <v>0</v>
      </c>
      <c r="C6">
        <f>COUNTIFS(Table24[Client ID '#],"&lt;&gt;",Table24[Rounded Time of Call],'G - Time of Day'!A6,Table24[Admission to CSU?],"Yes")</f>
        <v>0</v>
      </c>
      <c r="D6" s="55" t="str">
        <f t="shared" si="0"/>
        <v/>
      </c>
      <c r="E6" s="55" t="str">
        <f t="shared" si="1"/>
        <v/>
      </c>
    </row>
    <row r="7" spans="1:15" x14ac:dyDescent="0.25">
      <c r="A7" s="56">
        <v>0.20833333333333301</v>
      </c>
      <c r="B7">
        <f>COUNTIFS(Table24[Client ID '#],"&lt;&gt;",Table24[Rounded Time of Call],'G - Time of Day'!A7)</f>
        <v>0</v>
      </c>
      <c r="C7">
        <f>COUNTIFS(Table24[Client ID '#],"&lt;&gt;",Table24[Rounded Time of Call],'G - Time of Day'!A7,Table24[Admission to CSU?],"Yes")</f>
        <v>0</v>
      </c>
      <c r="D7" s="55" t="str">
        <f t="shared" si="0"/>
        <v/>
      </c>
      <c r="E7" s="55" t="str">
        <f t="shared" si="1"/>
        <v/>
      </c>
    </row>
    <row r="8" spans="1:15" x14ac:dyDescent="0.25">
      <c r="A8" s="56">
        <v>0.25</v>
      </c>
      <c r="B8">
        <f>COUNTIFS(Table24[Client ID '#],"&lt;&gt;",Table24[Rounded Time of Call],'G - Time of Day'!A8)</f>
        <v>0</v>
      </c>
      <c r="C8">
        <f>COUNTIFS(Table24[Client ID '#],"&lt;&gt;",Table24[Rounded Time of Call],'G - Time of Day'!A8,Table24[Admission to CSU?],"Yes")</f>
        <v>0</v>
      </c>
      <c r="D8" s="55" t="str">
        <f t="shared" si="0"/>
        <v/>
      </c>
      <c r="E8" s="55" t="str">
        <f t="shared" si="1"/>
        <v/>
      </c>
    </row>
    <row r="9" spans="1:15" x14ac:dyDescent="0.25">
      <c r="A9" s="56">
        <v>0.29166666666666702</v>
      </c>
      <c r="B9">
        <f>COUNTIFS(Table24[Client ID '#],"&lt;&gt;",Table24[Rounded Time of Call],'G - Time of Day'!A9)</f>
        <v>0</v>
      </c>
      <c r="C9">
        <f>COUNTIFS(Table24[Client ID '#],"&lt;&gt;",Table24[Rounded Time of Call],'G - Time of Day'!A9,Table24[Admission to CSU?],"Yes")</f>
        <v>0</v>
      </c>
      <c r="D9" s="55" t="str">
        <f t="shared" si="0"/>
        <v/>
      </c>
      <c r="E9" s="55" t="str">
        <f t="shared" si="1"/>
        <v/>
      </c>
    </row>
    <row r="10" spans="1:15" x14ac:dyDescent="0.25">
      <c r="A10" s="56">
        <v>0.33333333333333298</v>
      </c>
      <c r="B10">
        <f>COUNTIFS(Table24[Client ID '#],"&lt;&gt;",Table24[Rounded Time of Call],'G - Time of Day'!A10)</f>
        <v>0</v>
      </c>
      <c r="C10">
        <f>COUNTIFS(Table24[Client ID '#],"&lt;&gt;",Table24[Rounded Time of Call],'G - Time of Day'!A10,Table24[Admission to CSU?],"Yes")</f>
        <v>0</v>
      </c>
      <c r="D10" s="55" t="str">
        <f t="shared" si="0"/>
        <v/>
      </c>
      <c r="E10" s="55" t="str">
        <f t="shared" si="1"/>
        <v/>
      </c>
    </row>
    <row r="11" spans="1:15" x14ac:dyDescent="0.25">
      <c r="A11" s="56">
        <v>0.375</v>
      </c>
      <c r="B11">
        <f>COUNTIFS(Table24[Client ID '#],"&lt;&gt;",Table24[Rounded Time of Call],'G - Time of Day'!A11)</f>
        <v>0</v>
      </c>
      <c r="C11">
        <f>COUNTIFS(Table24[Client ID '#],"&lt;&gt;",Table24[Rounded Time of Call],'G - Time of Day'!A11,Table24[Admission to CSU?],"Yes")</f>
        <v>0</v>
      </c>
      <c r="D11" s="55" t="str">
        <f t="shared" si="0"/>
        <v/>
      </c>
      <c r="E11" s="55" t="str">
        <f t="shared" si="1"/>
        <v/>
      </c>
    </row>
    <row r="12" spans="1:15" x14ac:dyDescent="0.25">
      <c r="A12" s="56">
        <v>0.41666666666666702</v>
      </c>
      <c r="B12">
        <f>COUNTIFS(Table24[Client ID '#],"&lt;&gt;",Table24[Rounded Time of Call],'G - Time of Day'!A12)</f>
        <v>0</v>
      </c>
      <c r="C12">
        <f>COUNTIFS(Table24[Client ID '#],"&lt;&gt;",Table24[Rounded Time of Call],'G - Time of Day'!A12,Table24[Admission to CSU?],"Yes")</f>
        <v>0</v>
      </c>
      <c r="D12" s="55" t="str">
        <f t="shared" si="0"/>
        <v/>
      </c>
      <c r="E12" s="55" t="str">
        <f t="shared" si="1"/>
        <v/>
      </c>
    </row>
    <row r="13" spans="1:15" x14ac:dyDescent="0.25">
      <c r="A13" s="56">
        <v>0.45833333333333298</v>
      </c>
      <c r="B13">
        <f>COUNTIFS(Table24[Client ID '#],"&lt;&gt;",Table24[Rounded Time of Call],'G - Time of Day'!A13)</f>
        <v>0</v>
      </c>
      <c r="C13">
        <f>COUNTIFS(Table24[Client ID '#],"&lt;&gt;",Table24[Rounded Time of Call],'G - Time of Day'!A13,Table24[Admission to CSU?],"Yes")</f>
        <v>0</v>
      </c>
      <c r="D13" s="55" t="str">
        <f t="shared" si="0"/>
        <v/>
      </c>
      <c r="E13" s="55" t="str">
        <f t="shared" si="1"/>
        <v/>
      </c>
    </row>
    <row r="14" spans="1:15" x14ac:dyDescent="0.25">
      <c r="A14" s="56">
        <v>0.5</v>
      </c>
      <c r="B14">
        <f>COUNTIFS(Table24[Client ID '#],"&lt;&gt;",Table24[Rounded Time of Call],'G - Time of Day'!A14)</f>
        <v>0</v>
      </c>
      <c r="C14">
        <f>COUNTIFS(Table24[Client ID '#],"&lt;&gt;",Table24[Rounded Time of Call],'G - Time of Day'!A14,Table24[Admission to CSU?],"Yes")</f>
        <v>0</v>
      </c>
      <c r="D14" s="55" t="str">
        <f t="shared" si="0"/>
        <v/>
      </c>
      <c r="E14" s="55" t="str">
        <f t="shared" si="1"/>
        <v/>
      </c>
    </row>
    <row r="15" spans="1:15" x14ac:dyDescent="0.25">
      <c r="A15" s="56">
        <v>0.54166666666666696</v>
      </c>
      <c r="B15">
        <f>COUNTIFS(Table24[Client ID '#],"&lt;&gt;",Table24[Rounded Time of Call],'G - Time of Day'!A15)</f>
        <v>0</v>
      </c>
      <c r="C15">
        <f>COUNTIFS(Table24[Client ID '#],"&lt;&gt;",Table24[Rounded Time of Call],'G - Time of Day'!A15,Table24[Admission to CSU?],"Yes")</f>
        <v>0</v>
      </c>
      <c r="D15" s="55" t="str">
        <f t="shared" si="0"/>
        <v/>
      </c>
      <c r="E15" s="55" t="str">
        <f t="shared" si="1"/>
        <v/>
      </c>
    </row>
    <row r="16" spans="1:15" x14ac:dyDescent="0.25">
      <c r="A16" s="56">
        <v>0.58333333333333304</v>
      </c>
      <c r="B16">
        <f>COUNTIFS(Table24[Client ID '#],"&lt;&gt;",Table24[Rounded Time of Call],'G - Time of Day'!A16)</f>
        <v>0</v>
      </c>
      <c r="C16">
        <f>COUNTIFS(Table24[Client ID '#],"&lt;&gt;",Table24[Rounded Time of Call],'G - Time of Day'!A16,Table24[Admission to CSU?],"Yes")</f>
        <v>0</v>
      </c>
      <c r="D16" s="55" t="str">
        <f t="shared" si="0"/>
        <v/>
      </c>
      <c r="E16" s="55" t="str">
        <f t="shared" si="1"/>
        <v/>
      </c>
    </row>
    <row r="17" spans="1:5" x14ac:dyDescent="0.25">
      <c r="A17" s="56">
        <v>0.625</v>
      </c>
      <c r="B17">
        <f>COUNTIFS(Table24[Client ID '#],"&lt;&gt;",Table24[Rounded Time of Call],'G - Time of Day'!A17)</f>
        <v>0</v>
      </c>
      <c r="C17">
        <f>COUNTIFS(Table24[Client ID '#],"&lt;&gt;",Table24[Rounded Time of Call],'G - Time of Day'!A17,Table24[Admission to CSU?],"Yes")</f>
        <v>0</v>
      </c>
      <c r="D17" s="55" t="str">
        <f t="shared" si="0"/>
        <v/>
      </c>
      <c r="E17" s="55" t="str">
        <f t="shared" si="1"/>
        <v/>
      </c>
    </row>
    <row r="18" spans="1:5" x14ac:dyDescent="0.25">
      <c r="A18" s="56">
        <v>0.66666666666666696</v>
      </c>
      <c r="B18">
        <f>COUNTIFS(Table24[Client ID '#],"&lt;&gt;",Table24[Rounded Time of Call],'G - Time of Day'!A18)</f>
        <v>0</v>
      </c>
      <c r="C18">
        <f>COUNTIFS(Table24[Client ID '#],"&lt;&gt;",Table24[Rounded Time of Call],'G - Time of Day'!A18,Table24[Admission to CSU?],"Yes")</f>
        <v>0</v>
      </c>
      <c r="D18" s="55" t="str">
        <f t="shared" si="0"/>
        <v/>
      </c>
      <c r="E18" s="55" t="str">
        <f t="shared" si="1"/>
        <v/>
      </c>
    </row>
    <row r="19" spans="1:5" x14ac:dyDescent="0.25">
      <c r="A19" s="56">
        <v>0.70833333333333304</v>
      </c>
      <c r="B19">
        <f>COUNTIFS(Table24[Client ID '#],"&lt;&gt;",Table24[Rounded Time of Call],'G - Time of Day'!A19)</f>
        <v>0</v>
      </c>
      <c r="C19">
        <f>COUNTIFS(Table24[Client ID '#],"&lt;&gt;",Table24[Rounded Time of Call],'G - Time of Day'!A19,Table24[Admission to CSU?],"Yes")</f>
        <v>0</v>
      </c>
      <c r="D19" s="55" t="str">
        <f t="shared" si="0"/>
        <v/>
      </c>
      <c r="E19" s="55" t="str">
        <f t="shared" si="1"/>
        <v/>
      </c>
    </row>
    <row r="20" spans="1:5" x14ac:dyDescent="0.25">
      <c r="A20" s="56">
        <v>0.75</v>
      </c>
      <c r="B20">
        <f>COUNTIFS(Table24[Client ID '#],"&lt;&gt;",Table24[Rounded Time of Call],'G - Time of Day'!A20)</f>
        <v>0</v>
      </c>
      <c r="C20">
        <f>COUNTIFS(Table24[Client ID '#],"&lt;&gt;",Table24[Rounded Time of Call],'G - Time of Day'!A20,Table24[Admission to CSU?],"Yes")</f>
        <v>0</v>
      </c>
      <c r="D20" s="55" t="str">
        <f t="shared" si="0"/>
        <v/>
      </c>
      <c r="E20" s="55" t="str">
        <f t="shared" si="1"/>
        <v/>
      </c>
    </row>
    <row r="21" spans="1:5" x14ac:dyDescent="0.25">
      <c r="A21" s="56">
        <v>0.79166666666666696</v>
      </c>
      <c r="B21">
        <f>COUNTIFS(Table24[Client ID '#],"&lt;&gt;",Table24[Rounded Time of Call],'G - Time of Day'!A21)</f>
        <v>0</v>
      </c>
      <c r="C21">
        <f>COUNTIFS(Table24[Client ID '#],"&lt;&gt;",Table24[Rounded Time of Call],'G - Time of Day'!A21,Table24[Admission to CSU?],"Yes")</f>
        <v>0</v>
      </c>
      <c r="D21" s="55" t="str">
        <f t="shared" si="0"/>
        <v/>
      </c>
      <c r="E21" s="55" t="str">
        <f t="shared" si="1"/>
        <v/>
      </c>
    </row>
    <row r="22" spans="1:5" x14ac:dyDescent="0.25">
      <c r="A22" s="56">
        <v>0.83333333333333304</v>
      </c>
      <c r="B22">
        <f>COUNTIFS(Table24[Client ID '#],"&lt;&gt;",Table24[Rounded Time of Call],'G - Time of Day'!A22)</f>
        <v>0</v>
      </c>
      <c r="C22">
        <f>COUNTIFS(Table24[Client ID '#],"&lt;&gt;",Table24[Rounded Time of Call],'G - Time of Day'!A22,Table24[Admission to CSU?],"Yes")</f>
        <v>0</v>
      </c>
      <c r="D22" s="55" t="str">
        <f t="shared" si="0"/>
        <v/>
      </c>
      <c r="E22" s="55" t="str">
        <f t="shared" si="1"/>
        <v/>
      </c>
    </row>
    <row r="23" spans="1:5" x14ac:dyDescent="0.25">
      <c r="A23" s="56">
        <v>0.875</v>
      </c>
      <c r="B23">
        <f>COUNTIFS(Table24[Client ID '#],"&lt;&gt;",Table24[Rounded Time of Call],'G - Time of Day'!A23)</f>
        <v>0</v>
      </c>
      <c r="C23">
        <f>COUNTIFS(Table24[Client ID '#],"&lt;&gt;",Table24[Rounded Time of Call],'G - Time of Day'!A23,Table24[Admission to CSU?],"Yes")</f>
        <v>0</v>
      </c>
      <c r="D23" s="55" t="str">
        <f t="shared" si="0"/>
        <v/>
      </c>
      <c r="E23" s="55" t="str">
        <f t="shared" si="1"/>
        <v/>
      </c>
    </row>
    <row r="24" spans="1:5" x14ac:dyDescent="0.25">
      <c r="A24" s="56">
        <v>0.91666666666666696</v>
      </c>
      <c r="B24">
        <f>COUNTIFS(Table24[Client ID '#],"&lt;&gt;",Table24[Rounded Time of Call],'G - Time of Day'!A24)</f>
        <v>0</v>
      </c>
      <c r="C24">
        <f>COUNTIFS(Table24[Client ID '#],"&lt;&gt;",Table24[Rounded Time of Call],'G - Time of Day'!A24,Table24[Admission to CSU?],"Yes")</f>
        <v>0</v>
      </c>
      <c r="D24" s="55" t="str">
        <f t="shared" si="0"/>
        <v/>
      </c>
      <c r="E24" s="55" t="str">
        <f t="shared" si="1"/>
        <v/>
      </c>
    </row>
    <row r="25" spans="1:5" x14ac:dyDescent="0.25">
      <c r="A25" s="56">
        <v>0.95833333333333304</v>
      </c>
      <c r="B25">
        <f>COUNTIFS(Table24[Client ID '#],"&lt;&gt;",Table24[Rounded Time of Call],'G - Time of Day'!A25)</f>
        <v>0</v>
      </c>
      <c r="C25">
        <f>COUNTIFS(Table24[Client ID '#],"&lt;&gt;",Table24[Rounded Time of Call],'G - Time of Day'!A25,Table24[Admission to CSU?],"Yes")</f>
        <v>0</v>
      </c>
      <c r="D25" s="55" t="str">
        <f t="shared" si="0"/>
        <v/>
      </c>
      <c r="E25" s="55" t="str">
        <f t="shared" si="1"/>
        <v/>
      </c>
    </row>
  </sheetData>
  <hyperlinks>
    <hyperlink ref="O1" location="'Field Definitions'!A1" display="Return to Field Definition tab." xr:uid="{B442AC31-2AA6-49F2-A24E-B24E446BEB3A}"/>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9E717C-BCEE-47B3-A2C9-AD616D74E8DA}">
  <dimension ref="A1:F68"/>
  <sheetViews>
    <sheetView workbookViewId="0">
      <selection activeCell="D57" sqref="D57"/>
    </sheetView>
  </sheetViews>
  <sheetFormatPr defaultRowHeight="15" x14ac:dyDescent="0.25"/>
  <cols>
    <col min="1" max="1" width="12.42578125" bestFit="1" customWidth="1"/>
    <col min="2" max="2" width="23" bestFit="1" customWidth="1"/>
    <col min="6" max="6" width="19" bestFit="1" customWidth="1"/>
  </cols>
  <sheetData>
    <row r="1" spans="1:6" x14ac:dyDescent="0.25">
      <c r="A1" t="s">
        <v>192</v>
      </c>
      <c r="B1" t="s">
        <v>308</v>
      </c>
      <c r="D1" t="s">
        <v>311</v>
      </c>
      <c r="E1" t="s">
        <v>887</v>
      </c>
      <c r="F1" t="s">
        <v>934</v>
      </c>
    </row>
    <row r="2" spans="1:6" ht="16.5" x14ac:dyDescent="0.3">
      <c r="A2" s="34">
        <f>DATE(Instructions!B10-1,7,1)</f>
        <v>44378</v>
      </c>
      <c r="B2" s="4" t="str">
        <f>IFERROR(AVERAGEIFS(Table24[Response Time],Table24[Client ID '#],"&lt;&gt;",Table24[Date of Call],"&lt;="&amp;EOMONTH(A2,0),Table24[Date of Call],"&gt;="&amp;A2,Table24[Reason if Not Seen],"&lt;&gt;Cancelled by Caller"),"")</f>
        <v/>
      </c>
      <c r="D2" t="s">
        <v>95</v>
      </c>
      <c r="E2" t="s">
        <v>888</v>
      </c>
      <c r="F2" s="4" t="str">
        <f>IFERROR(AVERAGEIFS(Table24[Response Time],Table24[Client ID '#],"&lt;&gt;",Table24[County from ZIP Code],'G - Avg Response Time - All'!D2,Table24[Reason if Not Seen],"&lt;&gt;Cancelled by Caller"),"")</f>
        <v/>
      </c>
    </row>
    <row r="3" spans="1:6" ht="16.5" x14ac:dyDescent="0.3">
      <c r="A3" s="34">
        <f>DATE(Instructions!B10-1,8,1)</f>
        <v>44409</v>
      </c>
      <c r="B3" s="4" t="str">
        <f>IFERROR(AVERAGEIFS(Table24[Response Time],Table24[Client ID '#],"&lt;&gt;",Table24[Date of Call],"&lt;="&amp;EOMONTH(A3,0),Table24[Date of Call],"&gt;="&amp;A3,Table24[Reason if Not Seen],"&lt;&gt;Cancelled by Caller"),"")</f>
        <v/>
      </c>
      <c r="D3" t="s">
        <v>333</v>
      </c>
      <c r="E3" t="s">
        <v>888</v>
      </c>
      <c r="F3" s="4" t="str">
        <f>IFERROR(AVERAGEIFS(Table24[Response Time],Table24[Client ID '#],"&lt;&gt;",Table24[County from ZIP Code],'G - Avg Response Time - All'!D3,Table24[Reason if Not Seen],"&lt;&gt;Cancelled by Caller"),"")</f>
        <v/>
      </c>
    </row>
    <row r="4" spans="1:6" ht="16.5" x14ac:dyDescent="0.3">
      <c r="A4" s="34">
        <f>DATE(Instructions!B10-1,9,1)</f>
        <v>44440</v>
      </c>
      <c r="B4" s="4" t="str">
        <f>IFERROR(AVERAGEIFS(Table24[Response Time],Table24[Client ID '#],"&lt;&gt;",Table24[Date of Call],"&lt;="&amp;EOMONTH(A4,0),Table24[Date of Call],"&gt;="&amp;A4,Table24[Reason if Not Seen],"&lt;&gt;Cancelled by Caller"),"")</f>
        <v/>
      </c>
      <c r="D4" t="s">
        <v>449</v>
      </c>
      <c r="E4" t="s">
        <v>888</v>
      </c>
      <c r="F4" s="4" t="str">
        <f>IFERROR(AVERAGEIFS(Table24[Response Time],Table24[Client ID '#],"&lt;&gt;",Table24[County from ZIP Code],'G - Avg Response Time - All'!D4,Table24[Reason if Not Seen],"&lt;&gt;Cancelled by Caller"),"")</f>
        <v/>
      </c>
    </row>
    <row r="5" spans="1:6" ht="16.5" x14ac:dyDescent="0.3">
      <c r="A5" s="34">
        <f>DATE(Instructions!B10-1,10,1)</f>
        <v>44470</v>
      </c>
      <c r="B5" s="4" t="str">
        <f>IFERROR(AVERAGEIFS(Table24[Response Time],Table24[Client ID '#],"&lt;&gt;",Table24[Date of Call],"&lt;="&amp;EOMONTH(A5,0),Table24[Date of Call],"&gt;="&amp;A5,Table24[Reason if Not Seen],"&lt;&gt;Cancelled by Caller"),"")</f>
        <v/>
      </c>
      <c r="D5" t="s">
        <v>336</v>
      </c>
      <c r="E5" t="s">
        <v>888</v>
      </c>
      <c r="F5" s="4" t="str">
        <f>IFERROR(AVERAGEIFS(Table24[Response Time],Table24[Client ID '#],"&lt;&gt;",Table24[County from ZIP Code],'G - Avg Response Time - All'!D5,Table24[Reason if Not Seen],"&lt;&gt;Cancelled by Caller"),"")</f>
        <v/>
      </c>
    </row>
    <row r="6" spans="1:6" ht="16.5" x14ac:dyDescent="0.3">
      <c r="A6" s="34">
        <f>DATE(Instructions!B10-1,11,1)</f>
        <v>44501</v>
      </c>
      <c r="B6" s="4" t="str">
        <f>IFERROR(AVERAGEIFS(Table24[Response Time],Table24[Client ID '#],"&lt;&gt;",Table24[Date of Call],"&lt;="&amp;EOMONTH(A6,0),Table24[Date of Call],"&gt;="&amp;A6,Table24[Reason if Not Seen],"&lt;&gt;Cancelled by Caller"),"")</f>
        <v/>
      </c>
      <c r="D6" t="s">
        <v>583</v>
      </c>
      <c r="E6" t="s">
        <v>888</v>
      </c>
      <c r="F6" s="4" t="str">
        <f>IFERROR(AVERAGEIFS(Table24[Response Time],Table24[Client ID '#],"&lt;&gt;",Table24[County from ZIP Code],'G - Avg Response Time - All'!D6,Table24[Reason if Not Seen],"&lt;&gt;Cancelled by Caller"),"")</f>
        <v/>
      </c>
    </row>
    <row r="7" spans="1:6" ht="16.5" x14ac:dyDescent="0.3">
      <c r="A7" s="34">
        <f>DATE(Instructions!B10-1,12,1)</f>
        <v>44531</v>
      </c>
      <c r="B7" s="4" t="str">
        <f>IFERROR(AVERAGEIFS(Table24[Response Time],Table24[Client ID '#],"&lt;&gt;",Table24[Date of Call],"&lt;="&amp;EOMONTH(A7,0),Table24[Date of Call],"&gt;="&amp;A7,Table24[Reason if Not Seen],"&lt;&gt;Cancelled by Caller"),"")</f>
        <v/>
      </c>
      <c r="D7" t="s">
        <v>627</v>
      </c>
      <c r="E7" t="s">
        <v>888</v>
      </c>
      <c r="F7" s="4" t="str">
        <f>IFERROR(AVERAGEIFS(Table24[Response Time],Table24[Client ID '#],"&lt;&gt;",Table24[County from ZIP Code],'G - Avg Response Time - All'!D7,Table24[Reason if Not Seen],"&lt;&gt;Cancelled by Caller"),"")</f>
        <v/>
      </c>
    </row>
    <row r="8" spans="1:6" ht="16.5" x14ac:dyDescent="0.3">
      <c r="A8" s="34">
        <f>DATE(Instructions!B10,1,1)</f>
        <v>44562</v>
      </c>
      <c r="B8" s="4" t="str">
        <f>IFERROR(AVERAGEIFS(Table24[Response Time],Table24[Client ID '#],"&lt;&gt;",Table24[Date of Call],"&lt;="&amp;EOMONTH(A8,0),Table24[Date of Call],"&gt;="&amp;A8,Table24[Reason if Not Seen],"&lt;&gt;Cancelled by Caller"),"")</f>
        <v/>
      </c>
      <c r="D8" t="s">
        <v>455</v>
      </c>
      <c r="E8" t="s">
        <v>888</v>
      </c>
      <c r="F8" s="4" t="str">
        <f>IFERROR(AVERAGEIFS(Table24[Response Time],Table24[Client ID '#],"&lt;&gt;",Table24[County from ZIP Code],'G - Avg Response Time - All'!D8,Table24[Reason if Not Seen],"&lt;&gt;Cancelled by Caller"),"")</f>
        <v/>
      </c>
    </row>
    <row r="9" spans="1:6" ht="16.5" x14ac:dyDescent="0.3">
      <c r="A9" s="34">
        <f>DATE(Instructions!B10,2,1)</f>
        <v>44593</v>
      </c>
      <c r="B9" s="4" t="str">
        <f>IFERROR(AVERAGEIFS(Table24[Response Time],Table24[Client ID '#],"&lt;&gt;",Table24[Date of Call],"&lt;="&amp;EOMONTH(A9,0),Table24[Date of Call],"&gt;="&amp;A9,Table24[Reason if Not Seen],"&lt;&gt;Cancelled by Caller"),"")</f>
        <v/>
      </c>
      <c r="D9" t="s">
        <v>768</v>
      </c>
      <c r="E9" t="s">
        <v>888</v>
      </c>
      <c r="F9" s="4" t="str">
        <f>IFERROR(AVERAGEIFS(Table24[Response Time],Table24[Client ID '#],"&lt;&gt;",Table24[County from ZIP Code],'G - Avg Response Time - All'!D9,Table24[Reason if Not Seen],"&lt;&gt;Cancelled by Caller"),"")</f>
        <v/>
      </c>
    </row>
    <row r="10" spans="1:6" ht="16.5" x14ac:dyDescent="0.3">
      <c r="A10" s="34">
        <f>DATE(Instructions!B10,3,1)</f>
        <v>44621</v>
      </c>
      <c r="B10" s="4" t="str">
        <f>IFERROR(AVERAGEIFS(Table24[Response Time],Table24[Client ID '#],"&lt;&gt;",Table24[Date of Call],"&lt;="&amp;EOMONTH(A10,0),Table24[Date of Call],"&gt;="&amp;A10,Table24[Reason if Not Seen],"&lt;&gt;Cancelled by Caller"),"")</f>
        <v/>
      </c>
      <c r="D10" t="s">
        <v>104</v>
      </c>
      <c r="E10" t="s">
        <v>888</v>
      </c>
      <c r="F10" s="4" t="str">
        <f>IFERROR(AVERAGEIFS(Table24[Response Time],Table24[Client ID '#],"&lt;&gt;",Table24[County from ZIP Code],'G - Avg Response Time - All'!D10,Table24[Reason if Not Seen],"&lt;&gt;Cancelled by Caller"),"")</f>
        <v/>
      </c>
    </row>
    <row r="11" spans="1:6" ht="16.5" x14ac:dyDescent="0.3">
      <c r="A11" s="34">
        <f>DATE(Instructions!B10,4,1)</f>
        <v>44652</v>
      </c>
      <c r="B11" s="4" t="str">
        <f>IFERROR(AVERAGEIFS(Table24[Response Time],Table24[Client ID '#],"&lt;&gt;",Table24[Date of Call],"&lt;="&amp;EOMONTH(A11,0),Table24[Date of Call],"&gt;="&amp;A11,Table24[Reason if Not Seen],"&lt;&gt;Cancelled by Caller"),"")</f>
        <v/>
      </c>
      <c r="D11" t="s">
        <v>98</v>
      </c>
      <c r="E11" t="s">
        <v>888</v>
      </c>
      <c r="F11" s="4" t="str">
        <f>IFERROR(AVERAGEIFS(Table24[Response Time],Table24[Client ID '#],"&lt;&gt;",Table24[County from ZIP Code],'G - Avg Response Time - All'!D11,Table24[Reason if Not Seen],"&lt;&gt;Cancelled by Caller"),"")</f>
        <v/>
      </c>
    </row>
    <row r="12" spans="1:6" ht="16.5" x14ac:dyDescent="0.3">
      <c r="A12" s="34">
        <f>DATE(Instructions!B10,5,1)</f>
        <v>44682</v>
      </c>
      <c r="B12" s="4" t="str">
        <f>IFERROR(AVERAGEIFS(Table24[Response Time],Table24[Client ID '#],"&lt;&gt;",Table24[Date of Call],"&lt;="&amp;EOMONTH(A12,0),Table24[Date of Call],"&gt;="&amp;A12,Table24[Reason if Not Seen],"&lt;&gt;Cancelled by Caller"),"")</f>
        <v/>
      </c>
      <c r="D12" t="s">
        <v>785</v>
      </c>
      <c r="E12" t="s">
        <v>888</v>
      </c>
      <c r="F12" s="4" t="str">
        <f>IFERROR(AVERAGEIFS(Table24[Response Time],Table24[Client ID '#],"&lt;&gt;",Table24[County from ZIP Code],'G - Avg Response Time - All'!D12,Table24[Reason if Not Seen],"&lt;&gt;Cancelled by Caller"),"")</f>
        <v/>
      </c>
    </row>
    <row r="13" spans="1:6" ht="16.5" x14ac:dyDescent="0.3">
      <c r="A13" s="34">
        <f>DATE(Instructions!B10,6,1)</f>
        <v>44713</v>
      </c>
      <c r="B13" s="4" t="str">
        <f>IFERROR(AVERAGEIFS(Table24[Response Time],Table24[Client ID '#],"&lt;&gt;",Table24[Date of Call],"&lt;="&amp;EOMONTH(A13,0),Table24[Date of Call],"&gt;="&amp;A13,Table24[Reason if Not Seen],"&lt;&gt;Cancelled by Caller"),"")</f>
        <v/>
      </c>
      <c r="D13" t="s">
        <v>325</v>
      </c>
      <c r="E13" t="s">
        <v>888</v>
      </c>
      <c r="F13" s="4" t="str">
        <f>IFERROR(AVERAGEIFS(Table24[Response Time],Table24[Client ID '#],"&lt;&gt;",Table24[County from ZIP Code],'G - Avg Response Time - All'!D13,Table24[Reason if Not Seen],"&lt;&gt;Cancelled by Caller"),"")</f>
        <v/>
      </c>
    </row>
    <row r="14" spans="1:6" x14ac:dyDescent="0.25">
      <c r="D14" t="s">
        <v>812</v>
      </c>
      <c r="E14" t="s">
        <v>888</v>
      </c>
      <c r="F14" s="4" t="str">
        <f>IFERROR(AVERAGEIFS(Table24[Response Time],Table24[Client ID '#],"&lt;&gt;",Table24[County from ZIP Code],'G - Avg Response Time - All'!D14,Table24[Reason if Not Seen],"&lt;&gt;Cancelled by Caller"),"")</f>
        <v/>
      </c>
    </row>
    <row r="15" spans="1:6" x14ac:dyDescent="0.25">
      <c r="D15" t="s">
        <v>532</v>
      </c>
      <c r="E15" t="s">
        <v>888</v>
      </c>
      <c r="F15" s="4" t="str">
        <f>IFERROR(AVERAGEIFS(Table24[Response Time],Table24[Client ID '#],"&lt;&gt;",Table24[County from ZIP Code],'G - Avg Response Time - All'!D15,Table24[Reason if Not Seen],"&lt;&gt;Cancelled by Caller"),"")</f>
        <v/>
      </c>
    </row>
    <row r="16" spans="1:6" x14ac:dyDescent="0.25">
      <c r="D16" t="s">
        <v>363</v>
      </c>
      <c r="E16" t="s">
        <v>888</v>
      </c>
      <c r="F16" s="4" t="str">
        <f>IFERROR(AVERAGEIFS(Table24[Response Time],Table24[Client ID '#],"&lt;&gt;",Table24[County from ZIP Code],'G - Avg Response Time - All'!D16,Table24[Reason if Not Seen],"&lt;&gt;Cancelled by Caller"),"")</f>
        <v/>
      </c>
    </row>
    <row r="17" spans="2:6" x14ac:dyDescent="0.25">
      <c r="D17" t="s">
        <v>494</v>
      </c>
      <c r="E17" t="s">
        <v>888</v>
      </c>
      <c r="F17" s="4" t="str">
        <f>IFERROR(AVERAGEIFS(Table24[Response Time],Table24[Client ID '#],"&lt;&gt;",Table24[County from ZIP Code],'G - Avg Response Time - All'!D17,Table24[Reason if Not Seen],"&lt;&gt;Cancelled by Caller"),"")</f>
        <v/>
      </c>
    </row>
    <row r="18" spans="2:6" x14ac:dyDescent="0.25">
      <c r="D18" t="s">
        <v>369</v>
      </c>
      <c r="E18" t="s">
        <v>888</v>
      </c>
      <c r="F18" s="4" t="str">
        <f>IFERROR(AVERAGEIFS(Table24[Response Time],Table24[Client ID '#],"&lt;&gt;",Table24[County from ZIP Code],'G - Avg Response Time - All'!D18,Table24[Reason if Not Seen],"&lt;&gt;Cancelled by Caller"),"")</f>
        <v/>
      </c>
    </row>
    <row r="19" spans="2:6" x14ac:dyDescent="0.25">
      <c r="D19" t="s">
        <v>414</v>
      </c>
      <c r="E19" t="s">
        <v>888</v>
      </c>
      <c r="F19" s="4" t="str">
        <f>IFERROR(AVERAGEIFS(Table24[Response Time],Table24[Client ID '#],"&lt;&gt;",Table24[County from ZIP Code],'G - Avg Response Time - All'!D19,Table24[Reason if Not Seen],"&lt;&gt;Cancelled by Caller"),"")</f>
        <v/>
      </c>
    </row>
    <row r="20" spans="2:6" x14ac:dyDescent="0.25">
      <c r="B20" s="36" t="s">
        <v>899</v>
      </c>
      <c r="D20" t="s">
        <v>420</v>
      </c>
      <c r="E20" t="s">
        <v>888</v>
      </c>
      <c r="F20" s="4" t="str">
        <f>IFERROR(AVERAGEIFS(Table24[Response Time],Table24[Client ID '#],"&lt;&gt;",Table24[County from ZIP Code],'G - Avg Response Time - All'!D20,Table24[Reason if Not Seen],"&lt;&gt;Cancelled by Caller"),"")</f>
        <v/>
      </c>
    </row>
    <row r="21" spans="2:6" x14ac:dyDescent="0.25">
      <c r="D21" t="s">
        <v>525</v>
      </c>
      <c r="E21" t="s">
        <v>888</v>
      </c>
      <c r="F21" s="4" t="str">
        <f>IFERROR(AVERAGEIFS(Table24[Response Time],Table24[Client ID '#],"&lt;&gt;",Table24[County from ZIP Code],'G - Avg Response Time - All'!D21,Table24[Reason if Not Seen],"&lt;&gt;Cancelled by Caller"),"")</f>
        <v/>
      </c>
    </row>
    <row r="22" spans="2:6" x14ac:dyDescent="0.25">
      <c r="D22" t="s">
        <v>669</v>
      </c>
      <c r="E22" t="s">
        <v>888</v>
      </c>
      <c r="F22" s="4" t="str">
        <f>IFERROR(AVERAGEIFS(Table24[Response Time],Table24[Client ID '#],"&lt;&gt;",Table24[County from ZIP Code],'G - Avg Response Time - All'!D22,Table24[Reason if Not Seen],"&lt;&gt;Cancelled by Caller"),"")</f>
        <v/>
      </c>
    </row>
    <row r="23" spans="2:6" x14ac:dyDescent="0.25">
      <c r="D23" t="s">
        <v>485</v>
      </c>
      <c r="E23" t="s">
        <v>888</v>
      </c>
      <c r="F23" s="4" t="str">
        <f>IFERROR(AVERAGEIFS(Table24[Response Time],Table24[Client ID '#],"&lt;&gt;",Table24[County from ZIP Code],'G - Avg Response Time - All'!D23,Table24[Reason if Not Seen],"&lt;&gt;Cancelled by Caller"),"")</f>
        <v/>
      </c>
    </row>
    <row r="24" spans="2:6" x14ac:dyDescent="0.25">
      <c r="D24" t="s">
        <v>342</v>
      </c>
      <c r="E24" t="s">
        <v>888</v>
      </c>
      <c r="F24" s="4" t="str">
        <f>IFERROR(AVERAGEIFS(Table24[Response Time],Table24[Client ID '#],"&lt;&gt;",Table24[County from ZIP Code],'G - Avg Response Time - All'!D24,Table24[Reason if Not Seen],"&lt;&gt;Cancelled by Caller"),"")</f>
        <v/>
      </c>
    </row>
    <row r="25" spans="2:6" x14ac:dyDescent="0.25">
      <c r="D25" t="s">
        <v>727</v>
      </c>
      <c r="E25" t="s">
        <v>888</v>
      </c>
      <c r="F25" s="4" t="str">
        <f>IFERROR(AVERAGEIFS(Table24[Response Time],Table24[Client ID '#],"&lt;&gt;",Table24[County from ZIP Code],'G - Avg Response Time - All'!D25,Table24[Reason if Not Seen],"&lt;&gt;Cancelled by Caller"),"")</f>
        <v/>
      </c>
    </row>
    <row r="26" spans="2:6" x14ac:dyDescent="0.25">
      <c r="D26" t="s">
        <v>659</v>
      </c>
      <c r="E26" t="s">
        <v>888</v>
      </c>
      <c r="F26" s="4" t="str">
        <f>IFERROR(AVERAGEIFS(Table24[Response Time],Table24[Client ID '#],"&lt;&gt;",Table24[County from ZIP Code],'G - Avg Response Time - All'!D26,Table24[Reason if Not Seen],"&lt;&gt;Cancelled by Caller"),"")</f>
        <v/>
      </c>
    </row>
    <row r="27" spans="2:6" x14ac:dyDescent="0.25">
      <c r="D27" t="s">
        <v>824</v>
      </c>
      <c r="E27" t="s">
        <v>888</v>
      </c>
      <c r="F27" s="4" t="str">
        <f>IFERROR(AVERAGEIFS(Table24[Response Time],Table24[Client ID '#],"&lt;&gt;",Table24[County from ZIP Code],'G - Avg Response Time - All'!D27,Table24[Reason if Not Seen],"&lt;&gt;Cancelled by Caller"),"")</f>
        <v/>
      </c>
    </row>
    <row r="28" spans="2:6" x14ac:dyDescent="0.25">
      <c r="D28" t="s">
        <v>723</v>
      </c>
      <c r="E28" t="s">
        <v>888</v>
      </c>
      <c r="F28" s="4" t="str">
        <f>IFERROR(AVERAGEIFS(Table24[Response Time],Table24[Client ID '#],"&lt;&gt;",Table24[County from ZIP Code],'G - Avg Response Time - All'!D28,Table24[Reason if Not Seen],"&lt;&gt;Cancelled by Caller"),"")</f>
        <v/>
      </c>
    </row>
    <row r="29" spans="2:6" x14ac:dyDescent="0.25">
      <c r="D29" t="s">
        <v>673</v>
      </c>
      <c r="E29" t="s">
        <v>888</v>
      </c>
      <c r="F29" s="4" t="str">
        <f>IFERROR(AVERAGEIFS(Table24[Response Time],Table24[Client ID '#],"&lt;&gt;",Table24[County from ZIP Code],'G - Avg Response Time - All'!D29,Table24[Reason if Not Seen],"&lt;&gt;Cancelled by Caller"),"")</f>
        <v/>
      </c>
    </row>
    <row r="30" spans="2:6" x14ac:dyDescent="0.25">
      <c r="D30" t="s">
        <v>461</v>
      </c>
      <c r="E30" t="s">
        <v>888</v>
      </c>
      <c r="F30" s="4" t="str">
        <f>IFERROR(AVERAGEIFS(Table24[Response Time],Table24[Client ID '#],"&lt;&gt;",Table24[County from ZIP Code],'G - Avg Response Time - All'!D30,Table24[Reason if Not Seen],"&lt;&gt;Cancelled by Caller"),"")</f>
        <v/>
      </c>
    </row>
    <row r="31" spans="2:6" x14ac:dyDescent="0.25">
      <c r="D31" t="s">
        <v>610</v>
      </c>
      <c r="E31" t="s">
        <v>888</v>
      </c>
      <c r="F31" s="4" t="str">
        <f>IFERROR(AVERAGEIFS(Table24[Response Time],Table24[Client ID '#],"&lt;&gt;",Table24[County from ZIP Code],'G - Avg Response Time - All'!D31,Table24[Reason if Not Seen],"&lt;&gt;Cancelled by Caller"),"")</f>
        <v/>
      </c>
    </row>
    <row r="32" spans="2:6" x14ac:dyDescent="0.25">
      <c r="D32" t="s">
        <v>453</v>
      </c>
      <c r="E32" t="s">
        <v>888</v>
      </c>
      <c r="F32" s="4" t="str">
        <f>IFERROR(AVERAGEIFS(Table24[Response Time],Table24[Client ID '#],"&lt;&gt;",Table24[County from ZIP Code],'G - Avg Response Time - All'!D32,Table24[Reason if Not Seen],"&lt;&gt;Cancelled by Caller"),"")</f>
        <v/>
      </c>
    </row>
    <row r="33" spans="4:6" x14ac:dyDescent="0.25">
      <c r="D33" t="s">
        <v>431</v>
      </c>
      <c r="E33" t="s">
        <v>888</v>
      </c>
      <c r="F33" s="4" t="str">
        <f>IFERROR(AVERAGEIFS(Table24[Response Time],Table24[Client ID '#],"&lt;&gt;",Table24[County from ZIP Code],'G - Avg Response Time - All'!D33,Table24[Reason if Not Seen],"&lt;&gt;Cancelled by Caller"),"")</f>
        <v/>
      </c>
    </row>
    <row r="34" spans="4:6" x14ac:dyDescent="0.25">
      <c r="D34" t="s">
        <v>323</v>
      </c>
      <c r="E34" t="s">
        <v>888</v>
      </c>
      <c r="F34" s="4" t="str">
        <f>IFERROR(AVERAGEIFS(Table24[Response Time],Table24[Client ID '#],"&lt;&gt;",Table24[County from ZIP Code],'G - Avg Response Time - All'!D34,Table24[Reason if Not Seen],"&lt;&gt;Cancelled by Caller"),"")</f>
        <v/>
      </c>
    </row>
    <row r="35" spans="4:6" x14ac:dyDescent="0.25">
      <c r="D35" t="s">
        <v>365</v>
      </c>
      <c r="E35" t="s">
        <v>888</v>
      </c>
      <c r="F35" s="4" t="str">
        <f>IFERROR(AVERAGEIFS(Table24[Response Time],Table24[Client ID '#],"&lt;&gt;",Table24[County from ZIP Code],'G - Avg Response Time - All'!D35,Table24[Reason if Not Seen],"&lt;&gt;Cancelled by Caller"),"")</f>
        <v/>
      </c>
    </row>
    <row r="36" spans="4:6" x14ac:dyDescent="0.25">
      <c r="D36" t="s">
        <v>346</v>
      </c>
      <c r="E36" t="s">
        <v>888</v>
      </c>
      <c r="F36" s="4" t="str">
        <f>IFERROR(AVERAGEIFS(Table24[Response Time],Table24[Client ID '#],"&lt;&gt;",Table24[County from ZIP Code],'G - Avg Response Time - All'!D36,Table24[Reason if Not Seen],"&lt;&gt;Cancelled by Caller"),"")</f>
        <v/>
      </c>
    </row>
    <row r="37" spans="4:6" x14ac:dyDescent="0.25">
      <c r="D37" t="s">
        <v>412</v>
      </c>
      <c r="E37" t="s">
        <v>888</v>
      </c>
      <c r="F37" s="4" t="str">
        <f>IFERROR(AVERAGEIFS(Table24[Response Time],Table24[Client ID '#],"&lt;&gt;",Table24[County from ZIP Code],'G - Avg Response Time - All'!D37,Table24[Reason if Not Seen],"&lt;&gt;Cancelled by Caller"),"")</f>
        <v/>
      </c>
    </row>
    <row r="38" spans="4:6" x14ac:dyDescent="0.25">
      <c r="D38" t="s">
        <v>527</v>
      </c>
      <c r="E38" t="s">
        <v>888</v>
      </c>
      <c r="F38" s="4" t="str">
        <f>IFERROR(AVERAGEIFS(Table24[Response Time],Table24[Client ID '#],"&lt;&gt;",Table24[County from ZIP Code],'G - Avg Response Time - All'!D38,Table24[Reason if Not Seen],"&lt;&gt;Cancelled by Caller"),"")</f>
        <v/>
      </c>
    </row>
    <row r="39" spans="4:6" x14ac:dyDescent="0.25">
      <c r="D39" t="s">
        <v>416</v>
      </c>
      <c r="E39" t="s">
        <v>888</v>
      </c>
      <c r="F39" s="4" t="str">
        <f>IFERROR(AVERAGEIFS(Table24[Response Time],Table24[Client ID '#],"&lt;&gt;",Table24[County from ZIP Code],'G - Avg Response Time - All'!D39,Table24[Reason if Not Seen],"&lt;&gt;Cancelled by Caller"),"")</f>
        <v/>
      </c>
    </row>
    <row r="40" spans="4:6" x14ac:dyDescent="0.25">
      <c r="D40" t="s">
        <v>347</v>
      </c>
      <c r="E40" t="s">
        <v>888</v>
      </c>
      <c r="F40" s="4" t="str">
        <f>IFERROR(AVERAGEIFS(Table24[Response Time],Table24[Client ID '#],"&lt;&gt;",Table24[County from ZIP Code],'G - Avg Response Time - All'!D40,Table24[Reason if Not Seen],"&lt;&gt;Cancelled by Caller"),"")</f>
        <v/>
      </c>
    </row>
    <row r="41" spans="4:6" x14ac:dyDescent="0.25">
      <c r="D41" t="s">
        <v>796</v>
      </c>
      <c r="E41" t="s">
        <v>888</v>
      </c>
      <c r="F41" s="4" t="str">
        <f>IFERROR(AVERAGEIFS(Table24[Response Time],Table24[Client ID '#],"&lt;&gt;",Table24[County from ZIP Code],'G - Avg Response Time - All'!D41,Table24[Reason if Not Seen],"&lt;&gt;Cancelled by Caller"),"")</f>
        <v/>
      </c>
    </row>
    <row r="42" spans="4:6" x14ac:dyDescent="0.25">
      <c r="D42" t="s">
        <v>371</v>
      </c>
      <c r="E42" t="s">
        <v>888</v>
      </c>
      <c r="F42" s="4" t="str">
        <f>IFERROR(AVERAGEIFS(Table24[Response Time],Table24[Client ID '#],"&lt;&gt;",Table24[County from ZIP Code],'G - Avg Response Time - All'!D42,Table24[Reason if Not Seen],"&lt;&gt;Cancelled by Caller"),"")</f>
        <v/>
      </c>
    </row>
    <row r="43" spans="4:6" x14ac:dyDescent="0.25">
      <c r="D43" t="s">
        <v>664</v>
      </c>
      <c r="E43" t="s">
        <v>888</v>
      </c>
      <c r="F43" s="4" t="str">
        <f>IFERROR(AVERAGEIFS(Table24[Response Time],Table24[Client ID '#],"&lt;&gt;",Table24[County from ZIP Code],'G - Avg Response Time - All'!D43,Table24[Reason if Not Seen],"&lt;&gt;Cancelled by Caller"),"")</f>
        <v/>
      </c>
    </row>
    <row r="44" spans="4:6" x14ac:dyDescent="0.25">
      <c r="D44" t="s">
        <v>625</v>
      </c>
      <c r="E44" t="s">
        <v>888</v>
      </c>
      <c r="F44" s="4" t="str">
        <f>IFERROR(AVERAGEIFS(Table24[Response Time],Table24[Client ID '#],"&lt;&gt;",Table24[County from ZIP Code],'G - Avg Response Time - All'!D44,Table24[Reason if Not Seen],"&lt;&gt;Cancelled by Caller"),"")</f>
        <v/>
      </c>
    </row>
    <row r="45" spans="4:6" x14ac:dyDescent="0.25">
      <c r="D45" t="s">
        <v>623</v>
      </c>
      <c r="E45" t="s">
        <v>888</v>
      </c>
      <c r="F45" s="4" t="str">
        <f>IFERROR(AVERAGEIFS(Table24[Response Time],Table24[Client ID '#],"&lt;&gt;",Table24[County from ZIP Code],'G - Avg Response Time - All'!D45,Table24[Reason if Not Seen],"&lt;&gt;Cancelled by Caller"),"")</f>
        <v/>
      </c>
    </row>
    <row r="46" spans="4:6" x14ac:dyDescent="0.25">
      <c r="D46" t="s">
        <v>320</v>
      </c>
      <c r="E46" t="s">
        <v>888</v>
      </c>
      <c r="F46" s="4" t="str">
        <f>IFERROR(AVERAGEIFS(Table24[Response Time],Table24[Client ID '#],"&lt;&gt;",Table24[County from ZIP Code],'G - Avg Response Time - All'!D46,Table24[Reason if Not Seen],"&lt;&gt;Cancelled by Caller"),"")</f>
        <v/>
      </c>
    </row>
    <row r="47" spans="4:6" x14ac:dyDescent="0.25">
      <c r="D47" t="s">
        <v>497</v>
      </c>
      <c r="E47" t="s">
        <v>888</v>
      </c>
      <c r="F47" s="4" t="str">
        <f>IFERROR(AVERAGEIFS(Table24[Response Time],Table24[Client ID '#],"&lt;&gt;",Table24[County from ZIP Code],'G - Avg Response Time - All'!D47,Table24[Reason if Not Seen],"&lt;&gt;Cancelled by Caller"),"")</f>
        <v/>
      </c>
    </row>
    <row r="48" spans="4:6" x14ac:dyDescent="0.25">
      <c r="D48" t="s">
        <v>882</v>
      </c>
      <c r="E48" t="s">
        <v>888</v>
      </c>
      <c r="F48" s="4" t="str">
        <f>IFERROR(AVERAGEIFS(Table24[Response Time],Table24[Client ID '#],"&lt;&gt;",Table24[County from ZIP Code],'G - Avg Response Time - All'!D48,Table24[Reason if Not Seen],"&lt;&gt;Cancelled by Caller"),"")</f>
        <v/>
      </c>
    </row>
    <row r="49" spans="4:6" x14ac:dyDescent="0.25">
      <c r="D49" t="s">
        <v>562</v>
      </c>
      <c r="E49" t="s">
        <v>888</v>
      </c>
      <c r="F49" s="4" t="str">
        <f>IFERROR(AVERAGEIFS(Table24[Response Time],Table24[Client ID '#],"&lt;&gt;",Table24[County from ZIP Code],'G - Avg Response Time - All'!D49,Table24[Reason if Not Seen],"&lt;&gt;Cancelled by Caller"),"")</f>
        <v/>
      </c>
    </row>
    <row r="50" spans="4:6" x14ac:dyDescent="0.25">
      <c r="D50" t="s">
        <v>739</v>
      </c>
      <c r="E50" t="s">
        <v>888</v>
      </c>
      <c r="F50" s="4" t="str">
        <f>IFERROR(AVERAGEIFS(Table24[Response Time],Table24[Client ID '#],"&lt;&gt;",Table24[County from ZIP Code],'G - Avg Response Time - All'!D50,Table24[Reason if Not Seen],"&lt;&gt;Cancelled by Caller"),"")</f>
        <v/>
      </c>
    </row>
    <row r="51" spans="4:6" x14ac:dyDescent="0.25">
      <c r="D51" t="s">
        <v>650</v>
      </c>
      <c r="E51" t="s">
        <v>888</v>
      </c>
      <c r="F51" s="4" t="str">
        <f>IFERROR(AVERAGEIFS(Table24[Response Time],Table24[Client ID '#],"&lt;&gt;",Table24[County from ZIP Code],'G - Avg Response Time - All'!D51,Table24[Reason if Not Seen],"&lt;&gt;Cancelled by Caller"),"")</f>
        <v/>
      </c>
    </row>
    <row r="52" spans="4:6" x14ac:dyDescent="0.25">
      <c r="D52" t="s">
        <v>679</v>
      </c>
      <c r="E52" t="s">
        <v>888</v>
      </c>
      <c r="F52" s="4" t="str">
        <f>IFERROR(AVERAGEIFS(Table24[Response Time],Table24[Client ID '#],"&lt;&gt;",Table24[County from ZIP Code],'G - Avg Response Time - All'!D52,Table24[Reason if Not Seen],"&lt;&gt;Cancelled by Caller"),"")</f>
        <v/>
      </c>
    </row>
    <row r="53" spans="4:6" x14ac:dyDescent="0.25">
      <c r="D53" t="s">
        <v>710</v>
      </c>
      <c r="E53" t="s">
        <v>888</v>
      </c>
      <c r="F53" s="4" t="str">
        <f>IFERROR(AVERAGEIFS(Table24[Response Time],Table24[Client ID '#],"&lt;&gt;",Table24[County from ZIP Code],'G - Avg Response Time - All'!D53,Table24[Reason if Not Seen],"&lt;&gt;Cancelled by Caller"),"")</f>
        <v/>
      </c>
    </row>
    <row r="54" spans="4:6" x14ac:dyDescent="0.25">
      <c r="D54" t="s">
        <v>719</v>
      </c>
      <c r="E54" t="s">
        <v>888</v>
      </c>
      <c r="F54" s="4" t="str">
        <f>IFERROR(AVERAGEIFS(Table24[Response Time],Table24[Client ID '#],"&lt;&gt;",Table24[County from ZIP Code],'G - Avg Response Time - All'!D54,Table24[Reason if Not Seen],"&lt;&gt;Cancelled by Caller"),"")</f>
        <v/>
      </c>
    </row>
    <row r="55" spans="4:6" x14ac:dyDescent="0.25">
      <c r="D55" t="s">
        <v>316</v>
      </c>
      <c r="E55" t="s">
        <v>888</v>
      </c>
      <c r="F55" s="4" t="str">
        <f>IFERROR(AVERAGEIFS(Table24[Response Time],Table24[Client ID '#],"&lt;&gt;",Table24[County from ZIP Code],'G - Avg Response Time - All'!D55,Table24[Reason if Not Seen],"&lt;&gt;Cancelled by Caller"),"")</f>
        <v/>
      </c>
    </row>
    <row r="56" spans="4:6" x14ac:dyDescent="0.25">
      <c r="D56" t="s">
        <v>935</v>
      </c>
      <c r="E56" t="s">
        <v>888</v>
      </c>
      <c r="F56" s="4" t="str">
        <f>IFERROR(AVERAGEIFS(Table24[Response Time],Table24[Client ID '#],"&lt;&gt;",Table24[County from ZIP Code],'G - Avg Response Time - All'!D56,Table24[Reason if Not Seen],"&lt;&gt;Cancelled by Caller"),"")</f>
        <v/>
      </c>
    </row>
    <row r="57" spans="4:6" x14ac:dyDescent="0.25">
      <c r="D57" t="s">
        <v>878</v>
      </c>
      <c r="E57" t="s">
        <v>888</v>
      </c>
      <c r="F57" s="4" t="str">
        <f>IFERROR(AVERAGEIFS(Table24[Response Time],Table24[Client ID '#],"&lt;&gt;",Table24[County from ZIP Code],'G - Avg Response Time - All'!D57,Table24[Reason if Not Seen],"&lt;&gt;Cancelled by Caller"),"")</f>
        <v/>
      </c>
    </row>
    <row r="58" spans="4:6" x14ac:dyDescent="0.25">
      <c r="D58" t="s">
        <v>496</v>
      </c>
      <c r="E58" t="s">
        <v>888</v>
      </c>
      <c r="F58" s="4" t="str">
        <f>IFERROR(AVERAGEIFS(Table24[Response Time],Table24[Client ID '#],"&lt;&gt;",Table24[County from ZIP Code],'G - Avg Response Time - All'!D58,Table24[Reason if Not Seen],"&lt;&gt;Cancelled by Caller"),"")</f>
        <v/>
      </c>
    </row>
    <row r="59" spans="4:6" x14ac:dyDescent="0.25">
      <c r="D59" t="s">
        <v>805</v>
      </c>
      <c r="E59" t="s">
        <v>888</v>
      </c>
      <c r="F59" s="4" t="str">
        <f>IFERROR(AVERAGEIFS(Table24[Response Time],Table24[Client ID '#],"&lt;&gt;",Table24[County from ZIP Code],'G - Avg Response Time - All'!D59,Table24[Reason if Not Seen],"&lt;&gt;Cancelled by Caller"),"")</f>
        <v/>
      </c>
    </row>
    <row r="60" spans="4:6" x14ac:dyDescent="0.25">
      <c r="D60" t="s">
        <v>559</v>
      </c>
      <c r="E60" t="s">
        <v>888</v>
      </c>
      <c r="F60" s="4" t="str">
        <f>IFERROR(AVERAGEIFS(Table24[Response Time],Table24[Client ID '#],"&lt;&gt;",Table24[County from ZIP Code],'G - Avg Response Time - All'!D60,Table24[Reason if Not Seen],"&lt;&gt;Cancelled by Caller"),"")</f>
        <v/>
      </c>
    </row>
    <row r="61" spans="4:6" x14ac:dyDescent="0.25">
      <c r="D61" t="s">
        <v>393</v>
      </c>
      <c r="E61" t="s">
        <v>888</v>
      </c>
      <c r="F61" s="4" t="str">
        <f>IFERROR(AVERAGEIFS(Table24[Response Time],Table24[Client ID '#],"&lt;&gt;",Table24[County from ZIP Code],'G - Avg Response Time - All'!D61,Table24[Reason if Not Seen],"&lt;&gt;Cancelled by Caller"),"")</f>
        <v/>
      </c>
    </row>
    <row r="62" spans="4:6" x14ac:dyDescent="0.25">
      <c r="D62" t="s">
        <v>318</v>
      </c>
      <c r="E62" t="s">
        <v>888</v>
      </c>
      <c r="F62" s="4" t="str">
        <f>IFERROR(AVERAGEIFS(Table24[Response Time],Table24[Client ID '#],"&lt;&gt;",Table24[County from ZIP Code],'G - Avg Response Time - All'!D62,Table24[Reason if Not Seen],"&lt;&gt;Cancelled by Caller"),"")</f>
        <v/>
      </c>
    </row>
    <row r="63" spans="4:6" x14ac:dyDescent="0.25">
      <c r="D63" t="s">
        <v>437</v>
      </c>
      <c r="E63" t="s">
        <v>888</v>
      </c>
      <c r="F63" s="4" t="str">
        <f>IFERROR(AVERAGEIFS(Table24[Response Time],Table24[Client ID '#],"&lt;&gt;",Table24[County from ZIP Code],'G - Avg Response Time - All'!D63,Table24[Reason if Not Seen],"&lt;&gt;Cancelled by Caller"),"")</f>
        <v/>
      </c>
    </row>
    <row r="64" spans="4:6" x14ac:dyDescent="0.25">
      <c r="D64" t="s">
        <v>327</v>
      </c>
      <c r="E64" t="s">
        <v>888</v>
      </c>
      <c r="F64" s="4" t="str">
        <f>IFERROR(AVERAGEIFS(Table24[Response Time],Table24[Client ID '#],"&lt;&gt;",Table24[County from ZIP Code],'G - Avg Response Time - All'!D64,Table24[Reason if Not Seen],"&lt;&gt;Cancelled by Caller"),"")</f>
        <v/>
      </c>
    </row>
    <row r="65" spans="4:6" x14ac:dyDescent="0.25">
      <c r="D65" t="s">
        <v>367</v>
      </c>
      <c r="E65" t="s">
        <v>888</v>
      </c>
      <c r="F65" s="4" t="str">
        <f>IFERROR(AVERAGEIFS(Table24[Response Time],Table24[Client ID '#],"&lt;&gt;",Table24[County from ZIP Code],'G - Avg Response Time - All'!D65,Table24[Reason if Not Seen],"&lt;&gt;Cancelled by Caller"),"")</f>
        <v/>
      </c>
    </row>
    <row r="66" spans="4:6" x14ac:dyDescent="0.25">
      <c r="D66" t="s">
        <v>422</v>
      </c>
      <c r="E66" t="s">
        <v>888</v>
      </c>
      <c r="F66" s="4" t="str">
        <f>IFERROR(AVERAGEIFS(Table24[Response Time],Table24[Client ID '#],"&lt;&gt;",Table24[County from ZIP Code],'G - Avg Response Time - All'!D66,Table24[Reason if Not Seen],"&lt;&gt;Cancelled by Caller"),"")</f>
        <v/>
      </c>
    </row>
    <row r="67" spans="4:6" x14ac:dyDescent="0.25">
      <c r="D67" t="s">
        <v>457</v>
      </c>
      <c r="E67" t="s">
        <v>888</v>
      </c>
      <c r="F67" s="4" t="str">
        <f>IFERROR(AVERAGEIFS(Table24[Response Time],Table24[Client ID '#],"&lt;&gt;",Table24[County from ZIP Code],'G - Avg Response Time - All'!D67,Table24[Reason if Not Seen],"&lt;&gt;Cancelled by Caller"),"")</f>
        <v/>
      </c>
    </row>
    <row r="68" spans="4:6" x14ac:dyDescent="0.25">
      <c r="D68" t="s">
        <v>464</v>
      </c>
      <c r="E68" t="s">
        <v>888</v>
      </c>
      <c r="F68" s="4" t="str">
        <f>IFERROR(AVERAGEIFS(Table24[Response Time],Table24[Client ID '#],"&lt;&gt;",Table24[County from ZIP Code],'G - Avg Response Time - All'!D68,Table24[Reason if Not Seen],"&lt;&gt;Cancelled by Caller"),"")</f>
        <v/>
      </c>
    </row>
  </sheetData>
  <hyperlinks>
    <hyperlink ref="B20" location="'Field Definitions'!A1" display="Return to Field Definition tab." xr:uid="{77BF2FFB-60A2-4602-B4E4-084F7481F332}"/>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E3A7F-FD1E-4062-A535-51819CBAC71B}">
  <dimension ref="A1:F68"/>
  <sheetViews>
    <sheetView workbookViewId="0">
      <selection activeCell="D57" sqref="D57"/>
    </sheetView>
  </sheetViews>
  <sheetFormatPr defaultRowHeight="15" x14ac:dyDescent="0.25"/>
  <cols>
    <col min="1" max="1" width="12.42578125" bestFit="1" customWidth="1"/>
    <col min="2" max="2" width="23" bestFit="1" customWidth="1"/>
    <col min="6" max="6" width="19" bestFit="1" customWidth="1"/>
  </cols>
  <sheetData>
    <row r="1" spans="1:6" x14ac:dyDescent="0.25">
      <c r="A1" t="s">
        <v>192</v>
      </c>
      <c r="B1" t="s">
        <v>308</v>
      </c>
      <c r="D1" t="s">
        <v>311</v>
      </c>
      <c r="E1" t="s">
        <v>887</v>
      </c>
      <c r="F1" t="s">
        <v>934</v>
      </c>
    </row>
    <row r="2" spans="1:6" ht="16.5" x14ac:dyDescent="0.3">
      <c r="A2" s="34">
        <f>DATE(Instructions!B10-1,7,1)</f>
        <v>44378</v>
      </c>
      <c r="B2" s="4" t="str">
        <f>IFERROR(AVERAGEIFS(Table24[Response Time],Table24[Client ID '#],"&lt;&gt;",Table24[Date of Call],"&lt;="&amp;EOMONTH(A2,0),Table24[Date of Call],"&gt;="&amp;A2,Table24[Intervention Determined],"On-Site/Face-to-Face",Table24[Reason if Not Seen],"&lt;&gt;Cancelled by Caller"),"")</f>
        <v/>
      </c>
      <c r="D2" t="s">
        <v>95</v>
      </c>
      <c r="E2" t="s">
        <v>888</v>
      </c>
      <c r="F2" s="4" t="str">
        <f>IFERROR(AVERAGEIFS(Table24[Response Time],Table24[Client ID '#],"&lt;&gt;",Table24[County from ZIP Code],'G - Avg Response Time - All'!D2,Table24[Intervention Determined],"On-Site/Face-to-Face",Table24[Reason if Not Seen],"&lt;&gt;Cancelled by Caller"),"")</f>
        <v/>
      </c>
    </row>
    <row r="3" spans="1:6" ht="16.5" x14ac:dyDescent="0.3">
      <c r="A3" s="34">
        <f>DATE(Instructions!B10-1,8,1)</f>
        <v>44409</v>
      </c>
      <c r="B3" s="4" t="str">
        <f>IFERROR(AVERAGEIFS(Table24[Response Time],Table24[Client ID '#],"&lt;&gt;",Table24[Date of Call],"&lt;="&amp;EOMONTH(A3,0),Table24[Date of Call],"&gt;="&amp;A3,Table24[Intervention Determined],"On-Site/Face-to-Face",Table24[Reason if Not Seen],"&lt;&gt;Cancelled by Caller"),"")</f>
        <v/>
      </c>
      <c r="D3" t="s">
        <v>333</v>
      </c>
      <c r="E3" t="s">
        <v>888</v>
      </c>
      <c r="F3" s="4" t="str">
        <f>IFERROR(AVERAGEIFS(Table24[Response Time],Table24[Client ID '#],"&lt;&gt;",Table24[County from ZIP Code],'G - Avg Response Time - All'!D3,Table24[Intervention Determined],"On-Site/Face-to-Face",Table24[Reason if Not Seen],"&lt;&gt;Cancelled by Caller"),"")</f>
        <v/>
      </c>
    </row>
    <row r="4" spans="1:6" ht="16.5" x14ac:dyDescent="0.3">
      <c r="A4" s="34">
        <f>DATE(Instructions!B10-1,9,1)</f>
        <v>44440</v>
      </c>
      <c r="B4" s="4" t="str">
        <f>IFERROR(AVERAGEIFS(Table24[Response Time],Table24[Client ID '#],"&lt;&gt;",Table24[Date of Call],"&lt;="&amp;EOMONTH(A4,0),Table24[Date of Call],"&gt;="&amp;A4,Table24[Intervention Determined],"On-Site/Face-to-Face",Table24[Reason if Not Seen],"&lt;&gt;Cancelled by Caller"),"")</f>
        <v/>
      </c>
      <c r="D4" t="s">
        <v>449</v>
      </c>
      <c r="E4" t="s">
        <v>888</v>
      </c>
      <c r="F4" s="4" t="str">
        <f>IFERROR(AVERAGEIFS(Table24[Response Time],Table24[Client ID '#],"&lt;&gt;",Table24[County from ZIP Code],'G - Avg Response Time - All'!D4,Table24[Intervention Determined],"On-Site/Face-to-Face",Table24[Reason if Not Seen],"&lt;&gt;Cancelled by Caller"),"")</f>
        <v/>
      </c>
    </row>
    <row r="5" spans="1:6" ht="16.5" x14ac:dyDescent="0.3">
      <c r="A5" s="34">
        <f>DATE(Instructions!B10-1,10,1)</f>
        <v>44470</v>
      </c>
      <c r="B5" s="4" t="str">
        <f>IFERROR(AVERAGEIFS(Table24[Response Time],Table24[Client ID '#],"&lt;&gt;",Table24[Date of Call],"&lt;="&amp;EOMONTH(A5,0),Table24[Date of Call],"&gt;="&amp;A5,Table24[Intervention Determined],"On-Site/Face-to-Face",Table24[Reason if Not Seen],"&lt;&gt;Cancelled by Caller"),"")</f>
        <v/>
      </c>
      <c r="D5" t="s">
        <v>336</v>
      </c>
      <c r="E5" t="s">
        <v>888</v>
      </c>
      <c r="F5" s="4" t="str">
        <f>IFERROR(AVERAGEIFS(Table24[Response Time],Table24[Client ID '#],"&lt;&gt;",Table24[County from ZIP Code],'G - Avg Response Time - All'!D5,Table24[Intervention Determined],"On-Site/Face-to-Face",Table24[Reason if Not Seen],"&lt;&gt;Cancelled by Caller"),"")</f>
        <v/>
      </c>
    </row>
    <row r="6" spans="1:6" ht="16.5" x14ac:dyDescent="0.3">
      <c r="A6" s="34">
        <f>DATE(Instructions!B10-1,11,1)</f>
        <v>44501</v>
      </c>
      <c r="B6" s="4" t="str">
        <f>IFERROR(AVERAGEIFS(Table24[Response Time],Table24[Client ID '#],"&lt;&gt;",Table24[Date of Call],"&lt;="&amp;EOMONTH(A6,0),Table24[Date of Call],"&gt;="&amp;A6,Table24[Intervention Determined],"On-Site/Face-to-Face",Table24[Reason if Not Seen],"&lt;&gt;Cancelled by Caller"),"")</f>
        <v/>
      </c>
      <c r="D6" t="s">
        <v>583</v>
      </c>
      <c r="E6" t="s">
        <v>888</v>
      </c>
      <c r="F6" s="4" t="str">
        <f>IFERROR(AVERAGEIFS(Table24[Response Time],Table24[Client ID '#],"&lt;&gt;",Table24[County from ZIP Code],'G - Avg Response Time - All'!D6,Table24[Intervention Determined],"On-Site/Face-to-Face",Table24[Reason if Not Seen],"&lt;&gt;Cancelled by Caller"),"")</f>
        <v/>
      </c>
    </row>
    <row r="7" spans="1:6" ht="16.5" x14ac:dyDescent="0.3">
      <c r="A7" s="34">
        <f>DATE(Instructions!B10-1,12,1)</f>
        <v>44531</v>
      </c>
      <c r="B7" s="4" t="str">
        <f>IFERROR(AVERAGEIFS(Table24[Response Time],Table24[Client ID '#],"&lt;&gt;",Table24[Date of Call],"&lt;="&amp;EOMONTH(A7,0),Table24[Date of Call],"&gt;="&amp;A7,Table24[Intervention Determined],"On-Site/Face-to-Face",Table24[Reason if Not Seen],"&lt;&gt;Cancelled by Caller"),"")</f>
        <v/>
      </c>
      <c r="D7" t="s">
        <v>627</v>
      </c>
      <c r="E7" t="s">
        <v>888</v>
      </c>
      <c r="F7" s="4" t="str">
        <f>IFERROR(AVERAGEIFS(Table24[Response Time],Table24[Client ID '#],"&lt;&gt;",Table24[County from ZIP Code],'G - Avg Response Time - All'!D7,Table24[Intervention Determined],"On-Site/Face-to-Face",Table24[Reason if Not Seen],"&lt;&gt;Cancelled by Caller"),"")</f>
        <v/>
      </c>
    </row>
    <row r="8" spans="1:6" ht="16.5" x14ac:dyDescent="0.3">
      <c r="A8" s="34">
        <f>DATE(Instructions!B10,1,1)</f>
        <v>44562</v>
      </c>
      <c r="B8" s="4" t="str">
        <f>IFERROR(AVERAGEIFS(Table24[Response Time],Table24[Client ID '#],"&lt;&gt;",Table24[Date of Call],"&lt;="&amp;EOMONTH(A8,0),Table24[Date of Call],"&gt;="&amp;A8,Table24[Intervention Determined],"On-Site/Face-to-Face",Table24[Reason if Not Seen],"&lt;&gt;Cancelled by Caller"),"")</f>
        <v/>
      </c>
      <c r="D8" t="s">
        <v>455</v>
      </c>
      <c r="E8" t="s">
        <v>888</v>
      </c>
      <c r="F8" s="4" t="str">
        <f>IFERROR(AVERAGEIFS(Table24[Response Time],Table24[Client ID '#],"&lt;&gt;",Table24[County from ZIP Code],'G - Avg Response Time - All'!D8,Table24[Intervention Determined],"On-Site/Face-to-Face",Table24[Reason if Not Seen],"&lt;&gt;Cancelled by Caller"),"")</f>
        <v/>
      </c>
    </row>
    <row r="9" spans="1:6" ht="16.5" x14ac:dyDescent="0.3">
      <c r="A9" s="34">
        <f>DATE(Instructions!B10,2,1)</f>
        <v>44593</v>
      </c>
      <c r="B9" s="4" t="str">
        <f>IFERROR(AVERAGEIFS(Table24[Response Time],Table24[Client ID '#],"&lt;&gt;",Table24[Date of Call],"&lt;="&amp;EOMONTH(A9,0),Table24[Date of Call],"&gt;="&amp;A9,Table24[Intervention Determined],"On-Site/Face-to-Face",Table24[Reason if Not Seen],"&lt;&gt;Cancelled by Caller"),"")</f>
        <v/>
      </c>
      <c r="D9" t="s">
        <v>768</v>
      </c>
      <c r="E9" t="s">
        <v>888</v>
      </c>
      <c r="F9" s="4" t="str">
        <f>IFERROR(AVERAGEIFS(Table24[Response Time],Table24[Client ID '#],"&lt;&gt;",Table24[County from ZIP Code],'G - Avg Response Time - All'!D9,Table24[Intervention Determined],"On-Site/Face-to-Face",Table24[Reason if Not Seen],"&lt;&gt;Cancelled by Caller"),"")</f>
        <v/>
      </c>
    </row>
    <row r="10" spans="1:6" ht="16.5" x14ac:dyDescent="0.3">
      <c r="A10" s="34">
        <f>DATE(Instructions!B10,3,1)</f>
        <v>44621</v>
      </c>
      <c r="B10" s="4" t="str">
        <f>IFERROR(AVERAGEIFS(Table24[Response Time],Table24[Client ID '#],"&lt;&gt;",Table24[Date of Call],"&lt;="&amp;EOMONTH(A10,0),Table24[Date of Call],"&gt;="&amp;A10,Table24[Intervention Determined],"On-Site/Face-to-Face",Table24[Reason if Not Seen],"&lt;&gt;Cancelled by Caller"),"")</f>
        <v/>
      </c>
      <c r="D10" t="s">
        <v>104</v>
      </c>
      <c r="E10" t="s">
        <v>888</v>
      </c>
      <c r="F10" s="4" t="str">
        <f>IFERROR(AVERAGEIFS(Table24[Response Time],Table24[Client ID '#],"&lt;&gt;",Table24[County from ZIP Code],'G - Avg Response Time - All'!D10,Table24[Intervention Determined],"On-Site/Face-to-Face",Table24[Reason if Not Seen],"&lt;&gt;Cancelled by Caller"),"")</f>
        <v/>
      </c>
    </row>
    <row r="11" spans="1:6" ht="16.5" x14ac:dyDescent="0.3">
      <c r="A11" s="34">
        <f>DATE(Instructions!B10,4,1)</f>
        <v>44652</v>
      </c>
      <c r="B11" s="4" t="str">
        <f>IFERROR(AVERAGEIFS(Table24[Response Time],Table24[Client ID '#],"&lt;&gt;",Table24[Date of Call],"&lt;="&amp;EOMONTH(A11,0),Table24[Date of Call],"&gt;="&amp;A11,Table24[Intervention Determined],"On-Site/Face-to-Face",Table24[Reason if Not Seen],"&lt;&gt;Cancelled by Caller"),"")</f>
        <v/>
      </c>
      <c r="D11" t="s">
        <v>98</v>
      </c>
      <c r="E11" t="s">
        <v>888</v>
      </c>
      <c r="F11" s="4" t="str">
        <f>IFERROR(AVERAGEIFS(Table24[Response Time],Table24[Client ID '#],"&lt;&gt;",Table24[County from ZIP Code],'G - Avg Response Time - All'!D11,Table24[Intervention Determined],"On-Site/Face-to-Face",Table24[Reason if Not Seen],"&lt;&gt;Cancelled by Caller"),"")</f>
        <v/>
      </c>
    </row>
    <row r="12" spans="1:6" ht="16.5" x14ac:dyDescent="0.3">
      <c r="A12" s="34">
        <f>DATE(Instructions!B10,5,1)</f>
        <v>44682</v>
      </c>
      <c r="B12" s="4" t="str">
        <f>IFERROR(AVERAGEIFS(Table24[Response Time],Table24[Client ID '#],"&lt;&gt;",Table24[Date of Call],"&lt;="&amp;EOMONTH(A12,0),Table24[Date of Call],"&gt;="&amp;A12,Table24[Intervention Determined],"On-Site/Face-to-Face",Table24[Reason if Not Seen],"&lt;&gt;Cancelled by Caller"),"")</f>
        <v/>
      </c>
      <c r="D12" t="s">
        <v>785</v>
      </c>
      <c r="E12" t="s">
        <v>888</v>
      </c>
      <c r="F12" s="4" t="str">
        <f>IFERROR(AVERAGEIFS(Table24[Response Time],Table24[Client ID '#],"&lt;&gt;",Table24[County from ZIP Code],'G - Avg Response Time - All'!D12,Table24[Intervention Determined],"On-Site/Face-to-Face",Table24[Reason if Not Seen],"&lt;&gt;Cancelled by Caller"),"")</f>
        <v/>
      </c>
    </row>
    <row r="13" spans="1:6" ht="16.5" x14ac:dyDescent="0.3">
      <c r="A13" s="34">
        <f>DATE(Instructions!B10,6,1)</f>
        <v>44713</v>
      </c>
      <c r="B13" s="4" t="str">
        <f>IFERROR(AVERAGEIFS(Table24[Response Time],Table24[Client ID '#],"&lt;&gt;",Table24[Date of Call],"&lt;="&amp;EOMONTH(A13,0),Table24[Date of Call],"&gt;="&amp;A13,Table24[Intervention Determined],"On-Site/Face-to-Face",Table24[Reason if Not Seen],"&lt;&gt;Cancelled by Caller"),"")</f>
        <v/>
      </c>
      <c r="D13" t="s">
        <v>325</v>
      </c>
      <c r="E13" t="s">
        <v>888</v>
      </c>
      <c r="F13" s="4" t="str">
        <f>IFERROR(AVERAGEIFS(Table24[Response Time],Table24[Client ID '#],"&lt;&gt;",Table24[County from ZIP Code],'G - Avg Response Time - All'!D13,Table24[Intervention Determined],"On-Site/Face-to-Face",Table24[Reason if Not Seen],"&lt;&gt;Cancelled by Caller"),"")</f>
        <v/>
      </c>
    </row>
    <row r="14" spans="1:6" x14ac:dyDescent="0.25">
      <c r="D14" t="s">
        <v>812</v>
      </c>
      <c r="E14" t="s">
        <v>888</v>
      </c>
      <c r="F14" s="4" t="str">
        <f>IFERROR(AVERAGEIFS(Table24[Response Time],Table24[Client ID '#],"&lt;&gt;",Table24[County from ZIP Code],'G - Avg Response Time - All'!D14,Table24[Intervention Determined],"On-Site/Face-to-Face",Table24[Reason if Not Seen],"&lt;&gt;Cancelled by Caller"),"")</f>
        <v/>
      </c>
    </row>
    <row r="15" spans="1:6" x14ac:dyDescent="0.25">
      <c r="D15" t="s">
        <v>532</v>
      </c>
      <c r="E15" t="s">
        <v>888</v>
      </c>
      <c r="F15" s="4" t="str">
        <f>IFERROR(AVERAGEIFS(Table24[Response Time],Table24[Client ID '#],"&lt;&gt;",Table24[County from ZIP Code],'G - Avg Response Time - All'!D15,Table24[Intervention Determined],"On-Site/Face-to-Face",Table24[Reason if Not Seen],"&lt;&gt;Cancelled by Caller"),"")</f>
        <v/>
      </c>
    </row>
    <row r="16" spans="1:6" x14ac:dyDescent="0.25">
      <c r="D16" t="s">
        <v>363</v>
      </c>
      <c r="E16" t="s">
        <v>888</v>
      </c>
      <c r="F16" s="4" t="str">
        <f>IFERROR(AVERAGEIFS(Table24[Response Time],Table24[Client ID '#],"&lt;&gt;",Table24[County from ZIP Code],'G - Avg Response Time - All'!D16,Table24[Intervention Determined],"On-Site/Face-to-Face",Table24[Reason if Not Seen],"&lt;&gt;Cancelled by Caller"),"")</f>
        <v/>
      </c>
    </row>
    <row r="17" spans="2:6" x14ac:dyDescent="0.25">
      <c r="D17" t="s">
        <v>494</v>
      </c>
      <c r="E17" t="s">
        <v>888</v>
      </c>
      <c r="F17" s="4" t="str">
        <f>IFERROR(AVERAGEIFS(Table24[Response Time],Table24[Client ID '#],"&lt;&gt;",Table24[County from ZIP Code],'G - Avg Response Time - All'!D17,Table24[Intervention Determined],"On-Site/Face-to-Face",Table24[Reason if Not Seen],"&lt;&gt;Cancelled by Caller"),"")</f>
        <v/>
      </c>
    </row>
    <row r="18" spans="2:6" x14ac:dyDescent="0.25">
      <c r="D18" t="s">
        <v>369</v>
      </c>
      <c r="E18" t="s">
        <v>888</v>
      </c>
      <c r="F18" s="4" t="str">
        <f>IFERROR(AVERAGEIFS(Table24[Response Time],Table24[Client ID '#],"&lt;&gt;",Table24[County from ZIP Code],'G - Avg Response Time - All'!D18,Table24[Intervention Determined],"On-Site/Face-to-Face",Table24[Reason if Not Seen],"&lt;&gt;Cancelled by Caller"),"")</f>
        <v/>
      </c>
    </row>
    <row r="19" spans="2:6" x14ac:dyDescent="0.25">
      <c r="D19" t="s">
        <v>414</v>
      </c>
      <c r="E19" t="s">
        <v>888</v>
      </c>
      <c r="F19" s="4" t="str">
        <f>IFERROR(AVERAGEIFS(Table24[Response Time],Table24[Client ID '#],"&lt;&gt;",Table24[County from ZIP Code],'G - Avg Response Time - All'!D19,Table24[Intervention Determined],"On-Site/Face-to-Face",Table24[Reason if Not Seen],"&lt;&gt;Cancelled by Caller"),"")</f>
        <v/>
      </c>
    </row>
    <row r="20" spans="2:6" x14ac:dyDescent="0.25">
      <c r="B20" s="36" t="s">
        <v>899</v>
      </c>
      <c r="D20" t="s">
        <v>420</v>
      </c>
      <c r="E20" t="s">
        <v>888</v>
      </c>
      <c r="F20" s="4" t="str">
        <f>IFERROR(AVERAGEIFS(Table24[Response Time],Table24[Client ID '#],"&lt;&gt;",Table24[County from ZIP Code],'G - Avg Response Time - All'!D20,Table24[Intervention Determined],"On-Site/Face-to-Face",Table24[Reason if Not Seen],"&lt;&gt;Cancelled by Caller"),"")</f>
        <v/>
      </c>
    </row>
    <row r="21" spans="2:6" x14ac:dyDescent="0.25">
      <c r="D21" t="s">
        <v>525</v>
      </c>
      <c r="E21" t="s">
        <v>888</v>
      </c>
      <c r="F21" s="4" t="str">
        <f>IFERROR(AVERAGEIFS(Table24[Response Time],Table24[Client ID '#],"&lt;&gt;",Table24[County from ZIP Code],'G - Avg Response Time - All'!D21,Table24[Intervention Determined],"On-Site/Face-to-Face",Table24[Reason if Not Seen],"&lt;&gt;Cancelled by Caller"),"")</f>
        <v/>
      </c>
    </row>
    <row r="22" spans="2:6" x14ac:dyDescent="0.25">
      <c r="D22" t="s">
        <v>669</v>
      </c>
      <c r="E22" t="s">
        <v>888</v>
      </c>
      <c r="F22" s="4" t="str">
        <f>IFERROR(AVERAGEIFS(Table24[Response Time],Table24[Client ID '#],"&lt;&gt;",Table24[County from ZIP Code],'G - Avg Response Time - All'!D22,Table24[Intervention Determined],"On-Site/Face-to-Face",Table24[Reason if Not Seen],"&lt;&gt;Cancelled by Caller"),"")</f>
        <v/>
      </c>
    </row>
    <row r="23" spans="2:6" x14ac:dyDescent="0.25">
      <c r="D23" t="s">
        <v>485</v>
      </c>
      <c r="E23" t="s">
        <v>888</v>
      </c>
      <c r="F23" s="4" t="str">
        <f>IFERROR(AVERAGEIFS(Table24[Response Time],Table24[Client ID '#],"&lt;&gt;",Table24[County from ZIP Code],'G - Avg Response Time - All'!D23,Table24[Intervention Determined],"On-Site/Face-to-Face",Table24[Reason if Not Seen],"&lt;&gt;Cancelled by Caller"),"")</f>
        <v/>
      </c>
    </row>
    <row r="24" spans="2:6" x14ac:dyDescent="0.25">
      <c r="D24" t="s">
        <v>342</v>
      </c>
      <c r="E24" t="s">
        <v>888</v>
      </c>
      <c r="F24" s="4" t="str">
        <f>IFERROR(AVERAGEIFS(Table24[Response Time],Table24[Client ID '#],"&lt;&gt;",Table24[County from ZIP Code],'G - Avg Response Time - All'!D24,Table24[Intervention Determined],"On-Site/Face-to-Face",Table24[Reason if Not Seen],"&lt;&gt;Cancelled by Caller"),"")</f>
        <v/>
      </c>
    </row>
    <row r="25" spans="2:6" x14ac:dyDescent="0.25">
      <c r="D25" t="s">
        <v>727</v>
      </c>
      <c r="E25" t="s">
        <v>888</v>
      </c>
      <c r="F25" s="4" t="str">
        <f>IFERROR(AVERAGEIFS(Table24[Response Time],Table24[Client ID '#],"&lt;&gt;",Table24[County from ZIP Code],'G - Avg Response Time - All'!D25,Table24[Intervention Determined],"On-Site/Face-to-Face",Table24[Reason if Not Seen],"&lt;&gt;Cancelled by Caller"),"")</f>
        <v/>
      </c>
    </row>
    <row r="26" spans="2:6" x14ac:dyDescent="0.25">
      <c r="D26" t="s">
        <v>659</v>
      </c>
      <c r="E26" t="s">
        <v>888</v>
      </c>
      <c r="F26" s="4" t="str">
        <f>IFERROR(AVERAGEIFS(Table24[Response Time],Table24[Client ID '#],"&lt;&gt;",Table24[County from ZIP Code],'G - Avg Response Time - All'!D26,Table24[Intervention Determined],"On-Site/Face-to-Face",Table24[Reason if Not Seen],"&lt;&gt;Cancelled by Caller"),"")</f>
        <v/>
      </c>
    </row>
    <row r="27" spans="2:6" x14ac:dyDescent="0.25">
      <c r="D27" t="s">
        <v>824</v>
      </c>
      <c r="E27" t="s">
        <v>888</v>
      </c>
      <c r="F27" s="4" t="str">
        <f>IFERROR(AVERAGEIFS(Table24[Response Time],Table24[Client ID '#],"&lt;&gt;",Table24[County from ZIP Code],'G - Avg Response Time - All'!D27,Table24[Intervention Determined],"On-Site/Face-to-Face",Table24[Reason if Not Seen],"&lt;&gt;Cancelled by Caller"),"")</f>
        <v/>
      </c>
    </row>
    <row r="28" spans="2:6" x14ac:dyDescent="0.25">
      <c r="D28" t="s">
        <v>723</v>
      </c>
      <c r="E28" t="s">
        <v>888</v>
      </c>
      <c r="F28" s="4" t="str">
        <f>IFERROR(AVERAGEIFS(Table24[Response Time],Table24[Client ID '#],"&lt;&gt;",Table24[County from ZIP Code],'G - Avg Response Time - All'!D28,Table24[Intervention Determined],"On-Site/Face-to-Face",Table24[Reason if Not Seen],"&lt;&gt;Cancelled by Caller"),"")</f>
        <v/>
      </c>
    </row>
    <row r="29" spans="2:6" x14ac:dyDescent="0.25">
      <c r="D29" t="s">
        <v>673</v>
      </c>
      <c r="E29" t="s">
        <v>888</v>
      </c>
      <c r="F29" s="4" t="str">
        <f>IFERROR(AVERAGEIFS(Table24[Response Time],Table24[Client ID '#],"&lt;&gt;",Table24[County from ZIP Code],'G - Avg Response Time - All'!D29,Table24[Intervention Determined],"On-Site/Face-to-Face",Table24[Reason if Not Seen],"&lt;&gt;Cancelled by Caller"),"")</f>
        <v/>
      </c>
    </row>
    <row r="30" spans="2:6" x14ac:dyDescent="0.25">
      <c r="D30" t="s">
        <v>461</v>
      </c>
      <c r="E30" t="s">
        <v>888</v>
      </c>
      <c r="F30" s="4" t="str">
        <f>IFERROR(AVERAGEIFS(Table24[Response Time],Table24[Client ID '#],"&lt;&gt;",Table24[County from ZIP Code],'G - Avg Response Time - All'!D30,Table24[Intervention Determined],"On-Site/Face-to-Face",Table24[Reason if Not Seen],"&lt;&gt;Cancelled by Caller"),"")</f>
        <v/>
      </c>
    </row>
    <row r="31" spans="2:6" x14ac:dyDescent="0.25">
      <c r="D31" t="s">
        <v>610</v>
      </c>
      <c r="E31" t="s">
        <v>888</v>
      </c>
      <c r="F31" s="4" t="str">
        <f>IFERROR(AVERAGEIFS(Table24[Response Time],Table24[Client ID '#],"&lt;&gt;",Table24[County from ZIP Code],'G - Avg Response Time - All'!D31,Table24[Intervention Determined],"On-Site/Face-to-Face",Table24[Reason if Not Seen],"&lt;&gt;Cancelled by Caller"),"")</f>
        <v/>
      </c>
    </row>
    <row r="32" spans="2:6" x14ac:dyDescent="0.25">
      <c r="D32" t="s">
        <v>453</v>
      </c>
      <c r="E32" t="s">
        <v>888</v>
      </c>
      <c r="F32" s="4" t="str">
        <f>IFERROR(AVERAGEIFS(Table24[Response Time],Table24[Client ID '#],"&lt;&gt;",Table24[County from ZIP Code],'G - Avg Response Time - All'!D32,Table24[Intervention Determined],"On-Site/Face-to-Face",Table24[Reason if Not Seen],"&lt;&gt;Cancelled by Caller"),"")</f>
        <v/>
      </c>
    </row>
    <row r="33" spans="4:6" x14ac:dyDescent="0.25">
      <c r="D33" t="s">
        <v>431</v>
      </c>
      <c r="E33" t="s">
        <v>888</v>
      </c>
      <c r="F33" s="4" t="str">
        <f>IFERROR(AVERAGEIFS(Table24[Response Time],Table24[Client ID '#],"&lt;&gt;",Table24[County from ZIP Code],'G - Avg Response Time - All'!D33,Table24[Intervention Determined],"On-Site/Face-to-Face",Table24[Reason if Not Seen],"&lt;&gt;Cancelled by Caller"),"")</f>
        <v/>
      </c>
    </row>
    <row r="34" spans="4:6" x14ac:dyDescent="0.25">
      <c r="D34" t="s">
        <v>323</v>
      </c>
      <c r="E34" t="s">
        <v>888</v>
      </c>
      <c r="F34" s="4" t="str">
        <f>IFERROR(AVERAGEIFS(Table24[Response Time],Table24[Client ID '#],"&lt;&gt;",Table24[County from ZIP Code],'G - Avg Response Time - All'!D34,Table24[Intervention Determined],"On-Site/Face-to-Face",Table24[Reason if Not Seen],"&lt;&gt;Cancelled by Caller"),"")</f>
        <v/>
      </c>
    </row>
    <row r="35" spans="4:6" x14ac:dyDescent="0.25">
      <c r="D35" t="s">
        <v>365</v>
      </c>
      <c r="E35" t="s">
        <v>888</v>
      </c>
      <c r="F35" s="4" t="str">
        <f>IFERROR(AVERAGEIFS(Table24[Response Time],Table24[Client ID '#],"&lt;&gt;",Table24[County from ZIP Code],'G - Avg Response Time - All'!D35,Table24[Intervention Determined],"On-Site/Face-to-Face",Table24[Reason if Not Seen],"&lt;&gt;Cancelled by Caller"),"")</f>
        <v/>
      </c>
    </row>
    <row r="36" spans="4:6" x14ac:dyDescent="0.25">
      <c r="D36" t="s">
        <v>346</v>
      </c>
      <c r="E36" t="s">
        <v>888</v>
      </c>
      <c r="F36" s="4" t="str">
        <f>IFERROR(AVERAGEIFS(Table24[Response Time],Table24[Client ID '#],"&lt;&gt;",Table24[County from ZIP Code],'G - Avg Response Time - All'!D36,Table24[Intervention Determined],"On-Site/Face-to-Face",Table24[Reason if Not Seen],"&lt;&gt;Cancelled by Caller"),"")</f>
        <v/>
      </c>
    </row>
    <row r="37" spans="4:6" x14ac:dyDescent="0.25">
      <c r="D37" t="s">
        <v>412</v>
      </c>
      <c r="E37" t="s">
        <v>888</v>
      </c>
      <c r="F37" s="4" t="str">
        <f>IFERROR(AVERAGEIFS(Table24[Response Time],Table24[Client ID '#],"&lt;&gt;",Table24[County from ZIP Code],'G - Avg Response Time - All'!D37,Table24[Intervention Determined],"On-Site/Face-to-Face",Table24[Reason if Not Seen],"&lt;&gt;Cancelled by Caller"),"")</f>
        <v/>
      </c>
    </row>
    <row r="38" spans="4:6" x14ac:dyDescent="0.25">
      <c r="D38" t="s">
        <v>527</v>
      </c>
      <c r="E38" t="s">
        <v>888</v>
      </c>
      <c r="F38" s="4" t="str">
        <f>IFERROR(AVERAGEIFS(Table24[Response Time],Table24[Client ID '#],"&lt;&gt;",Table24[County from ZIP Code],'G - Avg Response Time - All'!D38,Table24[Intervention Determined],"On-Site/Face-to-Face",Table24[Reason if Not Seen],"&lt;&gt;Cancelled by Caller"),"")</f>
        <v/>
      </c>
    </row>
    <row r="39" spans="4:6" x14ac:dyDescent="0.25">
      <c r="D39" t="s">
        <v>416</v>
      </c>
      <c r="E39" t="s">
        <v>888</v>
      </c>
      <c r="F39" s="4" t="str">
        <f>IFERROR(AVERAGEIFS(Table24[Response Time],Table24[Client ID '#],"&lt;&gt;",Table24[County from ZIP Code],'G - Avg Response Time - All'!D39,Table24[Intervention Determined],"On-Site/Face-to-Face",Table24[Reason if Not Seen],"&lt;&gt;Cancelled by Caller"),"")</f>
        <v/>
      </c>
    </row>
    <row r="40" spans="4:6" x14ac:dyDescent="0.25">
      <c r="D40" t="s">
        <v>347</v>
      </c>
      <c r="E40" t="s">
        <v>888</v>
      </c>
      <c r="F40" s="4" t="str">
        <f>IFERROR(AVERAGEIFS(Table24[Response Time],Table24[Client ID '#],"&lt;&gt;",Table24[County from ZIP Code],'G - Avg Response Time - All'!D40,Table24[Intervention Determined],"On-Site/Face-to-Face",Table24[Reason if Not Seen],"&lt;&gt;Cancelled by Caller"),"")</f>
        <v/>
      </c>
    </row>
    <row r="41" spans="4:6" x14ac:dyDescent="0.25">
      <c r="D41" t="s">
        <v>796</v>
      </c>
      <c r="E41" t="s">
        <v>888</v>
      </c>
      <c r="F41" s="4" t="str">
        <f>IFERROR(AVERAGEIFS(Table24[Response Time],Table24[Client ID '#],"&lt;&gt;",Table24[County from ZIP Code],'G - Avg Response Time - All'!D41,Table24[Intervention Determined],"On-Site/Face-to-Face",Table24[Reason if Not Seen],"&lt;&gt;Cancelled by Caller"),"")</f>
        <v/>
      </c>
    </row>
    <row r="42" spans="4:6" x14ac:dyDescent="0.25">
      <c r="D42" t="s">
        <v>371</v>
      </c>
      <c r="E42" t="s">
        <v>888</v>
      </c>
      <c r="F42" s="4" t="str">
        <f>IFERROR(AVERAGEIFS(Table24[Response Time],Table24[Client ID '#],"&lt;&gt;",Table24[County from ZIP Code],'G - Avg Response Time - All'!D42,Table24[Intervention Determined],"On-Site/Face-to-Face",Table24[Reason if Not Seen],"&lt;&gt;Cancelled by Caller"),"")</f>
        <v/>
      </c>
    </row>
    <row r="43" spans="4:6" x14ac:dyDescent="0.25">
      <c r="D43" t="s">
        <v>664</v>
      </c>
      <c r="E43" t="s">
        <v>888</v>
      </c>
      <c r="F43" s="4" t="str">
        <f>IFERROR(AVERAGEIFS(Table24[Response Time],Table24[Client ID '#],"&lt;&gt;",Table24[County from ZIP Code],'G - Avg Response Time - All'!D43,Table24[Intervention Determined],"On-Site/Face-to-Face",Table24[Reason if Not Seen],"&lt;&gt;Cancelled by Caller"),"")</f>
        <v/>
      </c>
    </row>
    <row r="44" spans="4:6" x14ac:dyDescent="0.25">
      <c r="D44" t="s">
        <v>625</v>
      </c>
      <c r="E44" t="s">
        <v>888</v>
      </c>
      <c r="F44" s="4" t="str">
        <f>IFERROR(AVERAGEIFS(Table24[Response Time],Table24[Client ID '#],"&lt;&gt;",Table24[County from ZIP Code],'G - Avg Response Time - All'!D44,Table24[Intervention Determined],"On-Site/Face-to-Face",Table24[Reason if Not Seen],"&lt;&gt;Cancelled by Caller"),"")</f>
        <v/>
      </c>
    </row>
    <row r="45" spans="4:6" x14ac:dyDescent="0.25">
      <c r="D45" t="s">
        <v>623</v>
      </c>
      <c r="E45" t="s">
        <v>888</v>
      </c>
      <c r="F45" s="4" t="str">
        <f>IFERROR(AVERAGEIFS(Table24[Response Time],Table24[Client ID '#],"&lt;&gt;",Table24[County from ZIP Code],'G - Avg Response Time - All'!D45,Table24[Intervention Determined],"On-Site/Face-to-Face",Table24[Reason if Not Seen],"&lt;&gt;Cancelled by Caller"),"")</f>
        <v/>
      </c>
    </row>
    <row r="46" spans="4:6" x14ac:dyDescent="0.25">
      <c r="D46" t="s">
        <v>320</v>
      </c>
      <c r="E46" t="s">
        <v>888</v>
      </c>
      <c r="F46" s="4" t="str">
        <f>IFERROR(AVERAGEIFS(Table24[Response Time],Table24[Client ID '#],"&lt;&gt;",Table24[County from ZIP Code],'G - Avg Response Time - All'!D46,Table24[Intervention Determined],"On-Site/Face-to-Face",Table24[Reason if Not Seen],"&lt;&gt;Cancelled by Caller"),"")</f>
        <v/>
      </c>
    </row>
    <row r="47" spans="4:6" x14ac:dyDescent="0.25">
      <c r="D47" t="s">
        <v>497</v>
      </c>
      <c r="E47" t="s">
        <v>888</v>
      </c>
      <c r="F47" s="4" t="str">
        <f>IFERROR(AVERAGEIFS(Table24[Response Time],Table24[Client ID '#],"&lt;&gt;",Table24[County from ZIP Code],'G - Avg Response Time - All'!D47,Table24[Intervention Determined],"On-Site/Face-to-Face",Table24[Reason if Not Seen],"&lt;&gt;Cancelled by Caller"),"")</f>
        <v/>
      </c>
    </row>
    <row r="48" spans="4:6" x14ac:dyDescent="0.25">
      <c r="D48" t="s">
        <v>882</v>
      </c>
      <c r="E48" t="s">
        <v>888</v>
      </c>
      <c r="F48" s="4" t="str">
        <f>IFERROR(AVERAGEIFS(Table24[Response Time],Table24[Client ID '#],"&lt;&gt;",Table24[County from ZIP Code],'G - Avg Response Time - All'!D48,Table24[Intervention Determined],"On-Site/Face-to-Face",Table24[Reason if Not Seen],"&lt;&gt;Cancelled by Caller"),"")</f>
        <v/>
      </c>
    </row>
    <row r="49" spans="4:6" x14ac:dyDescent="0.25">
      <c r="D49" t="s">
        <v>562</v>
      </c>
      <c r="E49" t="s">
        <v>888</v>
      </c>
      <c r="F49" s="4" t="str">
        <f>IFERROR(AVERAGEIFS(Table24[Response Time],Table24[Client ID '#],"&lt;&gt;",Table24[County from ZIP Code],'G - Avg Response Time - All'!D49,Table24[Intervention Determined],"On-Site/Face-to-Face",Table24[Reason if Not Seen],"&lt;&gt;Cancelled by Caller"),"")</f>
        <v/>
      </c>
    </row>
    <row r="50" spans="4:6" x14ac:dyDescent="0.25">
      <c r="D50" t="s">
        <v>739</v>
      </c>
      <c r="E50" t="s">
        <v>888</v>
      </c>
      <c r="F50" s="4" t="str">
        <f>IFERROR(AVERAGEIFS(Table24[Response Time],Table24[Client ID '#],"&lt;&gt;",Table24[County from ZIP Code],'G - Avg Response Time - All'!D50,Table24[Intervention Determined],"On-Site/Face-to-Face",Table24[Reason if Not Seen],"&lt;&gt;Cancelled by Caller"),"")</f>
        <v/>
      </c>
    </row>
    <row r="51" spans="4:6" x14ac:dyDescent="0.25">
      <c r="D51" t="s">
        <v>650</v>
      </c>
      <c r="E51" t="s">
        <v>888</v>
      </c>
      <c r="F51" s="4" t="str">
        <f>IFERROR(AVERAGEIFS(Table24[Response Time],Table24[Client ID '#],"&lt;&gt;",Table24[County from ZIP Code],'G - Avg Response Time - All'!D51,Table24[Intervention Determined],"On-Site/Face-to-Face",Table24[Reason if Not Seen],"&lt;&gt;Cancelled by Caller"),"")</f>
        <v/>
      </c>
    </row>
    <row r="52" spans="4:6" x14ac:dyDescent="0.25">
      <c r="D52" t="s">
        <v>679</v>
      </c>
      <c r="E52" t="s">
        <v>888</v>
      </c>
      <c r="F52" s="4" t="str">
        <f>IFERROR(AVERAGEIFS(Table24[Response Time],Table24[Client ID '#],"&lt;&gt;",Table24[County from ZIP Code],'G - Avg Response Time - All'!D52,Table24[Intervention Determined],"On-Site/Face-to-Face",Table24[Reason if Not Seen],"&lt;&gt;Cancelled by Caller"),"")</f>
        <v/>
      </c>
    </row>
    <row r="53" spans="4:6" x14ac:dyDescent="0.25">
      <c r="D53" t="s">
        <v>710</v>
      </c>
      <c r="E53" t="s">
        <v>888</v>
      </c>
      <c r="F53" s="4" t="str">
        <f>IFERROR(AVERAGEIFS(Table24[Response Time],Table24[Client ID '#],"&lt;&gt;",Table24[County from ZIP Code],'G - Avg Response Time - All'!D53,Table24[Intervention Determined],"On-Site/Face-to-Face",Table24[Reason if Not Seen],"&lt;&gt;Cancelled by Caller"),"")</f>
        <v/>
      </c>
    </row>
    <row r="54" spans="4:6" x14ac:dyDescent="0.25">
      <c r="D54" t="s">
        <v>719</v>
      </c>
      <c r="E54" t="s">
        <v>888</v>
      </c>
      <c r="F54" s="4" t="str">
        <f>IFERROR(AVERAGEIFS(Table24[Response Time],Table24[Client ID '#],"&lt;&gt;",Table24[County from ZIP Code],'G - Avg Response Time - All'!D54,Table24[Intervention Determined],"On-Site/Face-to-Face",Table24[Reason if Not Seen],"&lt;&gt;Cancelled by Caller"),"")</f>
        <v/>
      </c>
    </row>
    <row r="55" spans="4:6" x14ac:dyDescent="0.25">
      <c r="D55" t="s">
        <v>316</v>
      </c>
      <c r="E55" t="s">
        <v>888</v>
      </c>
      <c r="F55" s="4" t="str">
        <f>IFERROR(AVERAGEIFS(Table24[Response Time],Table24[Client ID '#],"&lt;&gt;",Table24[County from ZIP Code],'G - Avg Response Time - All'!D55,Table24[Intervention Determined],"On-Site/Face-to-Face",Table24[Reason if Not Seen],"&lt;&gt;Cancelled by Caller"),"")</f>
        <v/>
      </c>
    </row>
    <row r="56" spans="4:6" x14ac:dyDescent="0.25">
      <c r="D56" t="s">
        <v>935</v>
      </c>
      <c r="E56" t="s">
        <v>888</v>
      </c>
      <c r="F56" s="4" t="str">
        <f>IFERROR(AVERAGEIFS(Table24[Response Time],Table24[Client ID '#],"&lt;&gt;",Table24[County from ZIP Code],'G - Avg Response Time - All'!D56,Table24[Intervention Determined],"On-Site/Face-to-Face",Table24[Reason if Not Seen],"&lt;&gt;Cancelled by Caller"),"")</f>
        <v/>
      </c>
    </row>
    <row r="57" spans="4:6" x14ac:dyDescent="0.25">
      <c r="D57" t="s">
        <v>936</v>
      </c>
      <c r="E57" t="s">
        <v>888</v>
      </c>
      <c r="F57" s="4" t="str">
        <f>IFERROR(AVERAGEIFS(Table24[Response Time],Table24[Client ID '#],"&lt;&gt;",Table24[County from ZIP Code],'G - Avg Response Time - All'!D57,Table24[Intervention Determined],"On-Site/Face-to-Face",Table24[Reason if Not Seen],"&lt;&gt;Cancelled by Caller"),"")</f>
        <v/>
      </c>
    </row>
    <row r="58" spans="4:6" x14ac:dyDescent="0.25">
      <c r="D58" t="s">
        <v>496</v>
      </c>
      <c r="E58" t="s">
        <v>888</v>
      </c>
      <c r="F58" s="4" t="str">
        <f>IFERROR(AVERAGEIFS(Table24[Response Time],Table24[Client ID '#],"&lt;&gt;",Table24[County from ZIP Code],'G - Avg Response Time - All'!D58,Table24[Intervention Determined],"On-Site/Face-to-Face",Table24[Reason if Not Seen],"&lt;&gt;Cancelled by Caller"),"")</f>
        <v/>
      </c>
    </row>
    <row r="59" spans="4:6" x14ac:dyDescent="0.25">
      <c r="D59" t="s">
        <v>805</v>
      </c>
      <c r="E59" t="s">
        <v>888</v>
      </c>
      <c r="F59" s="4" t="str">
        <f>IFERROR(AVERAGEIFS(Table24[Response Time],Table24[Client ID '#],"&lt;&gt;",Table24[County from ZIP Code],'G - Avg Response Time - All'!D59,Table24[Intervention Determined],"On-Site/Face-to-Face",Table24[Reason if Not Seen],"&lt;&gt;Cancelled by Caller"),"")</f>
        <v/>
      </c>
    </row>
    <row r="60" spans="4:6" x14ac:dyDescent="0.25">
      <c r="D60" t="s">
        <v>559</v>
      </c>
      <c r="E60" t="s">
        <v>888</v>
      </c>
      <c r="F60" s="4" t="str">
        <f>IFERROR(AVERAGEIFS(Table24[Response Time],Table24[Client ID '#],"&lt;&gt;",Table24[County from ZIP Code],'G - Avg Response Time - All'!D60,Table24[Intervention Determined],"On-Site/Face-to-Face",Table24[Reason if Not Seen],"&lt;&gt;Cancelled by Caller"),"")</f>
        <v/>
      </c>
    </row>
    <row r="61" spans="4:6" x14ac:dyDescent="0.25">
      <c r="D61" t="s">
        <v>393</v>
      </c>
      <c r="E61" t="s">
        <v>888</v>
      </c>
      <c r="F61" s="4" t="str">
        <f>IFERROR(AVERAGEIFS(Table24[Response Time],Table24[Client ID '#],"&lt;&gt;",Table24[County from ZIP Code],'G - Avg Response Time - All'!D61,Table24[Intervention Determined],"On-Site/Face-to-Face",Table24[Reason if Not Seen],"&lt;&gt;Cancelled by Caller"),"")</f>
        <v/>
      </c>
    </row>
    <row r="62" spans="4:6" x14ac:dyDescent="0.25">
      <c r="D62" t="s">
        <v>318</v>
      </c>
      <c r="E62" t="s">
        <v>888</v>
      </c>
      <c r="F62" s="4" t="str">
        <f>IFERROR(AVERAGEIFS(Table24[Response Time],Table24[Client ID '#],"&lt;&gt;",Table24[County from ZIP Code],'G - Avg Response Time - All'!D62,Table24[Intervention Determined],"On-Site/Face-to-Face",Table24[Reason if Not Seen],"&lt;&gt;Cancelled by Caller"),"")</f>
        <v/>
      </c>
    </row>
    <row r="63" spans="4:6" x14ac:dyDescent="0.25">
      <c r="D63" t="s">
        <v>437</v>
      </c>
      <c r="E63" t="s">
        <v>888</v>
      </c>
      <c r="F63" s="4" t="str">
        <f>IFERROR(AVERAGEIFS(Table24[Response Time],Table24[Client ID '#],"&lt;&gt;",Table24[County from ZIP Code],'G - Avg Response Time - All'!D63,Table24[Intervention Determined],"On-Site/Face-to-Face",Table24[Reason if Not Seen],"&lt;&gt;Cancelled by Caller"),"")</f>
        <v/>
      </c>
    </row>
    <row r="64" spans="4:6" x14ac:dyDescent="0.25">
      <c r="D64" t="s">
        <v>327</v>
      </c>
      <c r="E64" t="s">
        <v>888</v>
      </c>
      <c r="F64" s="4" t="str">
        <f>IFERROR(AVERAGEIFS(Table24[Response Time],Table24[Client ID '#],"&lt;&gt;",Table24[County from ZIP Code],'G - Avg Response Time - All'!D64,Table24[Intervention Determined],"On-Site/Face-to-Face",Table24[Reason if Not Seen],"&lt;&gt;Cancelled by Caller"),"")</f>
        <v/>
      </c>
    </row>
    <row r="65" spans="4:6" x14ac:dyDescent="0.25">
      <c r="D65" t="s">
        <v>367</v>
      </c>
      <c r="E65" t="s">
        <v>888</v>
      </c>
      <c r="F65" s="4" t="str">
        <f>IFERROR(AVERAGEIFS(Table24[Response Time],Table24[Client ID '#],"&lt;&gt;",Table24[County from ZIP Code],'G - Avg Response Time - All'!D65,Table24[Intervention Determined],"On-Site/Face-to-Face",Table24[Reason if Not Seen],"&lt;&gt;Cancelled by Caller"),"")</f>
        <v/>
      </c>
    </row>
    <row r="66" spans="4:6" x14ac:dyDescent="0.25">
      <c r="D66" t="s">
        <v>422</v>
      </c>
      <c r="E66" t="s">
        <v>888</v>
      </c>
      <c r="F66" s="4" t="str">
        <f>IFERROR(AVERAGEIFS(Table24[Response Time],Table24[Client ID '#],"&lt;&gt;",Table24[County from ZIP Code],'G - Avg Response Time - All'!D66,Table24[Intervention Determined],"On-Site/Face-to-Face",Table24[Reason if Not Seen],"&lt;&gt;Cancelled by Caller"),"")</f>
        <v/>
      </c>
    </row>
    <row r="67" spans="4:6" x14ac:dyDescent="0.25">
      <c r="D67" t="s">
        <v>457</v>
      </c>
      <c r="E67" t="s">
        <v>888</v>
      </c>
      <c r="F67" s="4" t="str">
        <f>IFERROR(AVERAGEIFS(Table24[Response Time],Table24[Client ID '#],"&lt;&gt;",Table24[County from ZIP Code],'G - Avg Response Time - All'!D67,Table24[Intervention Determined],"On-Site/Face-to-Face",Table24[Reason if Not Seen],"&lt;&gt;Cancelled by Caller"),"")</f>
        <v/>
      </c>
    </row>
    <row r="68" spans="4:6" x14ac:dyDescent="0.25">
      <c r="D68" t="s">
        <v>464</v>
      </c>
      <c r="E68" t="s">
        <v>888</v>
      </c>
      <c r="F68" s="4" t="str">
        <f>IFERROR(AVERAGEIFS(Table24[Response Time],Table24[Client ID '#],"&lt;&gt;",Table24[County from ZIP Code],'G - Avg Response Time - All'!D68,Table24[Intervention Determined],"On-Site/Face-to-Face",Table24[Reason if Not Seen],"&lt;&gt;Cancelled by Caller"),"")</f>
        <v/>
      </c>
    </row>
  </sheetData>
  <hyperlinks>
    <hyperlink ref="B20" location="'Field Definitions'!A1" display="Return to Field Definition tab." xr:uid="{F7E42B00-5805-435D-B657-E6DDBC80C4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7388F-C957-461D-9750-DDD74C7103D1}">
  <dimension ref="A1:F9"/>
  <sheetViews>
    <sheetView workbookViewId="0">
      <selection activeCell="A2" sqref="A2"/>
    </sheetView>
  </sheetViews>
  <sheetFormatPr defaultRowHeight="15" x14ac:dyDescent="0.25"/>
  <cols>
    <col min="1" max="1" width="13.140625" bestFit="1" customWidth="1"/>
    <col min="2" max="2" width="18.28515625" bestFit="1" customWidth="1"/>
  </cols>
  <sheetData>
    <row r="1" spans="1:6" x14ac:dyDescent="0.25">
      <c r="A1" s="53" t="s">
        <v>251</v>
      </c>
      <c r="B1" t="s">
        <v>289</v>
      </c>
      <c r="F1" t="s">
        <v>893</v>
      </c>
    </row>
    <row r="2" spans="1:6" x14ac:dyDescent="0.25">
      <c r="A2" s="62" t="s">
        <v>288</v>
      </c>
      <c r="B2" s="52"/>
      <c r="F2" t="s">
        <v>900</v>
      </c>
    </row>
    <row r="3" spans="1:6" x14ac:dyDescent="0.25">
      <c r="A3" s="62" t="s">
        <v>252</v>
      </c>
      <c r="B3" s="52"/>
    </row>
    <row r="9" spans="1:6" x14ac:dyDescent="0.25">
      <c r="F9" s="36" t="s">
        <v>899</v>
      </c>
    </row>
  </sheetData>
  <hyperlinks>
    <hyperlink ref="F9" location="'Field Definitions'!A1" display="Return to Field Definition tab." xr:uid="{A86E151E-1A98-4D2F-8991-254A7FB9D414}"/>
  </hyperlinks>
  <pageMargins left="0.7" right="0.7" top="0.75" bottom="0.75" header="0.3" footer="0.3"/>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DCD61B-53B3-4295-9428-39CF5AF13294}">
  <dimension ref="A1:F25"/>
  <sheetViews>
    <sheetView workbookViewId="0">
      <selection activeCell="E11" sqref="E11"/>
    </sheetView>
  </sheetViews>
  <sheetFormatPr defaultRowHeight="15" x14ac:dyDescent="0.25"/>
  <cols>
    <col min="1" max="2" width="18.28515625" bestFit="1" customWidth="1"/>
    <col min="3" max="3" width="22" bestFit="1" customWidth="1"/>
    <col min="5" max="5" width="13.140625" bestFit="1" customWidth="1"/>
    <col min="6" max="6" width="17.85546875" bestFit="1" customWidth="1"/>
    <col min="7" max="7" width="9.85546875" bestFit="1" customWidth="1"/>
    <col min="8" max="8" width="6.85546875" bestFit="1" customWidth="1"/>
    <col min="9" max="9" width="9.85546875" bestFit="1" customWidth="1"/>
    <col min="10" max="10" width="6.85546875" bestFit="1" customWidth="1"/>
    <col min="11" max="11" width="4" bestFit="1" customWidth="1"/>
    <col min="12" max="12" width="4.42578125" bestFit="1" customWidth="1"/>
    <col min="13" max="13" width="9.85546875" bestFit="1" customWidth="1"/>
  </cols>
  <sheetData>
    <row r="1" spans="1:6" x14ac:dyDescent="0.25">
      <c r="A1" t="s">
        <v>17</v>
      </c>
      <c r="B1" t="s">
        <v>281</v>
      </c>
      <c r="C1" t="s">
        <v>894</v>
      </c>
      <c r="E1" s="53" t="s">
        <v>19</v>
      </c>
      <c r="F1" t="s">
        <v>910</v>
      </c>
    </row>
    <row r="2" spans="1:6" x14ac:dyDescent="0.25">
      <c r="A2" t="s">
        <v>73</v>
      </c>
      <c r="B2">
        <f>COUNTIFS(Table24[Client ID '#],"&lt;&gt;",Table24[Source of Inital Call],'G - Call Source'!A2)</f>
        <v>0</v>
      </c>
      <c r="C2">
        <f>COUNTIFS(Table24[Client ID '#],"&lt;&gt;",Table24[Source of Inital Call],'G - Call Source'!A2,Table24[Admission to CSU?],"Yes")</f>
        <v>0</v>
      </c>
    </row>
    <row r="3" spans="1:6" x14ac:dyDescent="0.25">
      <c r="A3" t="s">
        <v>84</v>
      </c>
      <c r="B3">
        <f>COUNTIFS(Table24[Client ID '#],"&lt;&gt;",Table24[Source of Inital Call],'G - Call Source'!A3)</f>
        <v>0</v>
      </c>
      <c r="C3">
        <f>COUNTIFS(Table24[Client ID '#],"&lt;&gt;",Table24[Source of Inital Call],'G - Call Source'!A3,Table24[Admission to CSU?],"Yes")</f>
        <v>0</v>
      </c>
      <c r="E3" s="53" t="s">
        <v>281</v>
      </c>
      <c r="F3" s="53" t="s">
        <v>909</v>
      </c>
    </row>
    <row r="4" spans="1:6" x14ac:dyDescent="0.25">
      <c r="A4" t="s">
        <v>85</v>
      </c>
      <c r="B4">
        <f>COUNTIFS(Table24[Client ID '#],"&lt;&gt;",Table24[Source of Inital Call],'G - Call Source'!A4)</f>
        <v>0</v>
      </c>
      <c r="C4">
        <f>COUNTIFS(Table24[Client ID '#],"&lt;&gt;",Table24[Source of Inital Call],'G - Call Source'!A4,Table24[Admission to CSU?],"Yes")</f>
        <v>0</v>
      </c>
    </row>
    <row r="5" spans="1:6" x14ac:dyDescent="0.25">
      <c r="A5" t="s">
        <v>60</v>
      </c>
      <c r="B5">
        <f>COUNTIFS(Table24[Client ID '#],"&lt;&gt;",Table24[Source of Inital Call],'G - Call Source'!A5)</f>
        <v>0</v>
      </c>
      <c r="C5">
        <f>COUNTIFS(Table24[Client ID '#],"&lt;&gt;",Table24[Source of Inital Call],'G - Call Source'!A5,Table24[Admission to CSU?],"Yes")</f>
        <v>0</v>
      </c>
      <c r="E5" s="53" t="s">
        <v>251</v>
      </c>
    </row>
    <row r="6" spans="1:6" x14ac:dyDescent="0.25">
      <c r="E6" s="62" t="s">
        <v>252</v>
      </c>
    </row>
    <row r="21" spans="1:1" x14ac:dyDescent="0.25">
      <c r="A21" s="36" t="s">
        <v>899</v>
      </c>
    </row>
    <row r="24" spans="1:1" x14ac:dyDescent="0.25">
      <c r="A24" t="s">
        <v>893</v>
      </c>
    </row>
    <row r="25" spans="1:1" x14ac:dyDescent="0.25">
      <c r="A25" t="s">
        <v>900</v>
      </c>
    </row>
  </sheetData>
  <hyperlinks>
    <hyperlink ref="A21" location="'Field Definitions'!A1" display="Return to Field Definition tab." xr:uid="{2B85D095-DF20-45F7-952B-FC72A7AB9B1D}"/>
  </hyperlinks>
  <pageMargins left="0.7" right="0.7" top="0.75" bottom="0.75" header="0.3" footer="0.3"/>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0C2C6-F301-452D-B2F1-EF6E015D1294}">
  <dimension ref="A1:C20"/>
  <sheetViews>
    <sheetView workbookViewId="0">
      <selection activeCell="D11" sqref="D11"/>
    </sheetView>
  </sheetViews>
  <sheetFormatPr defaultRowHeight="15" x14ac:dyDescent="0.25"/>
  <cols>
    <col min="1" max="1" width="20.140625" bestFit="1" customWidth="1"/>
    <col min="3" max="3" width="15.85546875" bestFit="1" customWidth="1"/>
  </cols>
  <sheetData>
    <row r="1" spans="1:3" x14ac:dyDescent="0.25">
      <c r="A1" t="s">
        <v>895</v>
      </c>
      <c r="B1" t="s">
        <v>281</v>
      </c>
      <c r="C1" t="s">
        <v>898</v>
      </c>
    </row>
    <row r="2" spans="1:3" x14ac:dyDescent="0.25">
      <c r="A2" t="s">
        <v>74</v>
      </c>
      <c r="B2">
        <f>COUNTIFS(Table24[Client ID '#],"&lt;&gt;",Table24[Intervention Determined],'G - Intervention Determined'!A2)</f>
        <v>0</v>
      </c>
      <c r="C2">
        <f>COUNTIFS(Table24[Client ID '#],"&lt;&gt;",Table24[Intervention Determined],'G - Intervention Determined'!A2,Table24[Under 18],"Yes")</f>
        <v>0</v>
      </c>
    </row>
    <row r="3" spans="1:3" x14ac:dyDescent="0.25">
      <c r="A3" t="s">
        <v>86</v>
      </c>
      <c r="B3">
        <f>COUNTIFS(Table24[Client ID '#],"&lt;&gt;",Table24[Intervention Determined],'G - Intervention Determined'!A3)</f>
        <v>0</v>
      </c>
      <c r="C3">
        <f>COUNTIFS(Table24[Client ID '#],"&lt;&gt;",Table24[Intervention Determined],'G - Intervention Determined'!A3,Table24[Under 18],"Yes")</f>
        <v>0</v>
      </c>
    </row>
    <row r="4" spans="1:3" x14ac:dyDescent="0.25">
      <c r="A4" t="s">
        <v>87</v>
      </c>
      <c r="B4">
        <f>COUNTIFS(Table24[Client ID '#],"&lt;&gt;",Table24[Intervention Determined],'G - Intervention Determined'!A4)</f>
        <v>0</v>
      </c>
      <c r="C4">
        <f>COUNTIFS(Table24[Client ID '#],"&lt;&gt;",Table24[Intervention Determined],'G - Intervention Determined'!A4,Table24[Under 18],"Yes")</f>
        <v>0</v>
      </c>
    </row>
    <row r="5" spans="1:3" x14ac:dyDescent="0.25">
      <c r="A5" t="s">
        <v>88</v>
      </c>
      <c r="B5">
        <f>COUNTIFS(Table24[Client ID '#],"&lt;&gt;",Table24[Intervention Determined],'G - Intervention Determined'!A5)</f>
        <v>0</v>
      </c>
      <c r="C5">
        <f>COUNTIFS(Table24[Client ID '#],"&lt;&gt;",Table24[Intervention Determined],'G - Intervention Determined'!A5,Table24[Under 18],"Yes")</f>
        <v>0</v>
      </c>
    </row>
    <row r="20" spans="1:1" x14ac:dyDescent="0.25">
      <c r="A20" s="36" t="s">
        <v>899</v>
      </c>
    </row>
  </sheetData>
  <hyperlinks>
    <hyperlink ref="A20" location="'Field Definitions'!A1" display="Return to Field Definition tab." xr:uid="{65C102EB-48BD-4261-80E2-F029BBD1B4CB}"/>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64108-5A03-4730-AC9A-D060C9826D00}">
  <dimension ref="A1:E95"/>
  <sheetViews>
    <sheetView zoomScale="90" zoomScaleNormal="90" workbookViewId="0">
      <pane ySplit="1" topLeftCell="A74" activePane="bottomLeft" state="frozen"/>
      <selection pane="bottomLeft" activeCell="A91" sqref="A91"/>
    </sheetView>
  </sheetViews>
  <sheetFormatPr defaultRowHeight="15" x14ac:dyDescent="0.25"/>
  <cols>
    <col min="1" max="1" width="26.28515625" bestFit="1" customWidth="1"/>
    <col min="2" max="2" width="53.5703125" style="6" customWidth="1"/>
    <col min="3" max="3" width="114.7109375" customWidth="1"/>
    <col min="4" max="4" width="12.7109375" bestFit="1" customWidth="1"/>
    <col min="5" max="5" width="24.5703125" bestFit="1" customWidth="1"/>
  </cols>
  <sheetData>
    <row r="1" spans="1:5" x14ac:dyDescent="0.25">
      <c r="A1" t="s">
        <v>160</v>
      </c>
      <c r="B1" s="6" t="s">
        <v>159</v>
      </c>
      <c r="C1" t="s">
        <v>158</v>
      </c>
      <c r="D1" t="s">
        <v>157</v>
      </c>
      <c r="E1" t="s">
        <v>156</v>
      </c>
    </row>
    <row r="2" spans="1:5" x14ac:dyDescent="0.25">
      <c r="A2" s="58" t="s">
        <v>231</v>
      </c>
      <c r="B2" s="58" t="s">
        <v>92</v>
      </c>
      <c r="C2" t="s">
        <v>233</v>
      </c>
      <c r="D2" t="s">
        <v>235</v>
      </c>
      <c r="E2" t="s">
        <v>55</v>
      </c>
    </row>
    <row r="3" spans="1:5" x14ac:dyDescent="0.25">
      <c r="A3" s="58" t="s">
        <v>231</v>
      </c>
      <c r="B3" s="58" t="s">
        <v>232</v>
      </c>
      <c r="C3" t="s">
        <v>234</v>
      </c>
      <c r="D3" t="s">
        <v>236</v>
      </c>
      <c r="E3" t="s">
        <v>237</v>
      </c>
    </row>
    <row r="4" spans="1:5" ht="30" x14ac:dyDescent="0.25">
      <c r="A4" s="58" t="s">
        <v>36</v>
      </c>
      <c r="B4" s="58" t="s">
        <v>29</v>
      </c>
      <c r="C4" s="6" t="s">
        <v>155</v>
      </c>
      <c r="D4" t="s">
        <v>154</v>
      </c>
      <c r="E4" t="s">
        <v>140</v>
      </c>
    </row>
    <row r="5" spans="1:5" x14ac:dyDescent="0.25">
      <c r="A5" s="58" t="s">
        <v>36</v>
      </c>
      <c r="B5" s="58" t="s">
        <v>28</v>
      </c>
      <c r="C5" t="s">
        <v>153</v>
      </c>
      <c r="D5" t="s">
        <v>38</v>
      </c>
      <c r="E5" t="s">
        <v>140</v>
      </c>
    </row>
    <row r="6" spans="1:5" x14ac:dyDescent="0.25">
      <c r="A6" s="58" t="s">
        <v>36</v>
      </c>
      <c r="B6" s="58" t="s">
        <v>27</v>
      </c>
      <c r="C6" t="s">
        <v>152</v>
      </c>
      <c r="D6" t="s">
        <v>38</v>
      </c>
      <c r="E6" t="s">
        <v>140</v>
      </c>
    </row>
    <row r="7" spans="1:5" x14ac:dyDescent="0.25">
      <c r="A7" s="58" t="s">
        <v>36</v>
      </c>
      <c r="B7" s="58" t="s">
        <v>26</v>
      </c>
      <c r="C7" t="s">
        <v>151</v>
      </c>
      <c r="D7" t="s">
        <v>39</v>
      </c>
      <c r="E7" t="s">
        <v>140</v>
      </c>
    </row>
    <row r="8" spans="1:5" x14ac:dyDescent="0.25">
      <c r="A8" s="58" t="s">
        <v>36</v>
      </c>
      <c r="B8" s="58" t="s">
        <v>30</v>
      </c>
      <c r="C8" t="s">
        <v>228</v>
      </c>
      <c r="D8" t="s">
        <v>40</v>
      </c>
      <c r="E8" t="s">
        <v>150</v>
      </c>
    </row>
    <row r="9" spans="1:5" x14ac:dyDescent="0.25">
      <c r="A9" s="58" t="s">
        <v>36</v>
      </c>
      <c r="B9" s="58" t="s">
        <v>34</v>
      </c>
      <c r="C9" t="s">
        <v>230</v>
      </c>
      <c r="D9" t="s">
        <v>41</v>
      </c>
      <c r="E9" t="s">
        <v>149</v>
      </c>
    </row>
    <row r="10" spans="1:5" x14ac:dyDescent="0.25">
      <c r="A10" s="58" t="s">
        <v>36</v>
      </c>
      <c r="B10" s="58" t="s">
        <v>33</v>
      </c>
      <c r="C10" t="s">
        <v>229</v>
      </c>
      <c r="D10" t="s">
        <v>42</v>
      </c>
      <c r="E10" t="s">
        <v>149</v>
      </c>
    </row>
    <row r="11" spans="1:5" x14ac:dyDescent="0.25">
      <c r="A11" s="58" t="s">
        <v>36</v>
      </c>
      <c r="B11" s="58" t="s">
        <v>24</v>
      </c>
      <c r="C11" t="s">
        <v>148</v>
      </c>
      <c r="D11" t="s">
        <v>43</v>
      </c>
      <c r="E11" t="s">
        <v>140</v>
      </c>
    </row>
    <row r="12" spans="1:5" x14ac:dyDescent="0.25">
      <c r="A12" s="58" t="s">
        <v>36</v>
      </c>
      <c r="B12" s="58" t="s">
        <v>23</v>
      </c>
      <c r="C12" t="s">
        <v>147</v>
      </c>
      <c r="D12" t="s">
        <v>44</v>
      </c>
      <c r="E12" t="s">
        <v>140</v>
      </c>
    </row>
    <row r="13" spans="1:5" x14ac:dyDescent="0.25">
      <c r="A13" s="58" t="s">
        <v>36</v>
      </c>
      <c r="B13" s="58" t="s">
        <v>22</v>
      </c>
      <c r="C13" t="s">
        <v>146</v>
      </c>
      <c r="D13" t="s">
        <v>45</v>
      </c>
      <c r="E13" t="s">
        <v>140</v>
      </c>
    </row>
    <row r="14" spans="1:5" x14ac:dyDescent="0.25">
      <c r="A14" s="58" t="s">
        <v>36</v>
      </c>
      <c r="B14" s="58" t="s">
        <v>21</v>
      </c>
      <c r="C14" t="s">
        <v>145</v>
      </c>
      <c r="D14" t="s">
        <v>46</v>
      </c>
      <c r="E14" t="s">
        <v>140</v>
      </c>
    </row>
    <row r="15" spans="1:5" x14ac:dyDescent="0.25">
      <c r="A15" s="58" t="s">
        <v>36</v>
      </c>
      <c r="B15" s="58" t="s">
        <v>20</v>
      </c>
      <c r="C15" t="s">
        <v>144</v>
      </c>
      <c r="D15" t="s">
        <v>38</v>
      </c>
      <c r="E15" t="s">
        <v>140</v>
      </c>
    </row>
    <row r="16" spans="1:5" x14ac:dyDescent="0.25">
      <c r="A16" s="58" t="s">
        <v>36</v>
      </c>
      <c r="B16" s="58" t="s">
        <v>19</v>
      </c>
      <c r="C16" t="s">
        <v>143</v>
      </c>
      <c r="D16" t="s">
        <v>39</v>
      </c>
      <c r="E16" t="s">
        <v>55</v>
      </c>
    </row>
    <row r="17" spans="1:5" x14ac:dyDescent="0.25">
      <c r="A17" s="58" t="s">
        <v>36</v>
      </c>
      <c r="B17" s="58" t="s">
        <v>18</v>
      </c>
      <c r="C17" t="s">
        <v>142</v>
      </c>
      <c r="D17" t="s">
        <v>47</v>
      </c>
      <c r="E17" t="s">
        <v>55</v>
      </c>
    </row>
    <row r="18" spans="1:5" x14ac:dyDescent="0.25">
      <c r="A18" s="58" t="s">
        <v>36</v>
      </c>
      <c r="B18" s="58" t="s">
        <v>17</v>
      </c>
      <c r="C18" t="s">
        <v>141</v>
      </c>
      <c r="D18" t="s">
        <v>48</v>
      </c>
      <c r="E18" t="s">
        <v>140</v>
      </c>
    </row>
    <row r="19" spans="1:5" x14ac:dyDescent="0.25">
      <c r="A19" s="58" t="s">
        <v>36</v>
      </c>
      <c r="B19" s="58" t="s">
        <v>197</v>
      </c>
      <c r="C19" t="s">
        <v>240</v>
      </c>
      <c r="D19" t="s">
        <v>38</v>
      </c>
      <c r="E19" t="s">
        <v>241</v>
      </c>
    </row>
    <row r="20" spans="1:5" x14ac:dyDescent="0.25">
      <c r="A20" s="58" t="s">
        <v>36</v>
      </c>
      <c r="B20" s="58" t="s">
        <v>16</v>
      </c>
      <c r="C20" t="s">
        <v>139</v>
      </c>
      <c r="D20" t="s">
        <v>49</v>
      </c>
      <c r="E20" t="s">
        <v>55</v>
      </c>
    </row>
    <row r="21" spans="1:5" x14ac:dyDescent="0.25">
      <c r="A21" s="58" t="s">
        <v>36</v>
      </c>
      <c r="B21" s="58" t="s">
        <v>15</v>
      </c>
      <c r="C21" t="s">
        <v>138</v>
      </c>
      <c r="D21" t="s">
        <v>47</v>
      </c>
      <c r="E21" t="s">
        <v>137</v>
      </c>
    </row>
    <row r="22" spans="1:5" x14ac:dyDescent="0.25">
      <c r="A22" s="58" t="s">
        <v>36</v>
      </c>
      <c r="B22" s="58" t="s">
        <v>14</v>
      </c>
      <c r="C22" t="s">
        <v>136</v>
      </c>
      <c r="D22" t="s">
        <v>38</v>
      </c>
      <c r="E22" t="s">
        <v>135</v>
      </c>
    </row>
    <row r="23" spans="1:5" x14ac:dyDescent="0.25">
      <c r="A23" s="58" t="s">
        <v>36</v>
      </c>
      <c r="B23" s="58" t="s">
        <v>12</v>
      </c>
      <c r="C23" t="s">
        <v>134</v>
      </c>
      <c r="D23" t="s">
        <v>50</v>
      </c>
      <c r="E23" t="s">
        <v>133</v>
      </c>
    </row>
    <row r="24" spans="1:5" x14ac:dyDescent="0.25">
      <c r="A24" s="58" t="s">
        <v>36</v>
      </c>
      <c r="B24" s="58" t="s">
        <v>11</v>
      </c>
      <c r="C24" t="s">
        <v>132</v>
      </c>
      <c r="D24" t="s">
        <v>51</v>
      </c>
      <c r="E24" t="s">
        <v>130</v>
      </c>
    </row>
    <row r="25" spans="1:5" x14ac:dyDescent="0.25">
      <c r="A25" s="58" t="s">
        <v>36</v>
      </c>
      <c r="B25" s="58" t="s">
        <v>10</v>
      </c>
      <c r="C25" t="s">
        <v>131</v>
      </c>
      <c r="D25" t="s">
        <v>38</v>
      </c>
      <c r="E25" t="s">
        <v>130</v>
      </c>
    </row>
    <row r="26" spans="1:5" x14ac:dyDescent="0.25">
      <c r="A26" s="58" t="s">
        <v>36</v>
      </c>
      <c r="B26" s="58" t="s">
        <v>9</v>
      </c>
      <c r="C26" t="s">
        <v>129</v>
      </c>
      <c r="D26" t="s">
        <v>52</v>
      </c>
      <c r="E26" t="s">
        <v>55</v>
      </c>
    </row>
    <row r="27" spans="1:5" x14ac:dyDescent="0.25">
      <c r="A27" s="58" t="s">
        <v>36</v>
      </c>
      <c r="B27" s="58" t="s">
        <v>8</v>
      </c>
      <c r="C27" t="s">
        <v>128</v>
      </c>
      <c r="D27" t="s">
        <v>53</v>
      </c>
      <c r="E27" t="s">
        <v>55</v>
      </c>
    </row>
    <row r="28" spans="1:5" x14ac:dyDescent="0.25">
      <c r="A28" s="58" t="s">
        <v>36</v>
      </c>
      <c r="B28" s="58" t="s">
        <v>7</v>
      </c>
      <c r="C28" t="s">
        <v>127</v>
      </c>
      <c r="D28" t="s">
        <v>38</v>
      </c>
      <c r="E28" t="s">
        <v>118</v>
      </c>
    </row>
    <row r="29" spans="1:5" x14ac:dyDescent="0.25">
      <c r="A29" s="58" t="s">
        <v>36</v>
      </c>
      <c r="B29" s="58" t="s">
        <v>6</v>
      </c>
      <c r="C29" t="s">
        <v>126</v>
      </c>
      <c r="D29" t="s">
        <v>38</v>
      </c>
      <c r="E29" t="s">
        <v>118</v>
      </c>
    </row>
    <row r="30" spans="1:5" x14ac:dyDescent="0.25">
      <c r="A30" s="58" t="s">
        <v>36</v>
      </c>
      <c r="B30" s="58" t="s">
        <v>5</v>
      </c>
      <c r="C30" t="s">
        <v>125</v>
      </c>
      <c r="D30" t="s">
        <v>41</v>
      </c>
      <c r="E30" t="s">
        <v>118</v>
      </c>
    </row>
    <row r="31" spans="1:5" x14ac:dyDescent="0.25">
      <c r="A31" s="58" t="s">
        <v>36</v>
      </c>
      <c r="B31" s="58" t="s">
        <v>31</v>
      </c>
      <c r="C31" t="s">
        <v>124</v>
      </c>
      <c r="D31" t="s">
        <v>41</v>
      </c>
      <c r="E31" t="s">
        <v>118</v>
      </c>
    </row>
    <row r="32" spans="1:5" x14ac:dyDescent="0.25">
      <c r="A32" s="58" t="s">
        <v>36</v>
      </c>
      <c r="B32" s="58" t="s">
        <v>4</v>
      </c>
      <c r="C32" t="s">
        <v>123</v>
      </c>
      <c r="D32" t="s">
        <v>41</v>
      </c>
      <c r="E32" t="s">
        <v>118</v>
      </c>
    </row>
    <row r="33" spans="1:5" x14ac:dyDescent="0.25">
      <c r="A33" s="58" t="s">
        <v>36</v>
      </c>
      <c r="B33" s="58" t="s">
        <v>3</v>
      </c>
      <c r="C33" t="s">
        <v>122</v>
      </c>
      <c r="D33" t="s">
        <v>41</v>
      </c>
      <c r="E33" t="s">
        <v>118</v>
      </c>
    </row>
    <row r="34" spans="1:5" x14ac:dyDescent="0.25">
      <c r="A34" s="58" t="s">
        <v>36</v>
      </c>
      <c r="B34" s="58" t="s">
        <v>2</v>
      </c>
      <c r="C34" t="s">
        <v>121</v>
      </c>
      <c r="D34" t="s">
        <v>41</v>
      </c>
      <c r="E34" t="s">
        <v>118</v>
      </c>
    </row>
    <row r="35" spans="1:5" x14ac:dyDescent="0.25">
      <c r="A35" s="58" t="s">
        <v>36</v>
      </c>
      <c r="B35" s="58" t="s">
        <v>1</v>
      </c>
      <c r="C35" t="s">
        <v>120</v>
      </c>
      <c r="D35" t="s">
        <v>38</v>
      </c>
      <c r="E35" t="s">
        <v>118</v>
      </c>
    </row>
    <row r="36" spans="1:5" x14ac:dyDescent="0.25">
      <c r="A36" s="58" t="s">
        <v>36</v>
      </c>
      <c r="B36" s="58" t="s">
        <v>0</v>
      </c>
      <c r="C36" t="s">
        <v>119</v>
      </c>
      <c r="D36" t="s">
        <v>39</v>
      </c>
      <c r="E36" t="s">
        <v>118</v>
      </c>
    </row>
    <row r="37" spans="1:5" x14ac:dyDescent="0.25">
      <c r="A37" s="58" t="s">
        <v>36</v>
      </c>
      <c r="B37" s="60" t="s">
        <v>905</v>
      </c>
      <c r="C37" t="s">
        <v>906</v>
      </c>
      <c r="D37" t="s">
        <v>907</v>
      </c>
      <c r="E37" t="s">
        <v>908</v>
      </c>
    </row>
    <row r="38" spans="1:5" ht="30" x14ac:dyDescent="0.25">
      <c r="A38" s="58" t="s">
        <v>36</v>
      </c>
      <c r="B38" s="58" t="s">
        <v>244</v>
      </c>
      <c r="C38" s="6" t="s">
        <v>247</v>
      </c>
      <c r="D38" t="s">
        <v>54</v>
      </c>
      <c r="E38" t="s">
        <v>54</v>
      </c>
    </row>
    <row r="39" spans="1:5" x14ac:dyDescent="0.25">
      <c r="A39" s="58" t="s">
        <v>36</v>
      </c>
      <c r="B39" s="58" t="s">
        <v>32</v>
      </c>
      <c r="C39" t="s">
        <v>117</v>
      </c>
      <c r="D39" t="s">
        <v>54</v>
      </c>
      <c r="E39" t="s">
        <v>54</v>
      </c>
    </row>
    <row r="40" spans="1:5" x14ac:dyDescent="0.25">
      <c r="A40" s="58" t="s">
        <v>36</v>
      </c>
      <c r="B40" s="58" t="s">
        <v>35</v>
      </c>
      <c r="C40" t="s">
        <v>116</v>
      </c>
      <c r="D40" t="s">
        <v>54</v>
      </c>
      <c r="E40" t="s">
        <v>54</v>
      </c>
    </row>
    <row r="41" spans="1:5" x14ac:dyDescent="0.25">
      <c r="A41" s="58" t="s">
        <v>36</v>
      </c>
      <c r="B41" s="58" t="s">
        <v>13</v>
      </c>
      <c r="C41" t="s">
        <v>115</v>
      </c>
      <c r="D41" t="s">
        <v>54</v>
      </c>
      <c r="E41" t="s">
        <v>54</v>
      </c>
    </row>
    <row r="42" spans="1:5" x14ac:dyDescent="0.25">
      <c r="A42" s="58" t="s">
        <v>36</v>
      </c>
      <c r="B42" s="58" t="s">
        <v>114</v>
      </c>
      <c r="C42" t="s">
        <v>242</v>
      </c>
      <c r="D42" t="s">
        <v>54</v>
      </c>
      <c r="E42" t="s">
        <v>54</v>
      </c>
    </row>
    <row r="43" spans="1:5" x14ac:dyDescent="0.25">
      <c r="A43" s="58" t="s">
        <v>36</v>
      </c>
      <c r="B43" s="58" t="s">
        <v>195</v>
      </c>
      <c r="C43" t="s">
        <v>243</v>
      </c>
      <c r="D43" t="s">
        <v>54</v>
      </c>
      <c r="E43" t="s">
        <v>54</v>
      </c>
    </row>
    <row r="44" spans="1:5" x14ac:dyDescent="0.25">
      <c r="A44" s="58" t="s">
        <v>36</v>
      </c>
      <c r="B44" s="58" t="s">
        <v>294</v>
      </c>
      <c r="C44" t="s">
        <v>890</v>
      </c>
      <c r="D44" t="s">
        <v>54</v>
      </c>
      <c r="E44" t="s">
        <v>54</v>
      </c>
    </row>
    <row r="45" spans="1:5" x14ac:dyDescent="0.25">
      <c r="A45" s="58" t="s">
        <v>36</v>
      </c>
      <c r="B45" s="58" t="s">
        <v>295</v>
      </c>
      <c r="C45" t="s">
        <v>891</v>
      </c>
      <c r="D45" t="s">
        <v>54</v>
      </c>
      <c r="E45" t="s">
        <v>54</v>
      </c>
    </row>
    <row r="46" spans="1:5" x14ac:dyDescent="0.25">
      <c r="A46" s="58" t="s">
        <v>36</v>
      </c>
      <c r="B46" s="58" t="s">
        <v>889</v>
      </c>
      <c r="C46" t="s">
        <v>892</v>
      </c>
      <c r="D46" t="s">
        <v>54</v>
      </c>
      <c r="E46" t="s">
        <v>54</v>
      </c>
    </row>
    <row r="47" spans="1:5" x14ac:dyDescent="0.25">
      <c r="A47" s="58" t="s">
        <v>198</v>
      </c>
      <c r="B47" s="58" t="s">
        <v>165</v>
      </c>
      <c r="C47" t="s">
        <v>199</v>
      </c>
      <c r="D47" t="s">
        <v>38</v>
      </c>
    </row>
    <row r="48" spans="1:5" x14ac:dyDescent="0.25">
      <c r="A48" s="58" t="s">
        <v>198</v>
      </c>
      <c r="B48" s="58" t="s">
        <v>164</v>
      </c>
      <c r="C48" t="s">
        <v>200</v>
      </c>
      <c r="D48" t="s">
        <v>204</v>
      </c>
    </row>
    <row r="49" spans="1:5" x14ac:dyDescent="0.25">
      <c r="A49" s="58" t="s">
        <v>198</v>
      </c>
      <c r="B49" s="58" t="s">
        <v>163</v>
      </c>
      <c r="C49" t="s">
        <v>201</v>
      </c>
      <c r="D49" t="s">
        <v>38</v>
      </c>
    </row>
    <row r="50" spans="1:5" x14ac:dyDescent="0.25">
      <c r="A50" s="58" t="s">
        <v>198</v>
      </c>
      <c r="B50" s="58" t="s">
        <v>162</v>
      </c>
      <c r="C50" t="s">
        <v>202</v>
      </c>
      <c r="D50" t="s">
        <v>38</v>
      </c>
    </row>
    <row r="51" spans="1:5" x14ac:dyDescent="0.25">
      <c r="A51" s="58" t="s">
        <v>198</v>
      </c>
      <c r="B51" s="58" t="s">
        <v>161</v>
      </c>
      <c r="C51" t="s">
        <v>203</v>
      </c>
      <c r="D51" t="s">
        <v>39</v>
      </c>
    </row>
    <row r="52" spans="1:5" ht="30" x14ac:dyDescent="0.25">
      <c r="A52" s="58" t="s">
        <v>198</v>
      </c>
      <c r="B52" s="59" t="s">
        <v>244</v>
      </c>
      <c r="C52" s="6" t="s">
        <v>247</v>
      </c>
      <c r="D52" t="s">
        <v>54</v>
      </c>
      <c r="E52" t="s">
        <v>54</v>
      </c>
    </row>
    <row r="53" spans="1:5" x14ac:dyDescent="0.25">
      <c r="A53" s="58" t="s">
        <v>198</v>
      </c>
      <c r="B53" s="58" t="s">
        <v>32</v>
      </c>
      <c r="C53" t="s">
        <v>117</v>
      </c>
      <c r="D53" t="s">
        <v>54</v>
      </c>
      <c r="E53" t="s">
        <v>54</v>
      </c>
    </row>
    <row r="54" spans="1:5" x14ac:dyDescent="0.25">
      <c r="A54" s="58" t="s">
        <v>205</v>
      </c>
      <c r="B54" s="58" t="s">
        <v>176</v>
      </c>
      <c r="C54" t="s">
        <v>207</v>
      </c>
      <c r="D54" t="s">
        <v>54</v>
      </c>
      <c r="E54" t="s">
        <v>54</v>
      </c>
    </row>
    <row r="55" spans="1:5" x14ac:dyDescent="0.25">
      <c r="A55" s="58" t="s">
        <v>205</v>
      </c>
      <c r="B55" s="58" t="s">
        <v>175</v>
      </c>
      <c r="C55" t="s">
        <v>222</v>
      </c>
      <c r="D55" t="s">
        <v>37</v>
      </c>
      <c r="E55" t="s">
        <v>55</v>
      </c>
    </row>
    <row r="56" spans="1:5" x14ac:dyDescent="0.25">
      <c r="A56" s="58" t="s">
        <v>205</v>
      </c>
      <c r="B56" s="58" t="s">
        <v>174</v>
      </c>
      <c r="C56" t="s">
        <v>223</v>
      </c>
      <c r="D56" t="s">
        <v>37</v>
      </c>
      <c r="E56" t="s">
        <v>55</v>
      </c>
    </row>
    <row r="57" spans="1:5" x14ac:dyDescent="0.25">
      <c r="A57" s="58" t="s">
        <v>205</v>
      </c>
      <c r="B57" s="58" t="s">
        <v>173</v>
      </c>
      <c r="C57" t="s">
        <v>224</v>
      </c>
      <c r="D57" t="s">
        <v>37</v>
      </c>
      <c r="E57" t="s">
        <v>55</v>
      </c>
    </row>
    <row r="58" spans="1:5" x14ac:dyDescent="0.25">
      <c r="A58" s="58" t="s">
        <v>205</v>
      </c>
      <c r="B58" s="58" t="s">
        <v>172</v>
      </c>
      <c r="C58" t="s">
        <v>225</v>
      </c>
      <c r="D58" t="s">
        <v>37</v>
      </c>
      <c r="E58" t="s">
        <v>55</v>
      </c>
    </row>
    <row r="59" spans="1:5" x14ac:dyDescent="0.25">
      <c r="A59" s="58" t="s">
        <v>205</v>
      </c>
      <c r="B59" s="58" t="s">
        <v>171</v>
      </c>
      <c r="C59" t="s">
        <v>226</v>
      </c>
      <c r="D59" t="s">
        <v>37</v>
      </c>
      <c r="E59" t="s">
        <v>55</v>
      </c>
    </row>
    <row r="60" spans="1:5" ht="30" x14ac:dyDescent="0.25">
      <c r="A60" s="58" t="s">
        <v>205</v>
      </c>
      <c r="B60" s="59" t="s">
        <v>244</v>
      </c>
      <c r="C60" s="6" t="s">
        <v>247</v>
      </c>
      <c r="D60" t="s">
        <v>54</v>
      </c>
      <c r="E60" t="s">
        <v>54</v>
      </c>
    </row>
    <row r="61" spans="1:5" x14ac:dyDescent="0.25">
      <c r="A61" s="58" t="s">
        <v>205</v>
      </c>
      <c r="B61" s="58" t="s">
        <v>32</v>
      </c>
      <c r="C61" t="s">
        <v>117</v>
      </c>
      <c r="D61" t="s">
        <v>54</v>
      </c>
      <c r="E61" t="s">
        <v>54</v>
      </c>
    </row>
    <row r="62" spans="1:5" x14ac:dyDescent="0.25">
      <c r="A62" s="58" t="s">
        <v>206</v>
      </c>
      <c r="B62" s="58" t="s">
        <v>192</v>
      </c>
      <c r="C62" t="s">
        <v>207</v>
      </c>
      <c r="D62" t="s">
        <v>54</v>
      </c>
      <c r="E62" t="s">
        <v>54</v>
      </c>
    </row>
    <row r="63" spans="1:5" x14ac:dyDescent="0.25">
      <c r="A63" s="58" t="s">
        <v>206</v>
      </c>
      <c r="B63" s="58" t="s">
        <v>191</v>
      </c>
      <c r="C63" t="s">
        <v>208</v>
      </c>
      <c r="D63" t="s">
        <v>37</v>
      </c>
      <c r="E63" t="s">
        <v>54</v>
      </c>
    </row>
    <row r="64" spans="1:5" x14ac:dyDescent="0.25">
      <c r="A64" s="58" t="s">
        <v>206</v>
      </c>
      <c r="B64" s="58" t="s">
        <v>253</v>
      </c>
      <c r="C64" t="s">
        <v>254</v>
      </c>
      <c r="D64" t="s">
        <v>37</v>
      </c>
      <c r="E64" t="s">
        <v>54</v>
      </c>
    </row>
    <row r="65" spans="1:5" x14ac:dyDescent="0.25">
      <c r="A65" s="58" t="s">
        <v>206</v>
      </c>
      <c r="B65" s="58" t="s">
        <v>190</v>
      </c>
      <c r="C65" t="s">
        <v>217</v>
      </c>
      <c r="D65" t="s">
        <v>37</v>
      </c>
      <c r="E65" t="s">
        <v>54</v>
      </c>
    </row>
    <row r="66" spans="1:5" x14ac:dyDescent="0.25">
      <c r="A66" s="58" t="s">
        <v>206</v>
      </c>
      <c r="B66" s="58" t="s">
        <v>189</v>
      </c>
      <c r="C66" t="s">
        <v>218</v>
      </c>
      <c r="D66" t="s">
        <v>37</v>
      </c>
      <c r="E66" t="s">
        <v>54</v>
      </c>
    </row>
    <row r="67" spans="1:5" x14ac:dyDescent="0.25">
      <c r="A67" s="58" t="s">
        <v>206</v>
      </c>
      <c r="B67" s="58" t="s">
        <v>188</v>
      </c>
      <c r="C67" t="s">
        <v>219</v>
      </c>
      <c r="D67" t="s">
        <v>37</v>
      </c>
      <c r="E67" t="s">
        <v>54</v>
      </c>
    </row>
    <row r="68" spans="1:5" x14ac:dyDescent="0.25">
      <c r="A68" s="58" t="s">
        <v>206</v>
      </c>
      <c r="B68" s="58" t="s">
        <v>187</v>
      </c>
      <c r="C68" t="s">
        <v>220</v>
      </c>
      <c r="D68" t="s">
        <v>37</v>
      </c>
      <c r="E68" t="s">
        <v>54</v>
      </c>
    </row>
    <row r="69" spans="1:5" x14ac:dyDescent="0.25">
      <c r="A69" s="58" t="s">
        <v>206</v>
      </c>
      <c r="B69" s="58" t="s">
        <v>186</v>
      </c>
      <c r="C69" t="s">
        <v>221</v>
      </c>
      <c r="D69" t="s">
        <v>37</v>
      </c>
      <c r="E69" t="s">
        <v>54</v>
      </c>
    </row>
    <row r="70" spans="1:5" x14ac:dyDescent="0.25">
      <c r="A70" s="58" t="s">
        <v>206</v>
      </c>
      <c r="B70" s="58" t="s">
        <v>185</v>
      </c>
      <c r="C70" t="s">
        <v>216</v>
      </c>
      <c r="D70" t="s">
        <v>37</v>
      </c>
      <c r="E70" t="s">
        <v>54</v>
      </c>
    </row>
    <row r="71" spans="1:5" x14ac:dyDescent="0.25">
      <c r="A71" s="58" t="s">
        <v>206</v>
      </c>
      <c r="B71" s="58" t="s">
        <v>184</v>
      </c>
      <c r="C71" t="s">
        <v>215</v>
      </c>
      <c r="D71" t="s">
        <v>37</v>
      </c>
      <c r="E71" t="s">
        <v>54</v>
      </c>
    </row>
    <row r="72" spans="1:5" x14ac:dyDescent="0.25">
      <c r="A72" s="58" t="s">
        <v>206</v>
      </c>
      <c r="B72" s="58" t="s">
        <v>172</v>
      </c>
      <c r="C72" t="s">
        <v>213</v>
      </c>
      <c r="D72" t="s">
        <v>37</v>
      </c>
      <c r="E72" t="s">
        <v>54</v>
      </c>
    </row>
    <row r="73" spans="1:5" x14ac:dyDescent="0.25">
      <c r="A73" s="58" t="s">
        <v>206</v>
      </c>
      <c r="B73" s="58" t="s">
        <v>212</v>
      </c>
      <c r="C73" t="s">
        <v>214</v>
      </c>
      <c r="D73" t="s">
        <v>37</v>
      </c>
      <c r="E73" t="s">
        <v>54</v>
      </c>
    </row>
    <row r="74" spans="1:5" x14ac:dyDescent="0.25">
      <c r="A74" s="58" t="s">
        <v>206</v>
      </c>
      <c r="B74" s="58" t="s">
        <v>171</v>
      </c>
      <c r="C74" t="s">
        <v>211</v>
      </c>
      <c r="D74" t="s">
        <v>37</v>
      </c>
      <c r="E74" t="s">
        <v>54</v>
      </c>
    </row>
    <row r="75" spans="1:5" x14ac:dyDescent="0.25">
      <c r="A75" s="58" t="s">
        <v>206</v>
      </c>
      <c r="B75" s="58" t="s">
        <v>182</v>
      </c>
      <c r="C75" t="s">
        <v>210</v>
      </c>
      <c r="D75" t="s">
        <v>227</v>
      </c>
      <c r="E75" t="s">
        <v>54</v>
      </c>
    </row>
    <row r="76" spans="1:5" x14ac:dyDescent="0.25">
      <c r="A76" s="58" t="s">
        <v>206</v>
      </c>
      <c r="B76" s="58" t="s">
        <v>196</v>
      </c>
      <c r="C76" t="s">
        <v>209</v>
      </c>
      <c r="D76" t="s">
        <v>38</v>
      </c>
      <c r="E76" t="s">
        <v>54</v>
      </c>
    </row>
    <row r="77" spans="1:5" x14ac:dyDescent="0.25">
      <c r="A77" s="58" t="s">
        <v>914</v>
      </c>
      <c r="B77" s="58" t="s">
        <v>914</v>
      </c>
      <c r="C77" t="s">
        <v>915</v>
      </c>
      <c r="D77" t="s">
        <v>54</v>
      </c>
      <c r="E77" t="s">
        <v>54</v>
      </c>
    </row>
    <row r="78" spans="1:5" x14ac:dyDescent="0.25">
      <c r="A78" s="58" t="s">
        <v>258</v>
      </c>
      <c r="B78" s="58" t="s">
        <v>258</v>
      </c>
      <c r="C78" t="s">
        <v>270</v>
      </c>
      <c r="D78" t="s">
        <v>54</v>
      </c>
      <c r="E78" t="s">
        <v>54</v>
      </c>
    </row>
    <row r="79" spans="1:5" x14ac:dyDescent="0.25">
      <c r="A79" s="58" t="s">
        <v>259</v>
      </c>
      <c r="B79" s="58" t="s">
        <v>259</v>
      </c>
      <c r="C79" t="s">
        <v>271</v>
      </c>
      <c r="D79" t="s">
        <v>54</v>
      </c>
      <c r="E79" t="s">
        <v>54</v>
      </c>
    </row>
    <row r="80" spans="1:5" x14ac:dyDescent="0.25">
      <c r="A80" s="58" t="s">
        <v>260</v>
      </c>
      <c r="B80" s="58" t="s">
        <v>260</v>
      </c>
      <c r="C80" t="s">
        <v>274</v>
      </c>
      <c r="D80" t="s">
        <v>54</v>
      </c>
      <c r="E80" t="s">
        <v>54</v>
      </c>
    </row>
    <row r="81" spans="1:5" x14ac:dyDescent="0.25">
      <c r="A81" s="58" t="s">
        <v>261</v>
      </c>
      <c r="B81" s="58" t="s">
        <v>261</v>
      </c>
      <c r="C81" t="s">
        <v>275</v>
      </c>
      <c r="D81" t="s">
        <v>54</v>
      </c>
      <c r="E81" t="s">
        <v>54</v>
      </c>
    </row>
    <row r="82" spans="1:5" x14ac:dyDescent="0.25">
      <c r="A82" s="58" t="s">
        <v>928</v>
      </c>
      <c r="B82" s="58" t="s">
        <v>928</v>
      </c>
      <c r="C82" t="s">
        <v>930</v>
      </c>
      <c r="D82" t="s">
        <v>54</v>
      </c>
      <c r="E82" t="s">
        <v>54</v>
      </c>
    </row>
    <row r="83" spans="1:5" x14ac:dyDescent="0.25">
      <c r="A83" s="58" t="s">
        <v>929</v>
      </c>
      <c r="B83" s="58" t="s">
        <v>929</v>
      </c>
      <c r="C83" t="s">
        <v>931</v>
      </c>
      <c r="D83" t="s">
        <v>54</v>
      </c>
      <c r="E83" t="s">
        <v>54</v>
      </c>
    </row>
    <row r="84" spans="1:5" x14ac:dyDescent="0.25">
      <c r="A84" s="58" t="s">
        <v>262</v>
      </c>
      <c r="B84" s="58" t="s">
        <v>262</v>
      </c>
      <c r="C84" t="s">
        <v>273</v>
      </c>
      <c r="D84" t="s">
        <v>54</v>
      </c>
      <c r="E84" t="s">
        <v>54</v>
      </c>
    </row>
    <row r="85" spans="1:5" x14ac:dyDescent="0.25">
      <c r="A85" s="58" t="s">
        <v>263</v>
      </c>
      <c r="B85" s="58" t="s">
        <v>263</v>
      </c>
      <c r="C85" t="s">
        <v>276</v>
      </c>
      <c r="D85" t="s">
        <v>54</v>
      </c>
      <c r="E85" t="s">
        <v>54</v>
      </c>
    </row>
    <row r="86" spans="1:5" x14ac:dyDescent="0.25">
      <c r="A86" s="58" t="s">
        <v>264</v>
      </c>
      <c r="B86" s="58" t="s">
        <v>264</v>
      </c>
      <c r="C86" t="s">
        <v>290</v>
      </c>
      <c r="D86" t="s">
        <v>54</v>
      </c>
      <c r="E86" t="s">
        <v>54</v>
      </c>
    </row>
    <row r="87" spans="1:5" x14ac:dyDescent="0.25">
      <c r="A87" s="58" t="s">
        <v>886</v>
      </c>
      <c r="B87" s="58" t="s">
        <v>886</v>
      </c>
      <c r="C87" t="s">
        <v>277</v>
      </c>
      <c r="D87" t="s">
        <v>54</v>
      </c>
      <c r="E87" t="s">
        <v>54</v>
      </c>
    </row>
    <row r="88" spans="1:5" x14ac:dyDescent="0.25">
      <c r="A88" s="58" t="s">
        <v>265</v>
      </c>
      <c r="B88" s="58" t="s">
        <v>265</v>
      </c>
      <c r="C88" t="s">
        <v>278</v>
      </c>
      <c r="D88" t="s">
        <v>54</v>
      </c>
      <c r="E88" t="s">
        <v>54</v>
      </c>
    </row>
    <row r="89" spans="1:5" x14ac:dyDescent="0.25">
      <c r="A89" s="58" t="s">
        <v>266</v>
      </c>
      <c r="B89" s="58" t="s">
        <v>266</v>
      </c>
      <c r="C89" t="s">
        <v>279</v>
      </c>
      <c r="D89" t="s">
        <v>54</v>
      </c>
      <c r="E89" t="s">
        <v>54</v>
      </c>
    </row>
    <row r="90" spans="1:5" x14ac:dyDescent="0.25">
      <c r="A90" s="58" t="s">
        <v>267</v>
      </c>
      <c r="B90" s="58" t="s">
        <v>267</v>
      </c>
      <c r="C90" t="s">
        <v>280</v>
      </c>
      <c r="D90" t="s">
        <v>54</v>
      </c>
      <c r="E90" t="s">
        <v>54</v>
      </c>
    </row>
    <row r="91" spans="1:5" ht="30" x14ac:dyDescent="0.25">
      <c r="A91" s="58" t="s">
        <v>904</v>
      </c>
      <c r="B91" s="58" t="s">
        <v>904</v>
      </c>
      <c r="C91" s="6" t="s">
        <v>902</v>
      </c>
      <c r="D91" t="s">
        <v>54</v>
      </c>
      <c r="E91" t="s">
        <v>54</v>
      </c>
    </row>
    <row r="92" spans="1:5" x14ac:dyDescent="0.25">
      <c r="A92" s="58" t="s">
        <v>901</v>
      </c>
      <c r="B92" s="58" t="s">
        <v>901</v>
      </c>
      <c r="C92" s="57" t="s">
        <v>903</v>
      </c>
    </row>
    <row r="93" spans="1:5" x14ac:dyDescent="0.25">
      <c r="A93" s="58" t="s">
        <v>268</v>
      </c>
      <c r="B93" s="58" t="s">
        <v>268</v>
      </c>
      <c r="C93" t="s">
        <v>287</v>
      </c>
      <c r="D93" t="s">
        <v>54</v>
      </c>
      <c r="E93" t="s">
        <v>54</v>
      </c>
    </row>
    <row r="94" spans="1:5" x14ac:dyDescent="0.25">
      <c r="A94" s="58" t="s">
        <v>269</v>
      </c>
      <c r="B94" s="58" t="s">
        <v>269</v>
      </c>
      <c r="C94" t="s">
        <v>272</v>
      </c>
      <c r="D94" t="s">
        <v>54</v>
      </c>
      <c r="E94" t="s">
        <v>54</v>
      </c>
    </row>
    <row r="95" spans="1:5" x14ac:dyDescent="0.25">
      <c r="A95" s="58" t="s">
        <v>896</v>
      </c>
      <c r="B95" s="58" t="s">
        <v>896</v>
      </c>
      <c r="C95" t="s">
        <v>897</v>
      </c>
      <c r="D95" t="s">
        <v>54</v>
      </c>
      <c r="E95" t="s">
        <v>54</v>
      </c>
    </row>
  </sheetData>
  <hyperlinks>
    <hyperlink ref="B2" location="Instructions!B8" display="Provider" xr:uid="{3E38B118-9BE6-407F-90A2-68A193321517}"/>
    <hyperlink ref="A2:A3" location="Instructions!A1" display="Instructions" xr:uid="{87A6735F-C8E5-4C47-874E-70BD1CACFD43}"/>
    <hyperlink ref="B3" location="Instructions!B9" display="Team Name" xr:uid="{0730803F-61C9-487F-ABC9-3CCB7B622E75}"/>
    <hyperlink ref="A47:A51" location="'Outreach Activites'!A1" display="Outreach Activities" xr:uid="{9C011DC7-27D0-4435-9AFA-B09AB581EA20}"/>
    <hyperlink ref="A54:A59" location="'Other Funding Sources'!A1" display="Other Funding Sources" xr:uid="{6ECC74AD-AD53-4B4A-957E-F09C67CC4839}"/>
    <hyperlink ref="B4" location="'Client Specific'!A1" display="Client ID #" xr:uid="{F6B677E3-7D19-4A4E-953B-C868C59CBCEC}"/>
    <hyperlink ref="B5" location="'Client Specific'!B1" display="Client Last Name" xr:uid="{EA345047-B9F0-4792-A488-2BD07E6412E5}"/>
    <hyperlink ref="B6" location="'Client Specific'!C1" display="Client First Name" xr:uid="{F4C162E9-7FB9-4FCA-A88B-0BED0183A731}"/>
    <hyperlink ref="B7" location="'Client Specific'!D1" display="DOB" xr:uid="{61F75E7A-47DD-4764-9F16-C9D18B53819A}"/>
    <hyperlink ref="B8" location="'Client Specific'!E1" display="If client DOB unknown, is client under 18?" xr:uid="{2D92B0B1-BBBA-4632-A8ED-9C0FCF356895}"/>
    <hyperlink ref="B9" location="'Client Specific'!F1" display="If client is under 18, is the client involved in child welfare?" xr:uid="{569CEBA2-E616-407C-AFF0-D405A051BD87}"/>
    <hyperlink ref="B10" location="'Client Specific'!G1" display="If client is under 18, was parental consent obtained?" xr:uid="{8862251A-C855-49CA-AB6B-C7A9CB042F58}"/>
    <hyperlink ref="B11" location="'Client Specific'!H1" display="Sex" xr:uid="{2BD350CB-D323-486B-A57F-2CFA9F661030}"/>
    <hyperlink ref="B12" location="'Client Specific'!I1" display="Residence Zip Code" xr:uid="{265BCEBD-EA3C-46C5-AB04-A07C6EC2EBF4}"/>
    <hyperlink ref="B13" location="'Client Specific'!J1" display="Race" xr:uid="{CC586D81-1996-45A2-A4A0-A61DCAE41FF4}"/>
    <hyperlink ref="B14" location="'Client Specific'!K1" display="Ethnicity" xr:uid="{9D3C3131-76E2-4C86-B93D-906B71C0833E}"/>
    <hyperlink ref="B15" location="'Client Specific'!L1" display="Name of School Attending (enter N/A if non-school aged)" xr:uid="{8B9A0B35-68CF-4F0B-84BE-450584D624ED}"/>
    <hyperlink ref="B16" location="'Client Specific'!M1" display="Date of Call" xr:uid="{A52AAEEE-A5FF-41CB-AE3F-541A634B098F}"/>
    <hyperlink ref="B17" location="'Client Specific'!N1" display="Time of Inital Call" xr:uid="{5790AC7A-BD11-4EA8-8312-4EE7623CB819}"/>
    <hyperlink ref="B18" location="'Client Specific'!O1" display="Source of Inital Call" xr:uid="{B45A8293-A563-4639-88DF-49A621E9B1B6}"/>
    <hyperlink ref="B19" location="'Client Specific'!P1" display="More detail if Source of Initial Call was Other" xr:uid="{4F5EB595-FB55-4CCB-8B5F-C7EA5F69CBE5}"/>
    <hyperlink ref="B20" location="'Client Specific'!Q1" display="Intervention Determined" xr:uid="{0AE5628C-D68C-48E3-AD9C-3CFCDC01E808}"/>
    <hyperlink ref="B21" location="'Client Specific'!R1" display="Time of Arrival (enter value from &quot;Time of Initial Call&quot; column if phone/telehealth)" xr:uid="{356FBA78-108E-470F-8171-4255E198093D}"/>
    <hyperlink ref="B22" location="'Client Specific'!S1" display="Place of Contact" xr:uid="{40680BA8-4E4D-486C-84A6-E1B83417C9DE}"/>
    <hyperlink ref="B23" location="'Client Specific'!T1" display="Reason if Not Seen" xr:uid="{ECCA2DAD-8281-4E6D-8770-CEBB7E8CBAD4}"/>
    <hyperlink ref="B24" location="'Client Specific'!U1" display="Type of Contact" xr:uid="{B5BB22DF-43CD-449F-9D84-D9270979512D}"/>
    <hyperlink ref="B25" location="'Client Specific'!V1" display="Referred By" xr:uid="{5766E41D-0821-45E0-8DB5-60B90DA33FE8}"/>
    <hyperlink ref="B26" location="'Client Specific'!W1" display="Admission to CSU?" xr:uid="{F3CE8DEB-51D9-46A1-AAF7-2516161FA4A2}"/>
    <hyperlink ref="B27" location="'Client Specific'!X1" display="Referred to Treatment?" xr:uid="{7490684A-295D-4A93-B0B7-88E4EF2B0242}"/>
    <hyperlink ref="B28" location="'Client Specific'!Y1" display="If Referred, Where (Agency Name)?" xr:uid="{6D4CFBAA-0766-40B8-8C63-1811263612B6}"/>
    <hyperlink ref="B29" location="'Client Specific'!Z1" display="If Referred, What Level of Treatment?" xr:uid="{D91EDFF6-59C8-4EE5-AF23-18BC505E113E}"/>
    <hyperlink ref="B30" location="'Client Specific'!AA1" display="Engaged in Referred Services? (Unknown if cannot aquire info. from referred provider; N/A if no referral)" xr:uid="{C3DCD2D8-7BB0-4690-8488-5383336B5F7C}"/>
    <hyperlink ref="B31" location="'Client Specific'!AB1" display="Successfully Completed Treatment? (Unknown if cannot aquire info. from referred provider; N/A if no referral)" xr:uid="{63C80008-4480-4279-A6F6-71C8FCC1B138}"/>
    <hyperlink ref="B32" location="'Client Specific'!AC1" display="Seriously Emotionally Disturbed (SED)? (Unknown if cannot aquire info. from referred provider; N/A if no referral)" xr:uid="{740ADF66-641A-4D7F-90BE-A7BA09D1773C}"/>
    <hyperlink ref="B33" location="'Client Specific'!AD1" display="Emotionally Disturbed (ED)? (Unknown if cannot aquire info. from referred provider; N/A if no referral)" xr:uid="{9B82E781-1BEC-44AF-8958-A587C55D003A}"/>
    <hyperlink ref="B34" location="'Client Specific'!AE1" display="Improved Level of Functioning? (CFARS) (Unknown if cannot aquire info. from referred provider; N/A if no referral)" xr:uid="{AFB46496-789C-4013-81B0-53089493B846}"/>
    <hyperlink ref="B35" location="'Client Specific'!AF1" display="Follow-up Activity " xr:uid="{699C4D99-3DAB-4ADC-B49A-3C8C21CABC48}"/>
    <hyperlink ref="B36" location="'Client Specific'!AG1" display="Follow-up Date" xr:uid="{366B9DC0-D034-4914-BE3A-7D6CE2A02A0A}"/>
    <hyperlink ref="B38" location="'Client Specific'!AI1" display="No Data entry required on this tab beyond this point" xr:uid="{CD1A490B-16F5-43CD-BDBE-4A264125BD68}"/>
    <hyperlink ref="B39" location="'Client Specific'!AJ1" display="Validation Errors" xr:uid="{81CAECA5-6F69-4828-A990-F83FF27EF2B3}"/>
    <hyperlink ref="B40" location="'Client Specific'!AK1" display="Client Age" xr:uid="{FBECE3B5-0D5D-41C9-AD7B-84582D013E45}"/>
    <hyperlink ref="B41" location="'Client Specific'!AL1" display="Response Time" xr:uid="{51BD5F71-C6B2-4CAE-8C13-B3C6BFDF0B99}"/>
    <hyperlink ref="B42" location="'Client Specific'!AM1" display="Days between call and follow-up" xr:uid="{63D015AC-5F8E-492C-8AC0-9B8CAD3FA836}"/>
    <hyperlink ref="B43" location="'Client Specific'!AN1" display="Under 18" xr:uid="{78B7B33D-66BE-43D3-82A8-2F8268CFC8D5}"/>
    <hyperlink ref="A52" location="'Outreach Activites'!A1" display="Outreach Activities" xr:uid="{A469A8F8-7916-46F3-BE5E-00CB742C528B}"/>
    <hyperlink ref="A53" location="'Outreach Activites'!A1" display="Outreach Activities" xr:uid="{F8A98097-5C18-49A5-95D8-AECCD0BB071B}"/>
    <hyperlink ref="A60" location="'Other Funding Sources'!A1" display="Other Funding Sources" xr:uid="{D6DE6998-34CE-4057-BE4F-A8D1E0F0377F}"/>
    <hyperlink ref="A62:A76" location="'DCF Funded'!A1" display="DCF Funded" xr:uid="{DCB7188D-1572-4AEF-B055-37D40AF50E06}"/>
    <hyperlink ref="A61" location="'Other Funding Sources'!A1" display="Other Funding Sources" xr:uid="{9D17D587-3EAE-436E-89EF-8C46A3C246B7}"/>
    <hyperlink ref="B47:B53" location="'Outreach Activites'!A1" display="Type of Outreach" xr:uid="{138EF7C4-D9AB-4858-9FAB-3AE23C093A7B}"/>
    <hyperlink ref="B48" location="'Outreach Activites'!B1" display="Type of Entity Where Outreach was Provided" xr:uid="{ED8345EB-C019-48ED-8B2E-49B4615B54A4}"/>
    <hyperlink ref="B49" location="'Outreach Activites'!C1" display="Explain &quot;Other&quot;" xr:uid="{90CCAE6E-9E8A-482E-97F2-982116F45FA2}"/>
    <hyperlink ref="B50" location="'Outreach Activites'!D1" display="Name of Entity" xr:uid="{E07AA123-0EFC-4878-997A-E2BB699A47E4}"/>
    <hyperlink ref="B51" location="'Outreach Activites'!E1" display="Date of Outreach" xr:uid="{6043CA40-1670-42D4-8AA9-D4197CDF9437}"/>
    <hyperlink ref="B52" location="'Outreach Activites'!F1" display="No Data entry required on this tab beyond this point" xr:uid="{5A777A1B-BEED-473A-AD93-F630F168BAAE}"/>
    <hyperlink ref="B53" location="'Outreach Activites'!G1" display="Validation Errors" xr:uid="{B21BF0C8-0585-47C4-9D96-89F8102C0F02}"/>
    <hyperlink ref="B54:B61" location="'Other Funding Sources'!A1" display="Month / Year                                 " xr:uid="{937D3680-B2CF-4C4F-A55C-49BD0FB846CF}"/>
    <hyperlink ref="B54" location="'Other Funding Sources'!A4" display="Month / Year                                 " xr:uid="{27E92D13-8FED-44BD-9DFB-8ABFC0F012DA}"/>
    <hyperlink ref="B55" location="'Other Funding Sources'!B4" display="How many calls were received?" xr:uid="{B1B849FA-F0D5-4198-AB4E-DA85C3F509C9}"/>
    <hyperlink ref="B56" location="'Other Funding Sources'!C4" display="How many calls  originated from a school? **" xr:uid="{A4899FFF-6391-4E2B-B453-5B37B56E787E}"/>
    <hyperlink ref="B57" location="'Other Funding Sources'!D4" display="How many calls required an acute response?***" xr:uid="{BE431767-139A-47C0-A6CD-BF35DEF64B18}"/>
    <hyperlink ref="B58" location="'Other Funding Sources'!E4" display="Of the calls requiring an acute response, how many resulted in an involuntary examination? ****" xr:uid="{481613A0-EC19-41EF-B204-5BDDB49B7300}"/>
    <hyperlink ref="B59" location="'Other Funding Sources'!F4" display="Of the calls requiring an acute response, how many were diverted from an involuntary examination? ****" xr:uid="{D82C7986-77E1-44CA-B5BD-D9A53C99762D}"/>
    <hyperlink ref="B60" location="'Other Funding Sources'!G4" display="No Data entry required on this tab beyond this point" xr:uid="{D7009B59-4995-46F4-82E6-15386DB75FDE}"/>
    <hyperlink ref="B61" location="'Other Funding Sources'!H4" display="Validation Errors" xr:uid="{E7E935C4-F9C4-4FB1-94FC-24DD087674E7}"/>
    <hyperlink ref="B62:B76" location="'DCF Funded'!A4" display="Month / Year" xr:uid="{A5566075-5F74-44FF-A99B-D63D51A1F615}"/>
    <hyperlink ref="B63" location="'DCF Funded'!B4" display="Number of  calls that were received" xr:uid="{EE1C8F96-B08C-48DC-AE93-CE0BF455BD15}"/>
    <hyperlink ref="B64" location="'DCF Funded'!C4" display="Number of unduplicated persons served (Calculated separately in pivot table)" xr:uid="{E44FF633-04BC-465B-9A79-14173D92FE3B}"/>
    <hyperlink ref="B65" location="'DCF Funded'!D4" display="Number of calls that involved children under the age of 18 that are currently involved with Child Welfare" xr:uid="{2E922FBA-B80F-4777-B989-71F3B4B49A9F}"/>
    <hyperlink ref="B66" location="'DCF Funded'!E4" display="Number of calls that originated from a school **" xr:uid="{424A2848-A3F1-47BC-8FB1-A9928466C00C}"/>
    <hyperlink ref="B67" location="'DCF Funded'!F4" display="Number of calls involving children under the age of 18  that parental/guardian consent was obtained" xr:uid="{9F70604B-0BE3-4BE6-82C6-5C9C5D40847D}"/>
    <hyperlink ref="B68" location="'DCF Funded'!G4" display="Number of calls involving children under the age of 18 that parent/guardian refused to provide consent for services " xr:uid="{679131C0-2B87-4D9B-85D4-24DE862EC2AA}"/>
    <hyperlink ref="B69" location="'DCF Funded'!H4" display="Number of calls involving children under the age of 18  that parent or guardian was unable to be reached to obtain consent for services" xr:uid="{C529A71B-866E-4324-8D08-4EF9D8FBD5C7}"/>
    <hyperlink ref="B70" location="'DCF Funded'!I4" display="Total number of calls that required an acute response ***" xr:uid="{92F42888-7504-45D3-93C7-41CD8FEDC8CB}"/>
    <hyperlink ref="B71" location="'DCF Funded'!J4" display="Of the calls that required an acute response, how many were for those under the age of 18?" xr:uid="{47A1D048-0064-4919-B5C1-75E6C7BA2720}"/>
    <hyperlink ref="B72" location="'DCF Funded'!K4" display="Of the calls requiring an acute response, how many resulted in an involuntary examination? ****" xr:uid="{FDC7567C-96F5-4B40-A1BD-17AD9AB99930}"/>
    <hyperlink ref="B73" location="'DCF Funded'!L4" display="Number of calls received from schools that resulted in an involuntary examination" xr:uid="{5157AA68-246E-4F2C-B824-F42D7F7741B9}"/>
    <hyperlink ref="B74" location="'DCF Funded'!M4" display="Of the calls requiring an acute response, how many were diverted from an involuntary examination? ****" xr:uid="{41EECE62-1C8C-43B6-BEFA-CCAFE8064913}"/>
    <hyperlink ref="B75" location="'DCF Funded'!N4" display="Average response time, in minutes, for acute response" xr:uid="{258E69D0-8C5D-4B6C-AE84-519F5DD7A7EB}"/>
    <hyperlink ref="B76" location="'DCF Funded'!O4" display="List sources of other referrals, such as parents, law enforcement, residential treatment settings, etc. (Copied by hand from Client Specific Tab" xr:uid="{E4417E2D-4FB9-4B3E-AD8F-5CEF599B89DA}"/>
    <hyperlink ref="A78:B78" location="'G - # Calls by Month'!A1" display="G - # Calls by Month" xr:uid="{B4E0EBF4-254A-463C-86BF-AA714DFB4CEA}"/>
    <hyperlink ref="A79:B79" location="'G - Outreach by Month'!A1" display="G - Outreach by Month" xr:uid="{12395676-5C2A-4241-9B14-10E3A2E0F485}"/>
    <hyperlink ref="A80:B80" location="'G - % of Calls by Race'!A1" display="G - % of Calls by Race" xr:uid="{4819E698-403F-49F3-A090-B8FDD6A2B66B}"/>
    <hyperlink ref="A81:B81" location="'G - % of Calls by Ethnicity'!A1" display="G - % of Calls by Ethnicity" xr:uid="{7AEA1EEF-7456-412F-A133-C5AAE2AD1609}"/>
    <hyperlink ref="A84:B84" location="'G - % Referred to Treatment'!A1" display="G - % Referred to Treatment" xr:uid="{1A2C31BA-D30A-447B-8323-5334CA2F548B}"/>
    <hyperlink ref="A85:B85" location="'G - % Admitted to CSU'!A1" display="G - % Admitted to CSU" xr:uid="{572FA5F3-F568-4EF6-9302-F18313068236}"/>
    <hyperlink ref="A86:B86" location="'G - % by ZIP Code'!A1" display="G - % by ZIP Code" xr:uid="{03DF5A06-ECAF-47FA-8D65-60879083EAC6}"/>
    <hyperlink ref="A88:B88" location="'G - Age and Sex'!A1" display="G - Age and Sex" xr:uid="{C4C4EF77-4DB1-4DB1-A22F-0A34D1710DF8}"/>
    <hyperlink ref="A89:B89" location="'G - Day of Week'!A1" display="G - Day of Week" xr:uid="{8623CD15-51D6-4B03-9474-18BC76A4309C}"/>
    <hyperlink ref="A90:B90" location="'G - Time of Day'!A1" display="G - Time of Day" xr:uid="{83A85F16-61B8-45D5-87B4-6625245B40FF}"/>
    <hyperlink ref="A93:B93" location="'G - Treatment Referred To'!A1" display="G - Treatment Referred To" xr:uid="{D1D758C8-CB5C-4E57-A3C7-70D5414F3A73}"/>
    <hyperlink ref="A94:B94" location="'G - Call Source'!A1" display="G - Call Source" xr:uid="{105F4D16-602C-4161-8B23-E1BE835E7121}"/>
    <hyperlink ref="A87:B87" location="'G - ZIP Code'!A1" display="G - ZIP Code" xr:uid="{51AA397A-D758-416E-832E-93A295F6165F}"/>
    <hyperlink ref="A44:A46" location="'Client Specific'!A1" display="Client Specific" xr:uid="{36762525-B40B-4CCE-B3E4-BB7184472BBA}"/>
    <hyperlink ref="B44:B46" location="'Client Specific'!A1" display="Rounded Time of Call" xr:uid="{52FD0CE7-3822-423D-A9C6-846BCACFAF26}"/>
    <hyperlink ref="B44" location="'Client Specific'!AO1" display="Rounded Time of Call" xr:uid="{BEF60FAC-DF43-4B14-A84C-E07CAC337154}"/>
    <hyperlink ref="B45" location="'Client Specific'!AP1" display="Day of Week of Call" xr:uid="{51A0FA39-7393-4FD8-9188-18BA0B0BDB97}"/>
    <hyperlink ref="B46" location="'Client Specific'!AQ1" display="County from ZIP Code" xr:uid="{945DCE03-F3CB-474D-89C2-2C7E975F20F4}"/>
    <hyperlink ref="A92:B92" location="'G - Avg Response Time - Travel'!A1" display="G - Avg Response Time - Travel" xr:uid="{E70F80C6-CF20-42DB-9CA1-2E1DD3170A63}"/>
    <hyperlink ref="A91:B91" location="'G - Avg Response Time - All'!A1" display="G - Avg Response Time - All" xr:uid="{4CC3827A-9878-4C2E-8507-95EAFB1A0075}"/>
    <hyperlink ref="B37" location="'Client Specific'!AH1" display="Provider Notes (Optional)" xr:uid="{5A2A8CC6-1179-4EAF-B60D-5CFCAD0A61CE}"/>
    <hyperlink ref="A95:B95" location="'G - Intervention Determined'!A1" display="G - Intervention Determined" xr:uid="{D7501187-9AFA-4921-BDF9-AD1553EA4DD4}"/>
    <hyperlink ref="A4:A46" location="'Client Specific'!A1" display="Client Specific" xr:uid="{E25F8979-67BE-4CFA-B669-A1AE22B92BE5}"/>
    <hyperlink ref="A77:B77" location="'G - Entry Validation'!A1" display="G - Entry Validation" xr:uid="{70618897-F6EF-48B6-A5B0-A5B52143195F}"/>
    <hyperlink ref="A82:B82" location="'G - Child Welfare Involvement'!A1" display="G - Child Welfare Involvement" xr:uid="{0F89026E-C8A9-4FA1-A873-F39AB0C17207}"/>
    <hyperlink ref="A83:B83" location="'G - Parental Consent'!A1" display="G - Parental Consent" xr:uid="{1272F781-2FEF-4FD1-855E-AE70EB743570}"/>
  </hyperlinks>
  <pageMargins left="0.7" right="0.7" top="0.75" bottom="0.75" header="0.3" footer="0.3"/>
  <pageSetup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1F5185-567E-4220-9377-48B7B96DE090}">
  <dimension ref="A1:AQ543"/>
  <sheetViews>
    <sheetView zoomScale="90" zoomScaleNormal="90" workbookViewId="0">
      <pane ySplit="1" topLeftCell="A2" activePane="bottomLeft" state="frozen"/>
      <selection activeCell="A65" sqref="A65"/>
      <selection pane="bottomLeft" activeCell="A543" sqref="A2:AH543"/>
    </sheetView>
  </sheetViews>
  <sheetFormatPr defaultRowHeight="15" x14ac:dyDescent="0.25"/>
  <cols>
    <col min="1" max="2" width="19.85546875" customWidth="1"/>
    <col min="3" max="3" width="21.42578125" customWidth="1"/>
    <col min="4" max="4" width="13.140625" style="4" customWidth="1"/>
    <col min="5" max="5" width="13.42578125" style="3" customWidth="1"/>
    <col min="6" max="6" width="15.85546875" style="3" customWidth="1"/>
    <col min="7" max="7" width="15.85546875" style="3" bestFit="1" customWidth="1"/>
    <col min="8" max="8" width="10.5703125" customWidth="1"/>
    <col min="9" max="9" width="11" style="3" customWidth="1"/>
    <col min="10" max="11" width="19.85546875" customWidth="1"/>
    <col min="12" max="12" width="14.5703125" style="3" customWidth="1"/>
    <col min="13" max="13" width="13.42578125" style="15" bestFit="1" customWidth="1"/>
    <col min="14" max="14" width="18.85546875" style="2" bestFit="1" customWidth="1"/>
    <col min="15" max="15" width="16.7109375" style="2" bestFit="1" customWidth="1"/>
    <col min="16" max="16" width="17.140625" style="2" customWidth="1"/>
    <col min="17" max="20" width="15" style="2" customWidth="1"/>
    <col min="21" max="21" width="17.28515625" customWidth="1"/>
    <col min="22" max="22" width="12.85546875" customWidth="1"/>
    <col min="23" max="23" width="14.5703125" customWidth="1"/>
    <col min="24" max="24" width="21.7109375" customWidth="1"/>
    <col min="25" max="27" width="12.85546875" customWidth="1"/>
    <col min="28" max="28" width="17.5703125" customWidth="1"/>
    <col min="29" max="29" width="12.42578125" customWidth="1"/>
    <col min="30" max="30" width="9.7109375" customWidth="1"/>
    <col min="31" max="31" width="12.85546875" customWidth="1"/>
    <col min="33" max="33" width="10.42578125" style="1" bestFit="1" customWidth="1"/>
    <col min="34" max="35" width="10.42578125" style="1" customWidth="1"/>
    <col min="36" max="36" width="94.5703125" bestFit="1" customWidth="1"/>
    <col min="37" max="37" width="19.85546875" bestFit="1" customWidth="1"/>
    <col min="38" max="38" width="20.28515625" bestFit="1" customWidth="1"/>
    <col min="40" max="40" width="11.7109375" bestFit="1" customWidth="1"/>
    <col min="41" max="41" width="12" bestFit="1" customWidth="1"/>
  </cols>
  <sheetData>
    <row r="1" spans="1:43" ht="148.5" customHeight="1" x14ac:dyDescent="0.25">
      <c r="A1" t="s">
        <v>29</v>
      </c>
      <c r="B1" s="6" t="s">
        <v>28</v>
      </c>
      <c r="C1" s="6" t="s">
        <v>27</v>
      </c>
      <c r="D1" s="9" t="s">
        <v>26</v>
      </c>
      <c r="E1" s="8" t="s">
        <v>30</v>
      </c>
      <c r="F1" s="8" t="s">
        <v>34</v>
      </c>
      <c r="G1" s="8" t="s">
        <v>33</v>
      </c>
      <c r="H1" s="6" t="s">
        <v>24</v>
      </c>
      <c r="I1" s="8" t="s">
        <v>23</v>
      </c>
      <c r="J1" t="s">
        <v>22</v>
      </c>
      <c r="K1" s="6" t="s">
        <v>21</v>
      </c>
      <c r="L1" s="8" t="s">
        <v>20</v>
      </c>
      <c r="M1" s="14" t="s">
        <v>19</v>
      </c>
      <c r="N1" s="7" t="s">
        <v>18</v>
      </c>
      <c r="O1" s="7" t="s">
        <v>17</v>
      </c>
      <c r="P1" s="7" t="s">
        <v>197</v>
      </c>
      <c r="Q1" s="7" t="s">
        <v>16</v>
      </c>
      <c r="R1" s="7" t="s">
        <v>15</v>
      </c>
      <c r="S1" s="7" t="s">
        <v>14</v>
      </c>
      <c r="T1" s="7" t="s">
        <v>12</v>
      </c>
      <c r="U1" s="6" t="s">
        <v>11</v>
      </c>
      <c r="V1" s="6" t="s">
        <v>10</v>
      </c>
      <c r="W1" s="6" t="s">
        <v>9</v>
      </c>
      <c r="X1" s="2" t="s">
        <v>8</v>
      </c>
      <c r="Y1" s="6" t="s">
        <v>7</v>
      </c>
      <c r="Z1" s="6" t="s">
        <v>6</v>
      </c>
      <c r="AA1" s="6" t="s">
        <v>5</v>
      </c>
      <c r="AB1" s="6" t="s">
        <v>31</v>
      </c>
      <c r="AC1" s="6" t="s">
        <v>4</v>
      </c>
      <c r="AD1" s="6" t="s">
        <v>3</v>
      </c>
      <c r="AE1" s="6" t="s">
        <v>2</v>
      </c>
      <c r="AF1" s="6" t="s">
        <v>1</v>
      </c>
      <c r="AG1" s="5" t="s">
        <v>0</v>
      </c>
      <c r="AH1" s="5" t="s">
        <v>905</v>
      </c>
      <c r="AI1" s="5" t="s">
        <v>244</v>
      </c>
      <c r="AJ1" s="6" t="s">
        <v>32</v>
      </c>
      <c r="AK1" s="6" t="s">
        <v>35</v>
      </c>
      <c r="AL1" s="6" t="s">
        <v>13</v>
      </c>
      <c r="AM1" s="6" t="s">
        <v>114</v>
      </c>
      <c r="AN1" s="6" t="s">
        <v>195</v>
      </c>
      <c r="AO1" s="6" t="s">
        <v>294</v>
      </c>
      <c r="AP1" s="6" t="s">
        <v>295</v>
      </c>
      <c r="AQ1" s="6" t="s">
        <v>889</v>
      </c>
    </row>
    <row r="2" spans="1:43" x14ac:dyDescent="0.25">
      <c r="A2" s="3"/>
      <c r="B2" s="3"/>
      <c r="D2" s="1"/>
      <c r="J2" s="10"/>
      <c r="K2" s="10"/>
      <c r="N2" s="17"/>
      <c r="R2" s="17"/>
      <c r="V2" s="2"/>
      <c r="X2" s="13"/>
      <c r="Y2" s="3"/>
      <c r="Z2" s="3"/>
      <c r="AI2" s="35"/>
      <c r="AJ2" s="10"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 s="10" t="str">
        <f>IFERROR(IF(OR(TRIM(Table24[[#This Row],[DOB]])="",TRIM(Table24[[#This Row],[Date of Call]])=""),"Cannot be calculated",DATEDIF(Table24[[#This Row],[DOB]],Table24[[#This Row],[Date of Call]],"Y")),"Cannot be calculated")</f>
        <v>Cannot be calculated</v>
      </c>
      <c r="AL2" s="10"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 s="19">
        <f>IFERROR(DATEDIF(Table24[[#This Row],[Date of Call]],Table24[[#This Row],[Follow-up Date]],"D"),"Cannot be calculated")</f>
        <v>0</v>
      </c>
      <c r="AN2" s="19" t="str">
        <f>IF(OR(Table24[[#This Row],[Client Age]]&lt;18,Table24[[#This Row],[If client DOB unknown, is client under 18?]]="Yes"),"Yes","No")</f>
        <v>No</v>
      </c>
      <c r="AO2" s="13" t="str">
        <f>IF(Table24[[#This Row],[Time of Inital Call]]="","",IFERROR(MROUND(Table24[[#This Row],[Time of Inital Call]],"1:00"),""))</f>
        <v/>
      </c>
      <c r="AP2" s="19" t="str">
        <f>IF(Table24[[#This Row],[Date of Call]]="","",TEXT(Table24[[#This Row],[Date of Call]],"dddd"))</f>
        <v/>
      </c>
      <c r="AQ2" s="19" t="str">
        <f>IFERROR(VLOOKUP(Table24[[#This Row],[Residence Zip Code]],Table27[],3,FALSE),"")</f>
        <v/>
      </c>
    </row>
    <row r="3" spans="1:43" x14ac:dyDescent="0.25">
      <c r="A3" s="3"/>
      <c r="B3" s="3"/>
      <c r="D3" s="1"/>
      <c r="J3" s="10"/>
      <c r="K3" s="10"/>
      <c r="N3" s="17"/>
      <c r="R3" s="17"/>
      <c r="V3" s="2"/>
      <c r="X3" s="13"/>
      <c r="Y3" s="3"/>
      <c r="Z3" s="3"/>
      <c r="AI3" s="35"/>
      <c r="AJ3" s="10"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 s="10" t="str">
        <f>IFERROR(IF(OR(TRIM(Table24[[#This Row],[DOB]])="",TRIM(Table24[[#This Row],[Date of Call]])=""),"Cannot be calculated",DATEDIF(Table24[[#This Row],[DOB]],Table24[[#This Row],[Date of Call]],"Y")),"Cannot be calculated")</f>
        <v>Cannot be calculated</v>
      </c>
      <c r="AL3" s="10"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 s="19">
        <f>IFERROR(DATEDIF(Table24[[#This Row],[Date of Call]],Table24[[#This Row],[Follow-up Date]],"D"),"Cannot be calculated")</f>
        <v>0</v>
      </c>
      <c r="AN3" s="19" t="str">
        <f>IF(OR(Table24[[#This Row],[Client Age]]&lt;18,Table24[[#This Row],[If client DOB unknown, is client under 18?]]="Yes"),"Yes","No")</f>
        <v>No</v>
      </c>
      <c r="AO3" s="13" t="str">
        <f>IF(Table24[[#This Row],[Time of Inital Call]]="","",IFERROR(MROUND(Table24[[#This Row],[Time of Inital Call]],"1:00"),""))</f>
        <v/>
      </c>
      <c r="AP3" s="19" t="str">
        <f>IF(Table24[[#This Row],[Date of Call]]="","",TEXT(Table24[[#This Row],[Date of Call]],"dddd"))</f>
        <v/>
      </c>
      <c r="AQ3" s="19" t="str">
        <f>IFERROR(VLOOKUP(Table24[[#This Row],[Residence Zip Code]],Table27[],3,FALSE),"")</f>
        <v/>
      </c>
    </row>
    <row r="4" spans="1:43" x14ac:dyDescent="0.25">
      <c r="A4" s="3"/>
      <c r="B4" s="3"/>
      <c r="D4" s="1"/>
      <c r="J4" s="10"/>
      <c r="K4" s="10"/>
      <c r="N4" s="17"/>
      <c r="R4" s="17"/>
      <c r="V4" s="2"/>
      <c r="X4" s="13"/>
      <c r="Y4" s="3"/>
      <c r="Z4" s="3"/>
      <c r="AI4" s="35"/>
      <c r="AJ4" s="10"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 s="10" t="str">
        <f>IFERROR(IF(OR(TRIM(Table24[[#This Row],[DOB]])="",TRIM(Table24[[#This Row],[Date of Call]])=""),"Cannot be calculated",DATEDIF(Table24[[#This Row],[DOB]],Table24[[#This Row],[Date of Call]],"Y")),"Cannot be calculated")</f>
        <v>Cannot be calculated</v>
      </c>
      <c r="AL4" s="10"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 s="19">
        <f>IFERROR(DATEDIF(Table24[[#This Row],[Date of Call]],Table24[[#This Row],[Follow-up Date]],"D"),"Cannot be calculated")</f>
        <v>0</v>
      </c>
      <c r="AN4" s="19" t="str">
        <f>IF(OR(Table24[[#This Row],[Client Age]]&lt;18,Table24[[#This Row],[If client DOB unknown, is client under 18?]]="Yes"),"Yes","No")</f>
        <v>No</v>
      </c>
      <c r="AO4" s="13" t="str">
        <f>IF(Table24[[#This Row],[Time of Inital Call]]="","",IFERROR(MROUND(Table24[[#This Row],[Time of Inital Call]],"1:00"),""))</f>
        <v/>
      </c>
      <c r="AP4" s="19" t="str">
        <f>IF(Table24[[#This Row],[Date of Call]]="","",TEXT(Table24[[#This Row],[Date of Call]],"dddd"))</f>
        <v/>
      </c>
      <c r="AQ4" s="19" t="str">
        <f>IFERROR(VLOOKUP(Table24[[#This Row],[Residence Zip Code]],Table27[],3,FALSE),"")</f>
        <v/>
      </c>
    </row>
    <row r="5" spans="1:43" x14ac:dyDescent="0.25">
      <c r="A5" s="3"/>
      <c r="D5" s="1"/>
      <c r="J5" s="10"/>
      <c r="K5" s="10"/>
      <c r="N5" s="17"/>
      <c r="R5" s="17"/>
      <c r="V5" s="2"/>
      <c r="X5" s="13"/>
      <c r="Y5" s="3"/>
      <c r="Z5" s="3"/>
      <c r="AI5" s="35"/>
      <c r="AJ5" s="10"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5" s="10" t="str">
        <f>IFERROR(IF(OR(TRIM(Table24[[#This Row],[DOB]])="",TRIM(Table24[[#This Row],[Date of Call]])=""),"Cannot be calculated",DATEDIF(Table24[[#This Row],[DOB]],Table24[[#This Row],[Date of Call]],"Y")),"Cannot be calculated")</f>
        <v>Cannot be calculated</v>
      </c>
      <c r="AL5" s="10"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5" s="19">
        <f>IFERROR(DATEDIF(Table24[[#This Row],[Date of Call]],Table24[[#This Row],[Follow-up Date]],"D"),"Cannot be calculated")</f>
        <v>0</v>
      </c>
      <c r="AN5" s="19" t="str">
        <f>IF(OR(Table24[[#This Row],[Client Age]]&lt;18,Table24[[#This Row],[If client DOB unknown, is client under 18?]]="Yes"),"Yes","No")</f>
        <v>No</v>
      </c>
      <c r="AO5" s="13" t="str">
        <f>IF(Table24[[#This Row],[Time of Inital Call]]="","",IFERROR(MROUND(Table24[[#This Row],[Time of Inital Call]],"1:00"),""))</f>
        <v/>
      </c>
      <c r="AP5" s="19" t="str">
        <f>IF(Table24[[#This Row],[Date of Call]]="","",TEXT(Table24[[#This Row],[Date of Call]],"dddd"))</f>
        <v/>
      </c>
      <c r="AQ5" s="19" t="str">
        <f>IFERROR(VLOOKUP(Table24[[#This Row],[Residence Zip Code]],Table27[],3,FALSE),"")</f>
        <v/>
      </c>
    </row>
    <row r="6" spans="1:43" x14ac:dyDescent="0.25">
      <c r="A6" s="3"/>
      <c r="D6" s="1"/>
      <c r="J6" s="10"/>
      <c r="K6" s="10"/>
      <c r="N6" s="17"/>
      <c r="R6" s="17"/>
      <c r="V6" s="2"/>
      <c r="X6" s="13"/>
      <c r="Y6" s="3"/>
      <c r="Z6" s="3"/>
      <c r="AI6" s="35"/>
      <c r="AJ6" s="10"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6" s="10" t="str">
        <f>IFERROR(IF(OR(TRIM(Table24[[#This Row],[DOB]])="",TRIM(Table24[[#This Row],[Date of Call]])=""),"Cannot be calculated",DATEDIF(Table24[[#This Row],[DOB]],Table24[[#This Row],[Date of Call]],"Y")),"Cannot be calculated")</f>
        <v>Cannot be calculated</v>
      </c>
      <c r="AL6" s="10"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6" s="19">
        <f>IFERROR(DATEDIF(Table24[[#This Row],[Date of Call]],Table24[[#This Row],[Follow-up Date]],"D"),"Cannot be calculated")</f>
        <v>0</v>
      </c>
      <c r="AN6" s="19" t="str">
        <f>IF(OR(Table24[[#This Row],[Client Age]]&lt;18,Table24[[#This Row],[If client DOB unknown, is client under 18?]]="Yes"),"Yes","No")</f>
        <v>No</v>
      </c>
      <c r="AO6" s="13" t="str">
        <f>IF(Table24[[#This Row],[Time of Inital Call]]="","",IFERROR(MROUND(Table24[[#This Row],[Time of Inital Call]],"1:00"),""))</f>
        <v/>
      </c>
      <c r="AP6" s="19" t="str">
        <f>IF(Table24[[#This Row],[Date of Call]]="","",TEXT(Table24[[#This Row],[Date of Call]],"dddd"))</f>
        <v/>
      </c>
      <c r="AQ6" s="19" t="str">
        <f>IFERROR(VLOOKUP(Table24[[#This Row],[Residence Zip Code]],Table27[],3,FALSE),"")</f>
        <v/>
      </c>
    </row>
    <row r="7" spans="1:43" x14ac:dyDescent="0.25">
      <c r="A7" s="3"/>
      <c r="D7" s="1"/>
      <c r="J7" s="10"/>
      <c r="K7" s="10"/>
      <c r="N7" s="17"/>
      <c r="R7" s="17"/>
      <c r="V7" s="2"/>
      <c r="X7" s="13"/>
      <c r="Y7" s="3"/>
      <c r="Z7" s="3"/>
      <c r="AI7" s="35"/>
      <c r="AJ7" s="10"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7" s="10" t="str">
        <f>IFERROR(IF(OR(TRIM(Table24[[#This Row],[DOB]])="",TRIM(Table24[[#This Row],[Date of Call]])=""),"Cannot be calculated",DATEDIF(Table24[[#This Row],[DOB]],Table24[[#This Row],[Date of Call]],"Y")),"Cannot be calculated")</f>
        <v>Cannot be calculated</v>
      </c>
      <c r="AL7" s="10"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7" s="19">
        <f>IFERROR(DATEDIF(Table24[[#This Row],[Date of Call]],Table24[[#This Row],[Follow-up Date]],"D"),"Cannot be calculated")</f>
        <v>0</v>
      </c>
      <c r="AN7" s="19" t="str">
        <f>IF(OR(Table24[[#This Row],[Client Age]]&lt;18,Table24[[#This Row],[If client DOB unknown, is client under 18?]]="Yes"),"Yes","No")</f>
        <v>No</v>
      </c>
      <c r="AO7" s="13" t="str">
        <f>IF(Table24[[#This Row],[Time of Inital Call]]="","",IFERROR(MROUND(Table24[[#This Row],[Time of Inital Call]],"1:00"),""))</f>
        <v/>
      </c>
      <c r="AP7" s="19" t="str">
        <f>IF(Table24[[#This Row],[Date of Call]]="","",TEXT(Table24[[#This Row],[Date of Call]],"dddd"))</f>
        <v/>
      </c>
      <c r="AQ7" s="19" t="str">
        <f>IFERROR(VLOOKUP(Table24[[#This Row],[Residence Zip Code]],Table27[],3,FALSE),"")</f>
        <v/>
      </c>
    </row>
    <row r="8" spans="1:43" x14ac:dyDescent="0.25">
      <c r="A8" s="3"/>
      <c r="D8" s="1"/>
      <c r="J8" s="10"/>
      <c r="K8" s="10"/>
      <c r="N8" s="17"/>
      <c r="R8" s="17"/>
      <c r="V8" s="2"/>
      <c r="X8" s="13"/>
      <c r="Y8" s="3"/>
      <c r="Z8" s="3"/>
      <c r="AI8" s="35"/>
      <c r="AJ8" s="10"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8" s="10" t="str">
        <f>IFERROR(IF(OR(TRIM(Table24[[#This Row],[DOB]])="",TRIM(Table24[[#This Row],[Date of Call]])=""),"Cannot be calculated",DATEDIF(Table24[[#This Row],[DOB]],Table24[[#This Row],[Date of Call]],"Y")),"Cannot be calculated")</f>
        <v>Cannot be calculated</v>
      </c>
      <c r="AL8" s="10"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8" s="19">
        <f>IFERROR(DATEDIF(Table24[[#This Row],[Date of Call]],Table24[[#This Row],[Follow-up Date]],"D"),"Cannot be calculated")</f>
        <v>0</v>
      </c>
      <c r="AN8" s="19" t="str">
        <f>IF(OR(Table24[[#This Row],[Client Age]]&lt;18,Table24[[#This Row],[If client DOB unknown, is client under 18?]]="Yes"),"Yes","No")</f>
        <v>No</v>
      </c>
      <c r="AO8" s="13" t="str">
        <f>IF(Table24[[#This Row],[Time of Inital Call]]="","",IFERROR(MROUND(Table24[[#This Row],[Time of Inital Call]],"1:00"),""))</f>
        <v/>
      </c>
      <c r="AP8" s="19" t="str">
        <f>IF(Table24[[#This Row],[Date of Call]]="","",TEXT(Table24[[#This Row],[Date of Call]],"dddd"))</f>
        <v/>
      </c>
      <c r="AQ8" s="19" t="str">
        <f>IFERROR(VLOOKUP(Table24[[#This Row],[Residence Zip Code]],Table27[],3,FALSE),"")</f>
        <v/>
      </c>
    </row>
    <row r="9" spans="1:43" x14ac:dyDescent="0.25">
      <c r="A9" s="3"/>
      <c r="D9" s="1"/>
      <c r="J9" s="10"/>
      <c r="K9" s="10"/>
      <c r="N9" s="17"/>
      <c r="R9" s="17"/>
      <c r="V9" s="2"/>
      <c r="X9" s="13"/>
      <c r="Y9" s="3"/>
      <c r="Z9" s="3"/>
      <c r="AI9" s="35"/>
      <c r="AJ9" s="10"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9" s="10" t="str">
        <f>IFERROR(IF(OR(TRIM(Table24[[#This Row],[DOB]])="",TRIM(Table24[[#This Row],[Date of Call]])=""),"Cannot be calculated",DATEDIF(Table24[[#This Row],[DOB]],Table24[[#This Row],[Date of Call]],"Y")),"Cannot be calculated")</f>
        <v>Cannot be calculated</v>
      </c>
      <c r="AL9" s="10"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9" s="19">
        <f>IFERROR(DATEDIF(Table24[[#This Row],[Date of Call]],Table24[[#This Row],[Follow-up Date]],"D"),"Cannot be calculated")</f>
        <v>0</v>
      </c>
      <c r="AN9" s="19" t="str">
        <f>IF(OR(Table24[[#This Row],[Client Age]]&lt;18,Table24[[#This Row],[If client DOB unknown, is client under 18?]]="Yes"),"Yes","No")</f>
        <v>No</v>
      </c>
      <c r="AO9" s="13" t="str">
        <f>IF(Table24[[#This Row],[Time of Inital Call]]="","",IFERROR(MROUND(Table24[[#This Row],[Time of Inital Call]],"1:00"),""))</f>
        <v/>
      </c>
      <c r="AP9" s="19" t="str">
        <f>IF(Table24[[#This Row],[Date of Call]]="","",TEXT(Table24[[#This Row],[Date of Call]],"dddd"))</f>
        <v/>
      </c>
      <c r="AQ9" s="19" t="str">
        <f>IFERROR(VLOOKUP(Table24[[#This Row],[Residence Zip Code]],Table27[],3,FALSE),"")</f>
        <v/>
      </c>
    </row>
    <row r="10" spans="1:43" x14ac:dyDescent="0.25">
      <c r="A10" s="3"/>
      <c r="D10" s="1"/>
      <c r="J10" s="10"/>
      <c r="K10" s="10"/>
      <c r="N10" s="17"/>
      <c r="R10" s="17"/>
      <c r="V10" s="2"/>
      <c r="X10" s="13"/>
      <c r="Y10" s="3"/>
      <c r="Z10" s="3"/>
      <c r="AI10" s="35"/>
      <c r="AJ10" s="10"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0" s="10" t="str">
        <f>IFERROR(IF(OR(TRIM(Table24[[#This Row],[DOB]])="",TRIM(Table24[[#This Row],[Date of Call]])=""),"Cannot be calculated",DATEDIF(Table24[[#This Row],[DOB]],Table24[[#This Row],[Date of Call]],"Y")),"Cannot be calculated")</f>
        <v>Cannot be calculated</v>
      </c>
      <c r="AL10" s="10"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0" s="19">
        <f>IFERROR(DATEDIF(Table24[[#This Row],[Date of Call]],Table24[[#This Row],[Follow-up Date]],"D"),"Cannot be calculated")</f>
        <v>0</v>
      </c>
      <c r="AN10" s="19" t="str">
        <f>IF(OR(Table24[[#This Row],[Client Age]]&lt;18,Table24[[#This Row],[If client DOB unknown, is client under 18?]]="Yes"),"Yes","No")</f>
        <v>No</v>
      </c>
      <c r="AO10" s="13" t="str">
        <f>IF(Table24[[#This Row],[Time of Inital Call]]="","",IFERROR(MROUND(Table24[[#This Row],[Time of Inital Call]],"1:00"),""))</f>
        <v/>
      </c>
      <c r="AP10" s="19" t="str">
        <f>IF(Table24[[#This Row],[Date of Call]]="","",TEXT(Table24[[#This Row],[Date of Call]],"dddd"))</f>
        <v/>
      </c>
      <c r="AQ10" s="19" t="str">
        <f>IFERROR(VLOOKUP(Table24[[#This Row],[Residence Zip Code]],Table27[],3,FALSE),"")</f>
        <v/>
      </c>
    </row>
    <row r="11" spans="1:43" x14ac:dyDescent="0.25">
      <c r="A11" s="3"/>
      <c r="D11" s="1"/>
      <c r="J11" s="10"/>
      <c r="K11" s="10"/>
      <c r="N11" s="17"/>
      <c r="R11" s="17"/>
      <c r="V11" s="2"/>
      <c r="X11" s="13"/>
      <c r="Y11" s="3"/>
      <c r="Z11" s="3"/>
      <c r="AI11" s="35"/>
      <c r="AJ11" s="10"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1" s="10" t="str">
        <f>IFERROR(IF(OR(TRIM(Table24[[#This Row],[DOB]])="",TRIM(Table24[[#This Row],[Date of Call]])=""),"Cannot be calculated",DATEDIF(Table24[[#This Row],[DOB]],Table24[[#This Row],[Date of Call]],"Y")),"Cannot be calculated")</f>
        <v>Cannot be calculated</v>
      </c>
      <c r="AL11" s="10"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1" s="19">
        <f>IFERROR(DATEDIF(Table24[[#This Row],[Date of Call]],Table24[[#This Row],[Follow-up Date]],"D"),"Cannot be calculated")</f>
        <v>0</v>
      </c>
      <c r="AN11" s="19" t="str">
        <f>IF(OR(Table24[[#This Row],[Client Age]]&lt;18,Table24[[#This Row],[If client DOB unknown, is client under 18?]]="Yes"),"Yes","No")</f>
        <v>No</v>
      </c>
      <c r="AO11" s="13" t="str">
        <f>IF(Table24[[#This Row],[Time of Inital Call]]="","",IFERROR(MROUND(Table24[[#This Row],[Time of Inital Call]],"1:00"),""))</f>
        <v/>
      </c>
      <c r="AP11" s="19" t="str">
        <f>IF(Table24[[#This Row],[Date of Call]]="","",TEXT(Table24[[#This Row],[Date of Call]],"dddd"))</f>
        <v/>
      </c>
      <c r="AQ11" s="19" t="str">
        <f>IFERROR(VLOOKUP(Table24[[#This Row],[Residence Zip Code]],Table27[],3,FALSE),"")</f>
        <v/>
      </c>
    </row>
    <row r="12" spans="1:43" x14ac:dyDescent="0.25">
      <c r="A12" s="3"/>
      <c r="D12" s="1"/>
      <c r="J12" s="10"/>
      <c r="K12" s="10"/>
      <c r="N12" s="17"/>
      <c r="R12" s="17"/>
      <c r="V12" s="2"/>
      <c r="X12" s="13"/>
      <c r="Y12" s="3"/>
      <c r="Z12" s="3"/>
      <c r="AI12" s="35"/>
      <c r="AJ12" s="10"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2" s="10" t="str">
        <f>IFERROR(IF(OR(TRIM(Table24[[#This Row],[DOB]])="",TRIM(Table24[[#This Row],[Date of Call]])=""),"Cannot be calculated",DATEDIF(Table24[[#This Row],[DOB]],Table24[[#This Row],[Date of Call]],"Y")),"Cannot be calculated")</f>
        <v>Cannot be calculated</v>
      </c>
      <c r="AL12" s="10"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2" s="19">
        <f>IFERROR(DATEDIF(Table24[[#This Row],[Date of Call]],Table24[[#This Row],[Follow-up Date]],"D"),"Cannot be calculated")</f>
        <v>0</v>
      </c>
      <c r="AN12" s="19" t="str">
        <f>IF(OR(Table24[[#This Row],[Client Age]]&lt;18,Table24[[#This Row],[If client DOB unknown, is client under 18?]]="Yes"),"Yes","No")</f>
        <v>No</v>
      </c>
      <c r="AO12" s="13" t="str">
        <f>IF(Table24[[#This Row],[Time of Inital Call]]="","",IFERROR(MROUND(Table24[[#This Row],[Time of Inital Call]],"1:00"),""))</f>
        <v/>
      </c>
      <c r="AP12" s="19" t="str">
        <f>IF(Table24[[#This Row],[Date of Call]]="","",TEXT(Table24[[#This Row],[Date of Call]],"dddd"))</f>
        <v/>
      </c>
      <c r="AQ12" s="19" t="str">
        <f>IFERROR(VLOOKUP(Table24[[#This Row],[Residence Zip Code]],Table27[],3,FALSE),"")</f>
        <v/>
      </c>
    </row>
    <row r="13" spans="1:43" x14ac:dyDescent="0.25">
      <c r="A13" s="3"/>
      <c r="D13" s="1"/>
      <c r="J13" s="10"/>
      <c r="K13" s="10"/>
      <c r="N13" s="17"/>
      <c r="R13" s="17"/>
      <c r="V13" s="2"/>
      <c r="X13" s="13"/>
      <c r="Y13" s="3"/>
      <c r="Z13" s="3"/>
      <c r="AI13" s="35"/>
      <c r="AJ13" s="10"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3" s="10" t="str">
        <f>IFERROR(IF(OR(TRIM(Table24[[#This Row],[DOB]])="",TRIM(Table24[[#This Row],[Date of Call]])=""),"Cannot be calculated",DATEDIF(Table24[[#This Row],[DOB]],Table24[[#This Row],[Date of Call]],"Y")),"Cannot be calculated")</f>
        <v>Cannot be calculated</v>
      </c>
      <c r="AL13" s="10"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3" s="19">
        <f>IFERROR(DATEDIF(Table24[[#This Row],[Date of Call]],Table24[[#This Row],[Follow-up Date]],"D"),"Cannot be calculated")</f>
        <v>0</v>
      </c>
      <c r="AN13" s="19" t="str">
        <f>IF(OR(Table24[[#This Row],[Client Age]]&lt;18,Table24[[#This Row],[If client DOB unknown, is client under 18?]]="Yes"),"Yes","No")</f>
        <v>No</v>
      </c>
      <c r="AO13" s="13" t="str">
        <f>IF(Table24[[#This Row],[Time of Inital Call]]="","",IFERROR(MROUND(Table24[[#This Row],[Time of Inital Call]],"1:00"),""))</f>
        <v/>
      </c>
      <c r="AP13" s="19" t="str">
        <f>IF(Table24[[#This Row],[Date of Call]]="","",TEXT(Table24[[#This Row],[Date of Call]],"dddd"))</f>
        <v/>
      </c>
      <c r="AQ13" s="19" t="str">
        <f>IFERROR(VLOOKUP(Table24[[#This Row],[Residence Zip Code]],Table27[],3,FALSE),"")</f>
        <v/>
      </c>
    </row>
    <row r="14" spans="1:43" x14ac:dyDescent="0.25">
      <c r="A14" s="3"/>
      <c r="D14" s="1"/>
      <c r="J14" s="10"/>
      <c r="K14" s="10"/>
      <c r="N14" s="17"/>
      <c r="R14" s="17"/>
      <c r="V14" s="2"/>
      <c r="X14" s="13"/>
      <c r="Y14" s="3"/>
      <c r="Z14" s="3"/>
      <c r="AI14" s="35"/>
      <c r="AJ14" s="10"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4" s="10" t="str">
        <f>IFERROR(IF(OR(TRIM(Table24[[#This Row],[DOB]])="",TRIM(Table24[[#This Row],[Date of Call]])=""),"Cannot be calculated",DATEDIF(Table24[[#This Row],[DOB]],Table24[[#This Row],[Date of Call]],"Y")),"Cannot be calculated")</f>
        <v>Cannot be calculated</v>
      </c>
      <c r="AL14" s="10"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4" s="19">
        <f>IFERROR(DATEDIF(Table24[[#This Row],[Date of Call]],Table24[[#This Row],[Follow-up Date]],"D"),"Cannot be calculated")</f>
        <v>0</v>
      </c>
      <c r="AN14" s="19" t="str">
        <f>IF(OR(Table24[[#This Row],[Client Age]]&lt;18,Table24[[#This Row],[If client DOB unknown, is client under 18?]]="Yes"),"Yes","No")</f>
        <v>No</v>
      </c>
      <c r="AO14" s="13" t="str">
        <f>IF(Table24[[#This Row],[Time of Inital Call]]="","",IFERROR(MROUND(Table24[[#This Row],[Time of Inital Call]],"1:00"),""))</f>
        <v/>
      </c>
      <c r="AP14" s="19" t="str">
        <f>IF(Table24[[#This Row],[Date of Call]]="","",TEXT(Table24[[#This Row],[Date of Call]],"dddd"))</f>
        <v/>
      </c>
      <c r="AQ14" s="19" t="str">
        <f>IFERROR(VLOOKUP(Table24[[#This Row],[Residence Zip Code]],Table27[],3,FALSE),"")</f>
        <v/>
      </c>
    </row>
    <row r="15" spans="1:43" x14ac:dyDescent="0.25">
      <c r="A15" s="3"/>
      <c r="D15" s="1"/>
      <c r="J15" s="10"/>
      <c r="K15" s="10"/>
      <c r="N15" s="17"/>
      <c r="R15" s="17"/>
      <c r="V15" s="2"/>
      <c r="X15" s="13"/>
      <c r="Y15" s="3"/>
      <c r="Z15" s="3"/>
      <c r="AI15" s="35"/>
      <c r="AJ15" s="10"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5" s="10" t="str">
        <f>IFERROR(IF(OR(TRIM(Table24[[#This Row],[DOB]])="",TRIM(Table24[[#This Row],[Date of Call]])=""),"Cannot be calculated",DATEDIF(Table24[[#This Row],[DOB]],Table24[[#This Row],[Date of Call]],"Y")),"Cannot be calculated")</f>
        <v>Cannot be calculated</v>
      </c>
      <c r="AL15" s="10"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5" s="19">
        <f>IFERROR(DATEDIF(Table24[[#This Row],[Date of Call]],Table24[[#This Row],[Follow-up Date]],"D"),"Cannot be calculated")</f>
        <v>0</v>
      </c>
      <c r="AN15" s="19" t="str">
        <f>IF(OR(Table24[[#This Row],[Client Age]]&lt;18,Table24[[#This Row],[If client DOB unknown, is client under 18?]]="Yes"),"Yes","No")</f>
        <v>No</v>
      </c>
      <c r="AO15" s="13" t="str">
        <f>IF(Table24[[#This Row],[Time of Inital Call]]="","",IFERROR(MROUND(Table24[[#This Row],[Time of Inital Call]],"1:00"),""))</f>
        <v/>
      </c>
      <c r="AP15" s="19" t="str">
        <f>IF(Table24[[#This Row],[Date of Call]]="","",TEXT(Table24[[#This Row],[Date of Call]],"dddd"))</f>
        <v/>
      </c>
      <c r="AQ15" s="19" t="str">
        <f>IFERROR(VLOOKUP(Table24[[#This Row],[Residence Zip Code]],Table27[],3,FALSE),"")</f>
        <v/>
      </c>
    </row>
    <row r="16" spans="1:43" x14ac:dyDescent="0.25">
      <c r="A16" s="3"/>
      <c r="D16" s="1"/>
      <c r="J16" s="10"/>
      <c r="K16" s="10"/>
      <c r="N16" s="17"/>
      <c r="R16" s="17"/>
      <c r="V16" s="2"/>
      <c r="X16" s="13"/>
      <c r="Y16" s="3"/>
      <c r="Z16" s="3"/>
      <c r="AI16" s="35"/>
      <c r="AJ16" s="10"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6" s="10" t="str">
        <f>IFERROR(IF(OR(TRIM(Table24[[#This Row],[DOB]])="",TRIM(Table24[[#This Row],[Date of Call]])=""),"Cannot be calculated",DATEDIF(Table24[[#This Row],[DOB]],Table24[[#This Row],[Date of Call]],"Y")),"Cannot be calculated")</f>
        <v>Cannot be calculated</v>
      </c>
      <c r="AL16" s="10"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6" s="19">
        <f>IFERROR(DATEDIF(Table24[[#This Row],[Date of Call]],Table24[[#This Row],[Follow-up Date]],"D"),"Cannot be calculated")</f>
        <v>0</v>
      </c>
      <c r="AN16" s="19" t="str">
        <f>IF(OR(Table24[[#This Row],[Client Age]]&lt;18,Table24[[#This Row],[If client DOB unknown, is client under 18?]]="Yes"),"Yes","No")</f>
        <v>No</v>
      </c>
      <c r="AO16" s="13" t="str">
        <f>IF(Table24[[#This Row],[Time of Inital Call]]="","",IFERROR(MROUND(Table24[[#This Row],[Time of Inital Call]],"1:00"),""))</f>
        <v/>
      </c>
      <c r="AP16" s="19" t="str">
        <f>IF(Table24[[#This Row],[Date of Call]]="","",TEXT(Table24[[#This Row],[Date of Call]],"dddd"))</f>
        <v/>
      </c>
      <c r="AQ16" s="19" t="str">
        <f>IFERROR(VLOOKUP(Table24[[#This Row],[Residence Zip Code]],Table27[],3,FALSE),"")</f>
        <v/>
      </c>
    </row>
    <row r="17" spans="1:43" x14ac:dyDescent="0.25">
      <c r="A17" s="3"/>
      <c r="D17" s="1"/>
      <c r="J17" s="10"/>
      <c r="K17" s="10"/>
      <c r="N17" s="17"/>
      <c r="R17" s="17"/>
      <c r="V17" s="2"/>
      <c r="X17" s="13"/>
      <c r="Y17" s="3"/>
      <c r="Z17" s="3"/>
      <c r="AA17" s="3"/>
      <c r="AI17" s="35"/>
      <c r="AJ17" s="10"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7" s="10" t="str">
        <f>IFERROR(IF(OR(TRIM(Table24[[#This Row],[DOB]])="",TRIM(Table24[[#This Row],[Date of Call]])=""),"Cannot be calculated",DATEDIF(Table24[[#This Row],[DOB]],Table24[[#This Row],[Date of Call]],"Y")),"Cannot be calculated")</f>
        <v>Cannot be calculated</v>
      </c>
      <c r="AL17" s="10"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7" s="19">
        <f>IFERROR(DATEDIF(Table24[[#This Row],[Date of Call]],Table24[[#This Row],[Follow-up Date]],"D"),"Cannot be calculated")</f>
        <v>0</v>
      </c>
      <c r="AN17" s="19" t="str">
        <f>IF(OR(Table24[[#This Row],[Client Age]]&lt;18,Table24[[#This Row],[If client DOB unknown, is client under 18?]]="Yes"),"Yes","No")</f>
        <v>No</v>
      </c>
      <c r="AO17" s="13" t="str">
        <f>IF(Table24[[#This Row],[Time of Inital Call]]="","",IFERROR(MROUND(Table24[[#This Row],[Time of Inital Call]],"1:00"),""))</f>
        <v/>
      </c>
      <c r="AP17" s="19" t="str">
        <f>IF(Table24[[#This Row],[Date of Call]]="","",TEXT(Table24[[#This Row],[Date of Call]],"dddd"))</f>
        <v/>
      </c>
      <c r="AQ17" s="19" t="str">
        <f>IFERROR(VLOOKUP(Table24[[#This Row],[Residence Zip Code]],Table27[],3,FALSE),"")</f>
        <v/>
      </c>
    </row>
    <row r="18" spans="1:43" x14ac:dyDescent="0.25">
      <c r="A18" s="3"/>
      <c r="D18" s="1"/>
      <c r="J18" s="10"/>
      <c r="K18" s="10"/>
      <c r="N18" s="17"/>
      <c r="R18" s="17"/>
      <c r="V18" s="2"/>
      <c r="X18" s="13"/>
      <c r="Y18" s="3"/>
      <c r="Z18" s="3"/>
      <c r="AA18" s="3"/>
      <c r="AI18" s="35"/>
      <c r="AJ18" s="10"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8" s="10" t="str">
        <f>IFERROR(IF(OR(TRIM(Table24[[#This Row],[DOB]])="",TRIM(Table24[[#This Row],[Date of Call]])=""),"Cannot be calculated",DATEDIF(Table24[[#This Row],[DOB]],Table24[[#This Row],[Date of Call]],"Y")),"Cannot be calculated")</f>
        <v>Cannot be calculated</v>
      </c>
      <c r="AL18" s="10"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8" s="19">
        <f>IFERROR(DATEDIF(Table24[[#This Row],[Date of Call]],Table24[[#This Row],[Follow-up Date]],"D"),"Cannot be calculated")</f>
        <v>0</v>
      </c>
      <c r="AN18" s="19" t="str">
        <f>IF(OR(Table24[[#This Row],[Client Age]]&lt;18,Table24[[#This Row],[If client DOB unknown, is client under 18?]]="Yes"),"Yes","No")</f>
        <v>No</v>
      </c>
      <c r="AO18" s="13" t="str">
        <f>IF(Table24[[#This Row],[Time of Inital Call]]="","",IFERROR(MROUND(Table24[[#This Row],[Time of Inital Call]],"1:00"),""))</f>
        <v/>
      </c>
      <c r="AP18" s="19" t="str">
        <f>IF(Table24[[#This Row],[Date of Call]]="","",TEXT(Table24[[#This Row],[Date of Call]],"dddd"))</f>
        <v/>
      </c>
      <c r="AQ18" s="19" t="str">
        <f>IFERROR(VLOOKUP(Table24[[#This Row],[Residence Zip Code]],Table27[],3,FALSE),"")</f>
        <v/>
      </c>
    </row>
    <row r="19" spans="1:43" x14ac:dyDescent="0.25">
      <c r="A19" s="3"/>
      <c r="B19" s="3"/>
      <c r="D19" s="1"/>
      <c r="J19" s="10"/>
      <c r="K19" s="10"/>
      <c r="N19" s="17"/>
      <c r="R19" s="17"/>
      <c r="V19" s="2"/>
      <c r="X19" s="13"/>
      <c r="Y19" s="3"/>
      <c r="Z19" s="3"/>
      <c r="AA19" s="3"/>
      <c r="AI19" s="35"/>
      <c r="AJ19" s="10"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9" s="10" t="str">
        <f>IFERROR(IF(OR(TRIM(Table24[[#This Row],[DOB]])="",TRIM(Table24[[#This Row],[Date of Call]])=""),"Cannot be calculated",DATEDIF(Table24[[#This Row],[DOB]],Table24[[#This Row],[Date of Call]],"Y")),"Cannot be calculated")</f>
        <v>Cannot be calculated</v>
      </c>
      <c r="AL19" s="10"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9" s="19">
        <f>IFERROR(DATEDIF(Table24[[#This Row],[Date of Call]],Table24[[#This Row],[Follow-up Date]],"D"),"Cannot be calculated")</f>
        <v>0</v>
      </c>
      <c r="AN19" s="19" t="str">
        <f>IF(OR(Table24[[#This Row],[Client Age]]&lt;18,Table24[[#This Row],[If client DOB unknown, is client under 18?]]="Yes"),"Yes","No")</f>
        <v>No</v>
      </c>
      <c r="AO19" s="13" t="str">
        <f>IF(Table24[[#This Row],[Time of Inital Call]]="","",IFERROR(MROUND(Table24[[#This Row],[Time of Inital Call]],"1:00"),""))</f>
        <v/>
      </c>
      <c r="AP19" s="19" t="str">
        <f>IF(Table24[[#This Row],[Date of Call]]="","",TEXT(Table24[[#This Row],[Date of Call]],"dddd"))</f>
        <v/>
      </c>
      <c r="AQ19" s="19" t="str">
        <f>IFERROR(VLOOKUP(Table24[[#This Row],[Residence Zip Code]],Table27[],3,FALSE),"")</f>
        <v/>
      </c>
    </row>
    <row r="20" spans="1:43" x14ac:dyDescent="0.25">
      <c r="A20" s="3"/>
      <c r="D20" s="1"/>
      <c r="J20" s="10"/>
      <c r="K20" s="10"/>
      <c r="N20" s="17"/>
      <c r="R20" s="17"/>
      <c r="V20" s="2"/>
      <c r="X20" s="13"/>
      <c r="Y20" s="3"/>
      <c r="Z20" s="3"/>
      <c r="AA20" s="3"/>
      <c r="AI20" s="35"/>
      <c r="AJ20" s="10"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0" s="10" t="str">
        <f>IFERROR(IF(OR(TRIM(Table24[[#This Row],[DOB]])="",TRIM(Table24[[#This Row],[Date of Call]])=""),"Cannot be calculated",DATEDIF(Table24[[#This Row],[DOB]],Table24[[#This Row],[Date of Call]],"Y")),"Cannot be calculated")</f>
        <v>Cannot be calculated</v>
      </c>
      <c r="AL20" s="10"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0" s="19">
        <f>IFERROR(DATEDIF(Table24[[#This Row],[Date of Call]],Table24[[#This Row],[Follow-up Date]],"D"),"Cannot be calculated")</f>
        <v>0</v>
      </c>
      <c r="AN20" s="19" t="str">
        <f>IF(OR(Table24[[#This Row],[Client Age]]&lt;18,Table24[[#This Row],[If client DOB unknown, is client under 18?]]="Yes"),"Yes","No")</f>
        <v>No</v>
      </c>
      <c r="AO20" s="13" t="str">
        <f>IF(Table24[[#This Row],[Time of Inital Call]]="","",IFERROR(MROUND(Table24[[#This Row],[Time of Inital Call]],"1:00"),""))</f>
        <v/>
      </c>
      <c r="AP20" s="19" t="str">
        <f>IF(Table24[[#This Row],[Date of Call]]="","",TEXT(Table24[[#This Row],[Date of Call]],"dddd"))</f>
        <v/>
      </c>
      <c r="AQ20" s="19" t="str">
        <f>IFERROR(VLOOKUP(Table24[[#This Row],[Residence Zip Code]],Table27[],3,FALSE),"")</f>
        <v/>
      </c>
    </row>
    <row r="21" spans="1:43" x14ac:dyDescent="0.25">
      <c r="A21" s="3"/>
      <c r="D21" s="1"/>
      <c r="J21" s="10"/>
      <c r="K21" s="10"/>
      <c r="N21" s="17"/>
      <c r="R21" s="17"/>
      <c r="V21" s="2"/>
      <c r="X21" s="13"/>
      <c r="Y21" s="3"/>
      <c r="Z21" s="3"/>
      <c r="AA21" s="3"/>
      <c r="AI21" s="35"/>
      <c r="AJ21" s="10"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1" s="10" t="str">
        <f>IFERROR(IF(OR(TRIM(Table24[[#This Row],[DOB]])="",TRIM(Table24[[#This Row],[Date of Call]])=""),"Cannot be calculated",DATEDIF(Table24[[#This Row],[DOB]],Table24[[#This Row],[Date of Call]],"Y")),"Cannot be calculated")</f>
        <v>Cannot be calculated</v>
      </c>
      <c r="AL21" s="10"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1" s="19">
        <f>IFERROR(DATEDIF(Table24[[#This Row],[Date of Call]],Table24[[#This Row],[Follow-up Date]],"D"),"Cannot be calculated")</f>
        <v>0</v>
      </c>
      <c r="AN21" s="19" t="str">
        <f>IF(OR(Table24[[#This Row],[Client Age]]&lt;18,Table24[[#This Row],[If client DOB unknown, is client under 18?]]="Yes"),"Yes","No")</f>
        <v>No</v>
      </c>
      <c r="AO21" s="13" t="str">
        <f>IF(Table24[[#This Row],[Time of Inital Call]]="","",IFERROR(MROUND(Table24[[#This Row],[Time of Inital Call]],"1:00"),""))</f>
        <v/>
      </c>
      <c r="AP21" s="19" t="str">
        <f>IF(Table24[[#This Row],[Date of Call]]="","",TEXT(Table24[[#This Row],[Date of Call]],"dddd"))</f>
        <v/>
      </c>
      <c r="AQ21" s="19" t="str">
        <f>IFERROR(VLOOKUP(Table24[[#This Row],[Residence Zip Code]],Table27[],3,FALSE),"")</f>
        <v/>
      </c>
    </row>
    <row r="22" spans="1:43" x14ac:dyDescent="0.25">
      <c r="A22" s="3"/>
      <c r="D22" s="1"/>
      <c r="J22" s="10"/>
      <c r="K22" s="10"/>
      <c r="N22" s="17"/>
      <c r="R22" s="17"/>
      <c r="V22" s="2"/>
      <c r="X22" s="13"/>
      <c r="Y22" s="3"/>
      <c r="Z22" s="3"/>
      <c r="AA22" s="3"/>
      <c r="AI22" s="35"/>
      <c r="AJ22" s="10"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2" s="10" t="str">
        <f>IFERROR(IF(OR(TRIM(Table24[[#This Row],[DOB]])="",TRIM(Table24[[#This Row],[Date of Call]])=""),"Cannot be calculated",DATEDIF(Table24[[#This Row],[DOB]],Table24[[#This Row],[Date of Call]],"Y")),"Cannot be calculated")</f>
        <v>Cannot be calculated</v>
      </c>
      <c r="AL22" s="10"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2" s="19">
        <f>IFERROR(DATEDIF(Table24[[#This Row],[Date of Call]],Table24[[#This Row],[Follow-up Date]],"D"),"Cannot be calculated")</f>
        <v>0</v>
      </c>
      <c r="AN22" s="19" t="str">
        <f>IF(OR(Table24[[#This Row],[Client Age]]&lt;18,Table24[[#This Row],[If client DOB unknown, is client under 18?]]="Yes"),"Yes","No")</f>
        <v>No</v>
      </c>
      <c r="AO22" s="13" t="str">
        <f>IF(Table24[[#This Row],[Time of Inital Call]]="","",IFERROR(MROUND(Table24[[#This Row],[Time of Inital Call]],"1:00"),""))</f>
        <v/>
      </c>
      <c r="AP22" s="19" t="str">
        <f>IF(Table24[[#This Row],[Date of Call]]="","",TEXT(Table24[[#This Row],[Date of Call]],"dddd"))</f>
        <v/>
      </c>
      <c r="AQ22" s="19" t="str">
        <f>IFERROR(VLOOKUP(Table24[[#This Row],[Residence Zip Code]],Table27[],3,FALSE),"")</f>
        <v/>
      </c>
    </row>
    <row r="23" spans="1:43" x14ac:dyDescent="0.25">
      <c r="A23" s="3"/>
      <c r="D23" s="1"/>
      <c r="J23" s="10"/>
      <c r="K23" s="10"/>
      <c r="N23" s="17"/>
      <c r="R23" s="17"/>
      <c r="V23" s="2"/>
      <c r="X23" s="13"/>
      <c r="Y23" s="3"/>
      <c r="Z23" s="3"/>
      <c r="AA23" s="3"/>
      <c r="AI23" s="35"/>
      <c r="AJ23" s="10"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3" s="10" t="str">
        <f>IFERROR(IF(OR(TRIM(Table24[[#This Row],[DOB]])="",TRIM(Table24[[#This Row],[Date of Call]])=""),"Cannot be calculated",DATEDIF(Table24[[#This Row],[DOB]],Table24[[#This Row],[Date of Call]],"Y")),"Cannot be calculated")</f>
        <v>Cannot be calculated</v>
      </c>
      <c r="AL23" s="10"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3" s="19">
        <f>IFERROR(DATEDIF(Table24[[#This Row],[Date of Call]],Table24[[#This Row],[Follow-up Date]],"D"),"Cannot be calculated")</f>
        <v>0</v>
      </c>
      <c r="AN23" s="19" t="str">
        <f>IF(OR(Table24[[#This Row],[Client Age]]&lt;18,Table24[[#This Row],[If client DOB unknown, is client under 18?]]="Yes"),"Yes","No")</f>
        <v>No</v>
      </c>
      <c r="AO23" s="13" t="str">
        <f>IF(Table24[[#This Row],[Time of Inital Call]]="","",IFERROR(MROUND(Table24[[#This Row],[Time of Inital Call]],"1:00"),""))</f>
        <v/>
      </c>
      <c r="AP23" s="19" t="str">
        <f>IF(Table24[[#This Row],[Date of Call]]="","",TEXT(Table24[[#This Row],[Date of Call]],"dddd"))</f>
        <v/>
      </c>
      <c r="AQ23" s="19" t="str">
        <f>IFERROR(VLOOKUP(Table24[[#This Row],[Residence Zip Code]],Table27[],3,FALSE),"")</f>
        <v/>
      </c>
    </row>
    <row r="24" spans="1:43" x14ac:dyDescent="0.25">
      <c r="A24" s="3"/>
      <c r="D24" s="1"/>
      <c r="J24" s="10"/>
      <c r="K24" s="10"/>
      <c r="N24" s="17"/>
      <c r="R24" s="17"/>
      <c r="V24" s="2"/>
      <c r="X24" s="13"/>
      <c r="Y24" s="3"/>
      <c r="Z24" s="3"/>
      <c r="AA24" s="3"/>
      <c r="AI24" s="35"/>
      <c r="AJ24" s="10"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4" s="10" t="str">
        <f>IFERROR(IF(OR(TRIM(Table24[[#This Row],[DOB]])="",TRIM(Table24[[#This Row],[Date of Call]])=""),"Cannot be calculated",DATEDIF(Table24[[#This Row],[DOB]],Table24[[#This Row],[Date of Call]],"Y")),"Cannot be calculated")</f>
        <v>Cannot be calculated</v>
      </c>
      <c r="AL24" s="10"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4" s="19">
        <f>IFERROR(DATEDIF(Table24[[#This Row],[Date of Call]],Table24[[#This Row],[Follow-up Date]],"D"),"Cannot be calculated")</f>
        <v>0</v>
      </c>
      <c r="AN24" s="19" t="str">
        <f>IF(OR(Table24[[#This Row],[Client Age]]&lt;18,Table24[[#This Row],[If client DOB unknown, is client under 18?]]="Yes"),"Yes","No")</f>
        <v>No</v>
      </c>
      <c r="AO24" s="13" t="str">
        <f>IF(Table24[[#This Row],[Time of Inital Call]]="","",IFERROR(MROUND(Table24[[#This Row],[Time of Inital Call]],"1:00"),""))</f>
        <v/>
      </c>
      <c r="AP24" s="19" t="str">
        <f>IF(Table24[[#This Row],[Date of Call]]="","",TEXT(Table24[[#This Row],[Date of Call]],"dddd"))</f>
        <v/>
      </c>
      <c r="AQ24" s="19" t="str">
        <f>IFERROR(VLOOKUP(Table24[[#This Row],[Residence Zip Code]],Table27[],3,FALSE),"")</f>
        <v/>
      </c>
    </row>
    <row r="25" spans="1:43" x14ac:dyDescent="0.25">
      <c r="A25" s="3"/>
      <c r="D25" s="1"/>
      <c r="J25" s="10"/>
      <c r="K25" s="10"/>
      <c r="N25" s="17"/>
      <c r="R25" s="17"/>
      <c r="V25" s="2"/>
      <c r="X25" s="13"/>
      <c r="Y25" s="3"/>
      <c r="Z25" s="3"/>
      <c r="AA25" s="3"/>
      <c r="AI25" s="35"/>
      <c r="AJ25" s="10"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5" s="10" t="str">
        <f>IFERROR(IF(OR(TRIM(Table24[[#This Row],[DOB]])="",TRIM(Table24[[#This Row],[Date of Call]])=""),"Cannot be calculated",DATEDIF(Table24[[#This Row],[DOB]],Table24[[#This Row],[Date of Call]],"Y")),"Cannot be calculated")</f>
        <v>Cannot be calculated</v>
      </c>
      <c r="AL25" s="10"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5" s="19">
        <f>IFERROR(DATEDIF(Table24[[#This Row],[Date of Call]],Table24[[#This Row],[Follow-up Date]],"D"),"Cannot be calculated")</f>
        <v>0</v>
      </c>
      <c r="AN25" s="19" t="str">
        <f>IF(OR(Table24[[#This Row],[Client Age]]&lt;18,Table24[[#This Row],[If client DOB unknown, is client under 18?]]="Yes"),"Yes","No")</f>
        <v>No</v>
      </c>
      <c r="AO25" s="13" t="str">
        <f>IF(Table24[[#This Row],[Time of Inital Call]]="","",IFERROR(MROUND(Table24[[#This Row],[Time of Inital Call]],"1:00"),""))</f>
        <v/>
      </c>
      <c r="AP25" s="19" t="str">
        <f>IF(Table24[[#This Row],[Date of Call]]="","",TEXT(Table24[[#This Row],[Date of Call]],"dddd"))</f>
        <v/>
      </c>
      <c r="AQ25" s="19" t="str">
        <f>IFERROR(VLOOKUP(Table24[[#This Row],[Residence Zip Code]],Table27[],3,FALSE),"")</f>
        <v/>
      </c>
    </row>
    <row r="26" spans="1:43" x14ac:dyDescent="0.25">
      <c r="A26" s="3"/>
      <c r="D26" s="1"/>
      <c r="J26" s="10"/>
      <c r="K26" s="10"/>
      <c r="N26" s="17"/>
      <c r="R26" s="17"/>
      <c r="V26" s="2"/>
      <c r="X26" s="13"/>
      <c r="Y26" s="3"/>
      <c r="Z26" s="3"/>
      <c r="AA26" s="3"/>
      <c r="AI26" s="35"/>
      <c r="AJ26" s="10"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6" s="10" t="str">
        <f>IFERROR(IF(OR(TRIM(Table24[[#This Row],[DOB]])="",TRIM(Table24[[#This Row],[Date of Call]])=""),"Cannot be calculated",DATEDIF(Table24[[#This Row],[DOB]],Table24[[#This Row],[Date of Call]],"Y")),"Cannot be calculated")</f>
        <v>Cannot be calculated</v>
      </c>
      <c r="AL26" s="10"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6" s="19">
        <f>IFERROR(DATEDIF(Table24[[#This Row],[Date of Call]],Table24[[#This Row],[Follow-up Date]],"D"),"Cannot be calculated")</f>
        <v>0</v>
      </c>
      <c r="AN26" s="19" t="str">
        <f>IF(OR(Table24[[#This Row],[Client Age]]&lt;18,Table24[[#This Row],[If client DOB unknown, is client under 18?]]="Yes"),"Yes","No")</f>
        <v>No</v>
      </c>
      <c r="AO26" s="13" t="str">
        <f>IF(Table24[[#This Row],[Time of Inital Call]]="","",IFERROR(MROUND(Table24[[#This Row],[Time of Inital Call]],"1:00"),""))</f>
        <v/>
      </c>
      <c r="AP26" s="19" t="str">
        <f>IF(Table24[[#This Row],[Date of Call]]="","",TEXT(Table24[[#This Row],[Date of Call]],"dddd"))</f>
        <v/>
      </c>
      <c r="AQ26" s="19" t="str">
        <f>IFERROR(VLOOKUP(Table24[[#This Row],[Residence Zip Code]],Table27[],3,FALSE),"")</f>
        <v/>
      </c>
    </row>
    <row r="27" spans="1:43" x14ac:dyDescent="0.25">
      <c r="A27" s="3"/>
      <c r="D27" s="1"/>
      <c r="J27" s="10"/>
      <c r="K27" s="10"/>
      <c r="N27" s="17"/>
      <c r="R27" s="17"/>
      <c r="V27" s="2"/>
      <c r="X27" s="13"/>
      <c r="Y27" s="3"/>
      <c r="Z27" s="3"/>
      <c r="AA27" s="3"/>
      <c r="AI27" s="35"/>
      <c r="AJ27" s="10"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7" s="10" t="str">
        <f>IFERROR(IF(OR(TRIM(Table24[[#This Row],[DOB]])="",TRIM(Table24[[#This Row],[Date of Call]])=""),"Cannot be calculated",DATEDIF(Table24[[#This Row],[DOB]],Table24[[#This Row],[Date of Call]],"Y")),"Cannot be calculated")</f>
        <v>Cannot be calculated</v>
      </c>
      <c r="AL27" s="10"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7" s="19">
        <f>IFERROR(DATEDIF(Table24[[#This Row],[Date of Call]],Table24[[#This Row],[Follow-up Date]],"D"),"Cannot be calculated")</f>
        <v>0</v>
      </c>
      <c r="AN27" s="19" t="str">
        <f>IF(OR(Table24[[#This Row],[Client Age]]&lt;18,Table24[[#This Row],[If client DOB unknown, is client under 18?]]="Yes"),"Yes","No")</f>
        <v>No</v>
      </c>
      <c r="AO27" s="13" t="str">
        <f>IF(Table24[[#This Row],[Time of Inital Call]]="","",IFERROR(MROUND(Table24[[#This Row],[Time of Inital Call]],"1:00"),""))</f>
        <v/>
      </c>
      <c r="AP27" s="19" t="str">
        <f>IF(Table24[[#This Row],[Date of Call]]="","",TEXT(Table24[[#This Row],[Date of Call]],"dddd"))</f>
        <v/>
      </c>
      <c r="AQ27" s="19" t="str">
        <f>IFERROR(VLOOKUP(Table24[[#This Row],[Residence Zip Code]],Table27[],3,FALSE),"")</f>
        <v/>
      </c>
    </row>
    <row r="28" spans="1:43" x14ac:dyDescent="0.25">
      <c r="A28" s="3"/>
      <c r="D28" s="1"/>
      <c r="J28" s="10"/>
      <c r="K28" s="10"/>
      <c r="N28" s="17"/>
      <c r="R28" s="17"/>
      <c r="V28" s="2"/>
      <c r="X28" s="13"/>
      <c r="Y28" s="3"/>
      <c r="Z28" s="3"/>
      <c r="AA28" s="3"/>
      <c r="AI28" s="35"/>
      <c r="AJ28" s="10"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8" s="10" t="str">
        <f>IFERROR(IF(OR(TRIM(Table24[[#This Row],[DOB]])="",TRIM(Table24[[#This Row],[Date of Call]])=""),"Cannot be calculated",DATEDIF(Table24[[#This Row],[DOB]],Table24[[#This Row],[Date of Call]],"Y")),"Cannot be calculated")</f>
        <v>Cannot be calculated</v>
      </c>
      <c r="AL28" s="10"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8" s="19">
        <f>IFERROR(DATEDIF(Table24[[#This Row],[Date of Call]],Table24[[#This Row],[Follow-up Date]],"D"),"Cannot be calculated")</f>
        <v>0</v>
      </c>
      <c r="AN28" s="19" t="str">
        <f>IF(OR(Table24[[#This Row],[Client Age]]&lt;18,Table24[[#This Row],[If client DOB unknown, is client under 18?]]="Yes"),"Yes","No")</f>
        <v>No</v>
      </c>
      <c r="AO28" s="13" t="str">
        <f>IF(Table24[[#This Row],[Time of Inital Call]]="","",IFERROR(MROUND(Table24[[#This Row],[Time of Inital Call]],"1:00"),""))</f>
        <v/>
      </c>
      <c r="AP28" s="19" t="str">
        <f>IF(Table24[[#This Row],[Date of Call]]="","",TEXT(Table24[[#This Row],[Date of Call]],"dddd"))</f>
        <v/>
      </c>
      <c r="AQ28" s="19" t="str">
        <f>IFERROR(VLOOKUP(Table24[[#This Row],[Residence Zip Code]],Table27[],3,FALSE),"")</f>
        <v/>
      </c>
    </row>
    <row r="29" spans="1:43" x14ac:dyDescent="0.25">
      <c r="A29" s="3"/>
      <c r="D29" s="1"/>
      <c r="J29" s="10"/>
      <c r="K29" s="10"/>
      <c r="N29" s="17"/>
      <c r="R29" s="17"/>
      <c r="V29" s="2"/>
      <c r="X29" s="13"/>
      <c r="Y29" s="3"/>
      <c r="Z29" s="3"/>
      <c r="AA29" s="3"/>
      <c r="AI29" s="35"/>
      <c r="AJ29" s="10"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9" s="10" t="str">
        <f>IFERROR(IF(OR(TRIM(Table24[[#This Row],[DOB]])="",TRIM(Table24[[#This Row],[Date of Call]])=""),"Cannot be calculated",DATEDIF(Table24[[#This Row],[DOB]],Table24[[#This Row],[Date of Call]],"Y")),"Cannot be calculated")</f>
        <v>Cannot be calculated</v>
      </c>
      <c r="AL29" s="10"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9" s="19">
        <f>IFERROR(DATEDIF(Table24[[#This Row],[Date of Call]],Table24[[#This Row],[Follow-up Date]],"D"),"Cannot be calculated")</f>
        <v>0</v>
      </c>
      <c r="AN29" s="19" t="str">
        <f>IF(OR(Table24[[#This Row],[Client Age]]&lt;18,Table24[[#This Row],[If client DOB unknown, is client under 18?]]="Yes"),"Yes","No")</f>
        <v>No</v>
      </c>
      <c r="AO29" s="13" t="str">
        <f>IF(Table24[[#This Row],[Time of Inital Call]]="","",IFERROR(MROUND(Table24[[#This Row],[Time of Inital Call]],"1:00"),""))</f>
        <v/>
      </c>
      <c r="AP29" s="19" t="str">
        <f>IF(Table24[[#This Row],[Date of Call]]="","",TEXT(Table24[[#This Row],[Date of Call]],"dddd"))</f>
        <v/>
      </c>
      <c r="AQ29" s="19" t="str">
        <f>IFERROR(VLOOKUP(Table24[[#This Row],[Residence Zip Code]],Table27[],3,FALSE),"")</f>
        <v/>
      </c>
    </row>
    <row r="30" spans="1:43" x14ac:dyDescent="0.25">
      <c r="A30" s="3"/>
      <c r="D30" s="1"/>
      <c r="J30" s="10"/>
      <c r="K30" s="10"/>
      <c r="N30" s="17"/>
      <c r="R30" s="17"/>
      <c r="V30" s="2"/>
      <c r="X30" s="13"/>
      <c r="Y30" s="3"/>
      <c r="Z30" s="3"/>
      <c r="AA30" s="3"/>
      <c r="AI30" s="35"/>
      <c r="AJ30" s="10"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0" s="10" t="str">
        <f>IFERROR(IF(OR(TRIM(Table24[[#This Row],[DOB]])="",TRIM(Table24[[#This Row],[Date of Call]])=""),"Cannot be calculated",DATEDIF(Table24[[#This Row],[DOB]],Table24[[#This Row],[Date of Call]],"Y")),"Cannot be calculated")</f>
        <v>Cannot be calculated</v>
      </c>
      <c r="AL30" s="10"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0" s="19">
        <f>IFERROR(DATEDIF(Table24[[#This Row],[Date of Call]],Table24[[#This Row],[Follow-up Date]],"D"),"Cannot be calculated")</f>
        <v>0</v>
      </c>
      <c r="AN30" s="19" t="str">
        <f>IF(OR(Table24[[#This Row],[Client Age]]&lt;18,Table24[[#This Row],[If client DOB unknown, is client under 18?]]="Yes"),"Yes","No")</f>
        <v>No</v>
      </c>
      <c r="AO30" s="13" t="str">
        <f>IF(Table24[[#This Row],[Time of Inital Call]]="","",IFERROR(MROUND(Table24[[#This Row],[Time of Inital Call]],"1:00"),""))</f>
        <v/>
      </c>
      <c r="AP30" s="19" t="str">
        <f>IF(Table24[[#This Row],[Date of Call]]="","",TEXT(Table24[[#This Row],[Date of Call]],"dddd"))</f>
        <v/>
      </c>
      <c r="AQ30" s="19" t="str">
        <f>IFERROR(VLOOKUP(Table24[[#This Row],[Residence Zip Code]],Table27[],3,FALSE),"")</f>
        <v/>
      </c>
    </row>
    <row r="31" spans="1:43" x14ac:dyDescent="0.25">
      <c r="A31" s="3"/>
      <c r="D31" s="1"/>
      <c r="J31" s="10"/>
      <c r="K31" s="10"/>
      <c r="N31" s="17"/>
      <c r="R31" s="17"/>
      <c r="V31" s="2"/>
      <c r="X31" s="13"/>
      <c r="Y31" s="3"/>
      <c r="Z31" s="3"/>
      <c r="AA31" s="3"/>
      <c r="AI31" s="35"/>
      <c r="AJ31" s="10"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1" s="10" t="str">
        <f>IFERROR(IF(OR(TRIM(Table24[[#This Row],[DOB]])="",TRIM(Table24[[#This Row],[Date of Call]])=""),"Cannot be calculated",DATEDIF(Table24[[#This Row],[DOB]],Table24[[#This Row],[Date of Call]],"Y")),"Cannot be calculated")</f>
        <v>Cannot be calculated</v>
      </c>
      <c r="AL31" s="10"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1" s="19">
        <f>IFERROR(DATEDIF(Table24[[#This Row],[Date of Call]],Table24[[#This Row],[Follow-up Date]],"D"),"Cannot be calculated")</f>
        <v>0</v>
      </c>
      <c r="AN31" s="19" t="str">
        <f>IF(OR(Table24[[#This Row],[Client Age]]&lt;18,Table24[[#This Row],[If client DOB unknown, is client under 18?]]="Yes"),"Yes","No")</f>
        <v>No</v>
      </c>
      <c r="AO31" s="13" t="str">
        <f>IF(Table24[[#This Row],[Time of Inital Call]]="","",IFERROR(MROUND(Table24[[#This Row],[Time of Inital Call]],"1:00"),""))</f>
        <v/>
      </c>
      <c r="AP31" s="19" t="str">
        <f>IF(Table24[[#This Row],[Date of Call]]="","",TEXT(Table24[[#This Row],[Date of Call]],"dddd"))</f>
        <v/>
      </c>
      <c r="AQ31" s="19" t="str">
        <f>IFERROR(VLOOKUP(Table24[[#This Row],[Residence Zip Code]],Table27[],3,FALSE),"")</f>
        <v/>
      </c>
    </row>
    <row r="32" spans="1:43" x14ac:dyDescent="0.25">
      <c r="A32" s="3"/>
      <c r="D32" s="1"/>
      <c r="J32" s="10"/>
      <c r="K32" s="10"/>
      <c r="N32" s="17"/>
      <c r="R32" s="17"/>
      <c r="V32" s="2"/>
      <c r="X32" s="13"/>
      <c r="Y32" s="3"/>
      <c r="Z32" s="3"/>
      <c r="AA32" s="3"/>
      <c r="AI32" s="35"/>
      <c r="AJ32" s="10"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2" s="10" t="str">
        <f>IFERROR(IF(OR(TRIM(Table24[[#This Row],[DOB]])="",TRIM(Table24[[#This Row],[Date of Call]])=""),"Cannot be calculated",DATEDIF(Table24[[#This Row],[DOB]],Table24[[#This Row],[Date of Call]],"Y")),"Cannot be calculated")</f>
        <v>Cannot be calculated</v>
      </c>
      <c r="AL32" s="10"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2" s="19">
        <f>IFERROR(DATEDIF(Table24[[#This Row],[Date of Call]],Table24[[#This Row],[Follow-up Date]],"D"),"Cannot be calculated")</f>
        <v>0</v>
      </c>
      <c r="AN32" s="19" t="str">
        <f>IF(OR(Table24[[#This Row],[Client Age]]&lt;18,Table24[[#This Row],[If client DOB unknown, is client under 18?]]="Yes"),"Yes","No")</f>
        <v>No</v>
      </c>
      <c r="AO32" s="13" t="str">
        <f>IF(Table24[[#This Row],[Time of Inital Call]]="","",IFERROR(MROUND(Table24[[#This Row],[Time of Inital Call]],"1:00"),""))</f>
        <v/>
      </c>
      <c r="AP32" s="19" t="str">
        <f>IF(Table24[[#This Row],[Date of Call]]="","",TEXT(Table24[[#This Row],[Date of Call]],"dddd"))</f>
        <v/>
      </c>
      <c r="AQ32" s="19" t="str">
        <f>IFERROR(VLOOKUP(Table24[[#This Row],[Residence Zip Code]],Table27[],3,FALSE),"")</f>
        <v/>
      </c>
    </row>
    <row r="33" spans="1:43" x14ac:dyDescent="0.25">
      <c r="A33" s="3"/>
      <c r="D33" s="1"/>
      <c r="J33" s="10"/>
      <c r="K33" s="10"/>
      <c r="N33" s="17"/>
      <c r="R33" s="17"/>
      <c r="V33" s="2"/>
      <c r="X33" s="13"/>
      <c r="Y33" s="3"/>
      <c r="Z33" s="3"/>
      <c r="AA33" s="3"/>
      <c r="AI33" s="35"/>
      <c r="AJ33" s="10"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3" s="10" t="str">
        <f>IFERROR(IF(OR(TRIM(Table24[[#This Row],[DOB]])="",TRIM(Table24[[#This Row],[Date of Call]])=""),"Cannot be calculated",DATEDIF(Table24[[#This Row],[DOB]],Table24[[#This Row],[Date of Call]],"Y")),"Cannot be calculated")</f>
        <v>Cannot be calculated</v>
      </c>
      <c r="AL33" s="10"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3" s="19">
        <f>IFERROR(DATEDIF(Table24[[#This Row],[Date of Call]],Table24[[#This Row],[Follow-up Date]],"D"),"Cannot be calculated")</f>
        <v>0</v>
      </c>
      <c r="AN33" s="19" t="str">
        <f>IF(OR(Table24[[#This Row],[Client Age]]&lt;18,Table24[[#This Row],[If client DOB unknown, is client under 18?]]="Yes"),"Yes","No")</f>
        <v>No</v>
      </c>
      <c r="AO33" s="13" t="str">
        <f>IF(Table24[[#This Row],[Time of Inital Call]]="","",IFERROR(MROUND(Table24[[#This Row],[Time of Inital Call]],"1:00"),""))</f>
        <v/>
      </c>
      <c r="AP33" s="19" t="str">
        <f>IF(Table24[[#This Row],[Date of Call]]="","",TEXT(Table24[[#This Row],[Date of Call]],"dddd"))</f>
        <v/>
      </c>
      <c r="AQ33" s="19" t="str">
        <f>IFERROR(VLOOKUP(Table24[[#This Row],[Residence Zip Code]],Table27[],3,FALSE),"")</f>
        <v/>
      </c>
    </row>
    <row r="34" spans="1:43" x14ac:dyDescent="0.25">
      <c r="A34" s="3"/>
      <c r="D34" s="1"/>
      <c r="J34" s="10"/>
      <c r="K34" s="10"/>
      <c r="N34" s="17"/>
      <c r="R34" s="17"/>
      <c r="V34" s="2"/>
      <c r="X34" s="13"/>
      <c r="Y34" s="3"/>
      <c r="Z34" s="3"/>
      <c r="AA34" s="3"/>
      <c r="AI34" s="35"/>
      <c r="AJ34" s="10"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4" s="10" t="str">
        <f>IFERROR(IF(OR(TRIM(Table24[[#This Row],[DOB]])="",TRIM(Table24[[#This Row],[Date of Call]])=""),"Cannot be calculated",DATEDIF(Table24[[#This Row],[DOB]],Table24[[#This Row],[Date of Call]],"Y")),"Cannot be calculated")</f>
        <v>Cannot be calculated</v>
      </c>
      <c r="AL34" s="10"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4" s="19">
        <f>IFERROR(DATEDIF(Table24[[#This Row],[Date of Call]],Table24[[#This Row],[Follow-up Date]],"D"),"Cannot be calculated")</f>
        <v>0</v>
      </c>
      <c r="AN34" s="19" t="str">
        <f>IF(OR(Table24[[#This Row],[Client Age]]&lt;18,Table24[[#This Row],[If client DOB unknown, is client under 18?]]="Yes"),"Yes","No")</f>
        <v>No</v>
      </c>
      <c r="AO34" s="13" t="str">
        <f>IF(Table24[[#This Row],[Time of Inital Call]]="","",IFERROR(MROUND(Table24[[#This Row],[Time of Inital Call]],"1:00"),""))</f>
        <v/>
      </c>
      <c r="AP34" s="19" t="str">
        <f>IF(Table24[[#This Row],[Date of Call]]="","",TEXT(Table24[[#This Row],[Date of Call]],"dddd"))</f>
        <v/>
      </c>
      <c r="AQ34" s="19" t="str">
        <f>IFERROR(VLOOKUP(Table24[[#This Row],[Residence Zip Code]],Table27[],3,FALSE),"")</f>
        <v/>
      </c>
    </row>
    <row r="35" spans="1:43" x14ac:dyDescent="0.25">
      <c r="A35" s="3"/>
      <c r="D35" s="1"/>
      <c r="J35" s="10"/>
      <c r="K35" s="10"/>
      <c r="N35" s="17"/>
      <c r="R35" s="17"/>
      <c r="V35" s="2"/>
      <c r="X35" s="13"/>
      <c r="Y35" s="3"/>
      <c r="Z35" s="3"/>
      <c r="AA35" s="3"/>
      <c r="AI35" s="35"/>
      <c r="AJ35" s="10"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5" s="10" t="str">
        <f>IFERROR(IF(OR(TRIM(Table24[[#This Row],[DOB]])="",TRIM(Table24[[#This Row],[Date of Call]])=""),"Cannot be calculated",DATEDIF(Table24[[#This Row],[DOB]],Table24[[#This Row],[Date of Call]],"Y")),"Cannot be calculated")</f>
        <v>Cannot be calculated</v>
      </c>
      <c r="AL35" s="10"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5" s="19">
        <f>IFERROR(DATEDIF(Table24[[#This Row],[Date of Call]],Table24[[#This Row],[Follow-up Date]],"D"),"Cannot be calculated")</f>
        <v>0</v>
      </c>
      <c r="AN35" s="19" t="str">
        <f>IF(OR(Table24[[#This Row],[Client Age]]&lt;18,Table24[[#This Row],[If client DOB unknown, is client under 18?]]="Yes"),"Yes","No")</f>
        <v>No</v>
      </c>
      <c r="AO35" s="13" t="str">
        <f>IF(Table24[[#This Row],[Time of Inital Call]]="","",IFERROR(MROUND(Table24[[#This Row],[Time of Inital Call]],"1:00"),""))</f>
        <v/>
      </c>
      <c r="AP35" s="19" t="str">
        <f>IF(Table24[[#This Row],[Date of Call]]="","",TEXT(Table24[[#This Row],[Date of Call]],"dddd"))</f>
        <v/>
      </c>
      <c r="AQ35" s="19" t="str">
        <f>IFERROR(VLOOKUP(Table24[[#This Row],[Residence Zip Code]],Table27[],3,FALSE),"")</f>
        <v/>
      </c>
    </row>
    <row r="36" spans="1:43" x14ac:dyDescent="0.25">
      <c r="A36" s="3"/>
      <c r="D36" s="1"/>
      <c r="J36" s="10"/>
      <c r="K36" s="10"/>
      <c r="N36" s="17"/>
      <c r="R36" s="17"/>
      <c r="V36" s="2"/>
      <c r="X36" s="13"/>
      <c r="Y36" s="3"/>
      <c r="Z36" s="3"/>
      <c r="AA36" s="3"/>
      <c r="AI36" s="35"/>
      <c r="AJ36" s="10"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6" s="10" t="str">
        <f>IFERROR(IF(OR(TRIM(Table24[[#This Row],[DOB]])="",TRIM(Table24[[#This Row],[Date of Call]])=""),"Cannot be calculated",DATEDIF(Table24[[#This Row],[DOB]],Table24[[#This Row],[Date of Call]],"Y")),"Cannot be calculated")</f>
        <v>Cannot be calculated</v>
      </c>
      <c r="AL36" s="10"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6" s="19">
        <f>IFERROR(DATEDIF(Table24[[#This Row],[Date of Call]],Table24[[#This Row],[Follow-up Date]],"D"),"Cannot be calculated")</f>
        <v>0</v>
      </c>
      <c r="AN36" s="19" t="str">
        <f>IF(OR(Table24[[#This Row],[Client Age]]&lt;18,Table24[[#This Row],[If client DOB unknown, is client under 18?]]="Yes"),"Yes","No")</f>
        <v>No</v>
      </c>
      <c r="AO36" s="13" t="str">
        <f>IF(Table24[[#This Row],[Time of Inital Call]]="","",IFERROR(MROUND(Table24[[#This Row],[Time of Inital Call]],"1:00"),""))</f>
        <v/>
      </c>
      <c r="AP36" s="19" t="str">
        <f>IF(Table24[[#This Row],[Date of Call]]="","",TEXT(Table24[[#This Row],[Date of Call]],"dddd"))</f>
        <v/>
      </c>
      <c r="AQ36" s="19" t="str">
        <f>IFERROR(VLOOKUP(Table24[[#This Row],[Residence Zip Code]],Table27[],3,FALSE),"")</f>
        <v/>
      </c>
    </row>
    <row r="37" spans="1:43" x14ac:dyDescent="0.25">
      <c r="A37" s="3"/>
      <c r="D37" s="1"/>
      <c r="J37" s="10"/>
      <c r="K37" s="10"/>
      <c r="N37" s="17"/>
      <c r="R37" s="17"/>
      <c r="V37" s="2"/>
      <c r="X37" s="13"/>
      <c r="Y37" s="3"/>
      <c r="Z37" s="3"/>
      <c r="AA37" s="3"/>
      <c r="AI37" s="35"/>
      <c r="AJ37" s="10"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7" s="10" t="str">
        <f>IFERROR(IF(OR(TRIM(Table24[[#This Row],[DOB]])="",TRIM(Table24[[#This Row],[Date of Call]])=""),"Cannot be calculated",DATEDIF(Table24[[#This Row],[DOB]],Table24[[#This Row],[Date of Call]],"Y")),"Cannot be calculated")</f>
        <v>Cannot be calculated</v>
      </c>
      <c r="AL37" s="10"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7" s="19">
        <f>IFERROR(DATEDIF(Table24[[#This Row],[Date of Call]],Table24[[#This Row],[Follow-up Date]],"D"),"Cannot be calculated")</f>
        <v>0</v>
      </c>
      <c r="AN37" s="19" t="str">
        <f>IF(OR(Table24[[#This Row],[Client Age]]&lt;18,Table24[[#This Row],[If client DOB unknown, is client under 18?]]="Yes"),"Yes","No")</f>
        <v>No</v>
      </c>
      <c r="AO37" s="13" t="str">
        <f>IF(Table24[[#This Row],[Time of Inital Call]]="","",IFERROR(MROUND(Table24[[#This Row],[Time of Inital Call]],"1:00"),""))</f>
        <v/>
      </c>
      <c r="AP37" s="19" t="str">
        <f>IF(Table24[[#This Row],[Date of Call]]="","",TEXT(Table24[[#This Row],[Date of Call]],"dddd"))</f>
        <v/>
      </c>
      <c r="AQ37" s="19" t="str">
        <f>IFERROR(VLOOKUP(Table24[[#This Row],[Residence Zip Code]],Table27[],3,FALSE),"")</f>
        <v/>
      </c>
    </row>
    <row r="38" spans="1:43" x14ac:dyDescent="0.25">
      <c r="A38" s="3"/>
      <c r="D38" s="1"/>
      <c r="J38" s="10"/>
      <c r="K38" s="10"/>
      <c r="N38" s="17"/>
      <c r="R38" s="17"/>
      <c r="V38" s="2"/>
      <c r="X38" s="13"/>
      <c r="Y38" s="3"/>
      <c r="Z38" s="3"/>
      <c r="AA38" s="3"/>
      <c r="AI38" s="35"/>
      <c r="AJ38" s="10"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8" s="10" t="str">
        <f>IFERROR(IF(OR(TRIM(Table24[[#This Row],[DOB]])="",TRIM(Table24[[#This Row],[Date of Call]])=""),"Cannot be calculated",DATEDIF(Table24[[#This Row],[DOB]],Table24[[#This Row],[Date of Call]],"Y")),"Cannot be calculated")</f>
        <v>Cannot be calculated</v>
      </c>
      <c r="AL38" s="10"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8" s="19">
        <f>IFERROR(DATEDIF(Table24[[#This Row],[Date of Call]],Table24[[#This Row],[Follow-up Date]],"D"),"Cannot be calculated")</f>
        <v>0</v>
      </c>
      <c r="AN38" s="19" t="str">
        <f>IF(OR(Table24[[#This Row],[Client Age]]&lt;18,Table24[[#This Row],[If client DOB unknown, is client under 18?]]="Yes"),"Yes","No")</f>
        <v>No</v>
      </c>
      <c r="AO38" s="13" t="str">
        <f>IF(Table24[[#This Row],[Time of Inital Call]]="","",IFERROR(MROUND(Table24[[#This Row],[Time of Inital Call]],"1:00"),""))</f>
        <v/>
      </c>
      <c r="AP38" s="19" t="str">
        <f>IF(Table24[[#This Row],[Date of Call]]="","",TEXT(Table24[[#This Row],[Date of Call]],"dddd"))</f>
        <v/>
      </c>
      <c r="AQ38" s="19" t="str">
        <f>IFERROR(VLOOKUP(Table24[[#This Row],[Residence Zip Code]],Table27[],3,FALSE),"")</f>
        <v/>
      </c>
    </row>
    <row r="39" spans="1:43" x14ac:dyDescent="0.25">
      <c r="A39" s="3"/>
      <c r="D39" s="1"/>
      <c r="J39" s="10"/>
      <c r="K39" s="10"/>
      <c r="N39" s="17"/>
      <c r="R39" s="17"/>
      <c r="V39" s="2"/>
      <c r="X39" s="13"/>
      <c r="Y39" s="3"/>
      <c r="Z39" s="3"/>
      <c r="AA39" s="3"/>
      <c r="AI39" s="35"/>
      <c r="AJ39" s="10"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9" s="10" t="str">
        <f>IFERROR(IF(OR(TRIM(Table24[[#This Row],[DOB]])="",TRIM(Table24[[#This Row],[Date of Call]])=""),"Cannot be calculated",DATEDIF(Table24[[#This Row],[DOB]],Table24[[#This Row],[Date of Call]],"Y")),"Cannot be calculated")</f>
        <v>Cannot be calculated</v>
      </c>
      <c r="AL39" s="10"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9" s="19">
        <f>IFERROR(DATEDIF(Table24[[#This Row],[Date of Call]],Table24[[#This Row],[Follow-up Date]],"D"),"Cannot be calculated")</f>
        <v>0</v>
      </c>
      <c r="AN39" s="19" t="str">
        <f>IF(OR(Table24[[#This Row],[Client Age]]&lt;18,Table24[[#This Row],[If client DOB unknown, is client under 18?]]="Yes"),"Yes","No")</f>
        <v>No</v>
      </c>
      <c r="AO39" s="13" t="str">
        <f>IF(Table24[[#This Row],[Time of Inital Call]]="","",IFERROR(MROUND(Table24[[#This Row],[Time of Inital Call]],"1:00"),""))</f>
        <v/>
      </c>
      <c r="AP39" s="19" t="str">
        <f>IF(Table24[[#This Row],[Date of Call]]="","",TEXT(Table24[[#This Row],[Date of Call]],"dddd"))</f>
        <v/>
      </c>
      <c r="AQ39" s="19" t="str">
        <f>IFERROR(VLOOKUP(Table24[[#This Row],[Residence Zip Code]],Table27[],3,FALSE),"")</f>
        <v/>
      </c>
    </row>
    <row r="40" spans="1:43" x14ac:dyDescent="0.25">
      <c r="A40" s="3"/>
      <c r="D40" s="1"/>
      <c r="J40" s="10"/>
      <c r="K40" s="10"/>
      <c r="N40" s="17"/>
      <c r="R40" s="17"/>
      <c r="V40" s="2"/>
      <c r="X40" s="13"/>
      <c r="Y40" s="3"/>
      <c r="Z40" s="3"/>
      <c r="AA40" s="3"/>
      <c r="AI40" s="35"/>
      <c r="AJ40" s="10"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0" s="10" t="str">
        <f>IFERROR(IF(OR(TRIM(Table24[[#This Row],[DOB]])="",TRIM(Table24[[#This Row],[Date of Call]])=""),"Cannot be calculated",DATEDIF(Table24[[#This Row],[DOB]],Table24[[#This Row],[Date of Call]],"Y")),"Cannot be calculated")</f>
        <v>Cannot be calculated</v>
      </c>
      <c r="AL40" s="10"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0" s="19">
        <f>IFERROR(DATEDIF(Table24[[#This Row],[Date of Call]],Table24[[#This Row],[Follow-up Date]],"D"),"Cannot be calculated")</f>
        <v>0</v>
      </c>
      <c r="AN40" s="19" t="str">
        <f>IF(OR(Table24[[#This Row],[Client Age]]&lt;18,Table24[[#This Row],[If client DOB unknown, is client under 18?]]="Yes"),"Yes","No")</f>
        <v>No</v>
      </c>
      <c r="AO40" s="13" t="str">
        <f>IF(Table24[[#This Row],[Time of Inital Call]]="","",IFERROR(MROUND(Table24[[#This Row],[Time of Inital Call]],"1:00"),""))</f>
        <v/>
      </c>
      <c r="AP40" s="19" t="str">
        <f>IF(Table24[[#This Row],[Date of Call]]="","",TEXT(Table24[[#This Row],[Date of Call]],"dddd"))</f>
        <v/>
      </c>
      <c r="AQ40" s="19" t="str">
        <f>IFERROR(VLOOKUP(Table24[[#This Row],[Residence Zip Code]],Table27[],3,FALSE),"")</f>
        <v/>
      </c>
    </row>
    <row r="41" spans="1:43" x14ac:dyDescent="0.25">
      <c r="A41" s="3"/>
      <c r="D41" s="1"/>
      <c r="J41" s="10"/>
      <c r="K41" s="10"/>
      <c r="N41" s="17"/>
      <c r="R41" s="17"/>
      <c r="V41" s="2"/>
      <c r="X41" s="13"/>
      <c r="Y41" s="3"/>
      <c r="Z41" s="3"/>
      <c r="AA41" s="3"/>
      <c r="AI41" s="35"/>
      <c r="AJ41" s="10"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1" s="10" t="str">
        <f>IFERROR(IF(OR(TRIM(Table24[[#This Row],[DOB]])="",TRIM(Table24[[#This Row],[Date of Call]])=""),"Cannot be calculated",DATEDIF(Table24[[#This Row],[DOB]],Table24[[#This Row],[Date of Call]],"Y")),"Cannot be calculated")</f>
        <v>Cannot be calculated</v>
      </c>
      <c r="AL41" s="10"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1" s="19">
        <f>IFERROR(DATEDIF(Table24[[#This Row],[Date of Call]],Table24[[#This Row],[Follow-up Date]],"D"),"Cannot be calculated")</f>
        <v>0</v>
      </c>
      <c r="AN41" s="19" t="str">
        <f>IF(OR(Table24[[#This Row],[Client Age]]&lt;18,Table24[[#This Row],[If client DOB unknown, is client under 18?]]="Yes"),"Yes","No")</f>
        <v>No</v>
      </c>
      <c r="AO41" s="13" t="str">
        <f>IF(Table24[[#This Row],[Time of Inital Call]]="","",IFERROR(MROUND(Table24[[#This Row],[Time of Inital Call]],"1:00"),""))</f>
        <v/>
      </c>
      <c r="AP41" s="19" t="str">
        <f>IF(Table24[[#This Row],[Date of Call]]="","",TEXT(Table24[[#This Row],[Date of Call]],"dddd"))</f>
        <v/>
      </c>
      <c r="AQ41" s="19" t="str">
        <f>IFERROR(VLOOKUP(Table24[[#This Row],[Residence Zip Code]],Table27[],3,FALSE),"")</f>
        <v/>
      </c>
    </row>
    <row r="42" spans="1:43" x14ac:dyDescent="0.25">
      <c r="A42" s="3"/>
      <c r="D42" s="1"/>
      <c r="J42" s="10"/>
      <c r="K42" s="10"/>
      <c r="N42" s="17"/>
      <c r="R42" s="17"/>
      <c r="V42" s="2"/>
      <c r="X42" s="13"/>
      <c r="Y42" s="3"/>
      <c r="Z42" s="3"/>
      <c r="AA42" s="3"/>
      <c r="AI42" s="35"/>
      <c r="AJ42" s="10"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2" s="10" t="str">
        <f>IFERROR(IF(OR(TRIM(Table24[[#This Row],[DOB]])="",TRIM(Table24[[#This Row],[Date of Call]])=""),"Cannot be calculated",DATEDIF(Table24[[#This Row],[DOB]],Table24[[#This Row],[Date of Call]],"Y")),"Cannot be calculated")</f>
        <v>Cannot be calculated</v>
      </c>
      <c r="AL42" s="10"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2" s="19">
        <f>IFERROR(DATEDIF(Table24[[#This Row],[Date of Call]],Table24[[#This Row],[Follow-up Date]],"D"),"Cannot be calculated")</f>
        <v>0</v>
      </c>
      <c r="AN42" s="19" t="str">
        <f>IF(OR(Table24[[#This Row],[Client Age]]&lt;18,Table24[[#This Row],[If client DOB unknown, is client under 18?]]="Yes"),"Yes","No")</f>
        <v>No</v>
      </c>
      <c r="AO42" s="13" t="str">
        <f>IF(Table24[[#This Row],[Time of Inital Call]]="","",IFERROR(MROUND(Table24[[#This Row],[Time of Inital Call]],"1:00"),""))</f>
        <v/>
      </c>
      <c r="AP42" s="19" t="str">
        <f>IF(Table24[[#This Row],[Date of Call]]="","",TEXT(Table24[[#This Row],[Date of Call]],"dddd"))</f>
        <v/>
      </c>
      <c r="AQ42" s="19" t="str">
        <f>IFERROR(VLOOKUP(Table24[[#This Row],[Residence Zip Code]],Table27[],3,FALSE),"")</f>
        <v/>
      </c>
    </row>
    <row r="43" spans="1:43" x14ac:dyDescent="0.25">
      <c r="A43" s="3"/>
      <c r="D43" s="1"/>
      <c r="J43" s="10"/>
      <c r="K43" s="10"/>
      <c r="N43" s="17"/>
      <c r="R43" s="17"/>
      <c r="V43" s="2"/>
      <c r="X43" s="13"/>
      <c r="Y43" s="3"/>
      <c r="Z43" s="3"/>
      <c r="AA43" s="3"/>
      <c r="AI43" s="35"/>
      <c r="AJ43" s="10"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3" s="10" t="str">
        <f>IFERROR(IF(OR(TRIM(Table24[[#This Row],[DOB]])="",TRIM(Table24[[#This Row],[Date of Call]])=""),"Cannot be calculated",DATEDIF(Table24[[#This Row],[DOB]],Table24[[#This Row],[Date of Call]],"Y")),"Cannot be calculated")</f>
        <v>Cannot be calculated</v>
      </c>
      <c r="AL43" s="10"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3" s="19">
        <f>IFERROR(DATEDIF(Table24[[#This Row],[Date of Call]],Table24[[#This Row],[Follow-up Date]],"D"),"Cannot be calculated")</f>
        <v>0</v>
      </c>
      <c r="AN43" s="19" t="str">
        <f>IF(OR(Table24[[#This Row],[Client Age]]&lt;18,Table24[[#This Row],[If client DOB unknown, is client under 18?]]="Yes"),"Yes","No")</f>
        <v>No</v>
      </c>
      <c r="AO43" s="13" t="str">
        <f>IF(Table24[[#This Row],[Time of Inital Call]]="","",IFERROR(MROUND(Table24[[#This Row],[Time of Inital Call]],"1:00"),""))</f>
        <v/>
      </c>
      <c r="AP43" s="19" t="str">
        <f>IF(Table24[[#This Row],[Date of Call]]="","",TEXT(Table24[[#This Row],[Date of Call]],"dddd"))</f>
        <v/>
      </c>
      <c r="AQ43" s="19" t="str">
        <f>IFERROR(VLOOKUP(Table24[[#This Row],[Residence Zip Code]],Table27[],3,FALSE),"")</f>
        <v/>
      </c>
    </row>
    <row r="44" spans="1:43" x14ac:dyDescent="0.25">
      <c r="A44" s="3"/>
      <c r="D44" s="1"/>
      <c r="J44" s="10"/>
      <c r="K44" s="10"/>
      <c r="N44" s="17"/>
      <c r="R44" s="17"/>
      <c r="V44" s="2"/>
      <c r="X44" s="13"/>
      <c r="Y44" s="3"/>
      <c r="Z44" s="3"/>
      <c r="AA44" s="3"/>
      <c r="AI44" s="35"/>
      <c r="AJ44" s="10"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4" s="10" t="str">
        <f>IFERROR(IF(OR(TRIM(Table24[[#This Row],[DOB]])="",TRIM(Table24[[#This Row],[Date of Call]])=""),"Cannot be calculated",DATEDIF(Table24[[#This Row],[DOB]],Table24[[#This Row],[Date of Call]],"Y")),"Cannot be calculated")</f>
        <v>Cannot be calculated</v>
      </c>
      <c r="AL44" s="10"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4" s="19">
        <f>IFERROR(DATEDIF(Table24[[#This Row],[Date of Call]],Table24[[#This Row],[Follow-up Date]],"D"),"Cannot be calculated")</f>
        <v>0</v>
      </c>
      <c r="AN44" s="19" t="str">
        <f>IF(OR(Table24[[#This Row],[Client Age]]&lt;18,Table24[[#This Row],[If client DOB unknown, is client under 18?]]="Yes"),"Yes","No")</f>
        <v>No</v>
      </c>
      <c r="AO44" s="13" t="str">
        <f>IF(Table24[[#This Row],[Time of Inital Call]]="","",IFERROR(MROUND(Table24[[#This Row],[Time of Inital Call]],"1:00"),""))</f>
        <v/>
      </c>
      <c r="AP44" s="19" t="str">
        <f>IF(Table24[[#This Row],[Date of Call]]="","",TEXT(Table24[[#This Row],[Date of Call]],"dddd"))</f>
        <v/>
      </c>
      <c r="AQ44" s="19" t="str">
        <f>IFERROR(VLOOKUP(Table24[[#This Row],[Residence Zip Code]],Table27[],3,FALSE),"")</f>
        <v/>
      </c>
    </row>
    <row r="45" spans="1:43" x14ac:dyDescent="0.25">
      <c r="A45" s="3"/>
      <c r="D45" s="1"/>
      <c r="J45" s="10"/>
      <c r="K45" s="10"/>
      <c r="N45" s="17"/>
      <c r="R45" s="17"/>
      <c r="V45" s="2"/>
      <c r="X45" s="13"/>
      <c r="Y45" s="3"/>
      <c r="Z45" s="3"/>
      <c r="AA45" s="3"/>
      <c r="AI45" s="35"/>
      <c r="AJ45" s="10"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5" s="10" t="str">
        <f>IFERROR(IF(OR(TRIM(Table24[[#This Row],[DOB]])="",TRIM(Table24[[#This Row],[Date of Call]])=""),"Cannot be calculated",DATEDIF(Table24[[#This Row],[DOB]],Table24[[#This Row],[Date of Call]],"Y")),"Cannot be calculated")</f>
        <v>Cannot be calculated</v>
      </c>
      <c r="AL45" s="10"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5" s="19">
        <f>IFERROR(DATEDIF(Table24[[#This Row],[Date of Call]],Table24[[#This Row],[Follow-up Date]],"D"),"Cannot be calculated")</f>
        <v>0</v>
      </c>
      <c r="AN45" s="19" t="str">
        <f>IF(OR(Table24[[#This Row],[Client Age]]&lt;18,Table24[[#This Row],[If client DOB unknown, is client under 18?]]="Yes"),"Yes","No")</f>
        <v>No</v>
      </c>
      <c r="AO45" s="13" t="str">
        <f>IF(Table24[[#This Row],[Time of Inital Call]]="","",IFERROR(MROUND(Table24[[#This Row],[Time of Inital Call]],"1:00"),""))</f>
        <v/>
      </c>
      <c r="AP45" s="19" t="str">
        <f>IF(Table24[[#This Row],[Date of Call]]="","",TEXT(Table24[[#This Row],[Date of Call]],"dddd"))</f>
        <v/>
      </c>
      <c r="AQ45" s="19" t="str">
        <f>IFERROR(VLOOKUP(Table24[[#This Row],[Residence Zip Code]],Table27[],3,FALSE),"")</f>
        <v/>
      </c>
    </row>
    <row r="46" spans="1:43" x14ac:dyDescent="0.25">
      <c r="A46" s="3"/>
      <c r="D46" s="1"/>
      <c r="J46" s="10"/>
      <c r="K46" s="10"/>
      <c r="N46" s="17"/>
      <c r="R46" s="17"/>
      <c r="V46" s="2"/>
      <c r="X46" s="13"/>
      <c r="Y46" s="3"/>
      <c r="Z46" s="3"/>
      <c r="AA46" s="3"/>
      <c r="AI46" s="35"/>
      <c r="AJ46" s="10"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6" s="10" t="str">
        <f>IFERROR(IF(OR(TRIM(Table24[[#This Row],[DOB]])="",TRIM(Table24[[#This Row],[Date of Call]])=""),"Cannot be calculated",DATEDIF(Table24[[#This Row],[DOB]],Table24[[#This Row],[Date of Call]],"Y")),"Cannot be calculated")</f>
        <v>Cannot be calculated</v>
      </c>
      <c r="AL46" s="10"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6" s="19">
        <f>IFERROR(DATEDIF(Table24[[#This Row],[Date of Call]],Table24[[#This Row],[Follow-up Date]],"D"),"Cannot be calculated")</f>
        <v>0</v>
      </c>
      <c r="AN46" s="19" t="str">
        <f>IF(OR(Table24[[#This Row],[Client Age]]&lt;18,Table24[[#This Row],[If client DOB unknown, is client under 18?]]="Yes"),"Yes","No")</f>
        <v>No</v>
      </c>
      <c r="AO46" s="13" t="str">
        <f>IF(Table24[[#This Row],[Time of Inital Call]]="","",IFERROR(MROUND(Table24[[#This Row],[Time of Inital Call]],"1:00"),""))</f>
        <v/>
      </c>
      <c r="AP46" s="19" t="str">
        <f>IF(Table24[[#This Row],[Date of Call]]="","",TEXT(Table24[[#This Row],[Date of Call]],"dddd"))</f>
        <v/>
      </c>
      <c r="AQ46" s="19" t="str">
        <f>IFERROR(VLOOKUP(Table24[[#This Row],[Residence Zip Code]],Table27[],3,FALSE),"")</f>
        <v/>
      </c>
    </row>
    <row r="47" spans="1:43" x14ac:dyDescent="0.25">
      <c r="A47" s="3"/>
      <c r="D47" s="1"/>
      <c r="J47" s="10"/>
      <c r="K47" s="10"/>
      <c r="N47" s="17"/>
      <c r="R47" s="17"/>
      <c r="V47" s="2"/>
      <c r="X47" s="13"/>
      <c r="Y47" s="3"/>
      <c r="Z47" s="3"/>
      <c r="AA47" s="3"/>
      <c r="AI47" s="35"/>
      <c r="AJ47" s="10"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7" s="10" t="str">
        <f>IFERROR(IF(OR(TRIM(Table24[[#This Row],[DOB]])="",TRIM(Table24[[#This Row],[Date of Call]])=""),"Cannot be calculated",DATEDIF(Table24[[#This Row],[DOB]],Table24[[#This Row],[Date of Call]],"Y")),"Cannot be calculated")</f>
        <v>Cannot be calculated</v>
      </c>
      <c r="AL47" s="10"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7" s="19">
        <f>IFERROR(DATEDIF(Table24[[#This Row],[Date of Call]],Table24[[#This Row],[Follow-up Date]],"D"),"Cannot be calculated")</f>
        <v>0</v>
      </c>
      <c r="AN47" s="19" t="str">
        <f>IF(OR(Table24[[#This Row],[Client Age]]&lt;18,Table24[[#This Row],[If client DOB unknown, is client under 18?]]="Yes"),"Yes","No")</f>
        <v>No</v>
      </c>
      <c r="AO47" s="13" t="str">
        <f>IF(Table24[[#This Row],[Time of Inital Call]]="","",IFERROR(MROUND(Table24[[#This Row],[Time of Inital Call]],"1:00"),""))</f>
        <v/>
      </c>
      <c r="AP47" s="19" t="str">
        <f>IF(Table24[[#This Row],[Date of Call]]="","",TEXT(Table24[[#This Row],[Date of Call]],"dddd"))</f>
        <v/>
      </c>
      <c r="AQ47" s="19" t="str">
        <f>IFERROR(VLOOKUP(Table24[[#This Row],[Residence Zip Code]],Table27[],3,FALSE),"")</f>
        <v/>
      </c>
    </row>
    <row r="48" spans="1:43" x14ac:dyDescent="0.25">
      <c r="A48" s="3"/>
      <c r="D48" s="1"/>
      <c r="J48" s="10"/>
      <c r="K48" s="10"/>
      <c r="N48" s="17"/>
      <c r="R48" s="17"/>
      <c r="V48" s="2"/>
      <c r="X48" s="13"/>
      <c r="Y48" s="3"/>
      <c r="Z48" s="3"/>
      <c r="AA48" s="3"/>
      <c r="AI48" s="35"/>
      <c r="AJ48" s="10"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8" s="10" t="str">
        <f>IFERROR(IF(OR(TRIM(Table24[[#This Row],[DOB]])="",TRIM(Table24[[#This Row],[Date of Call]])=""),"Cannot be calculated",DATEDIF(Table24[[#This Row],[DOB]],Table24[[#This Row],[Date of Call]],"Y")),"Cannot be calculated")</f>
        <v>Cannot be calculated</v>
      </c>
      <c r="AL48" s="10"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8" s="19">
        <f>IFERROR(DATEDIF(Table24[[#This Row],[Date of Call]],Table24[[#This Row],[Follow-up Date]],"D"),"Cannot be calculated")</f>
        <v>0</v>
      </c>
      <c r="AN48" s="19" t="str">
        <f>IF(OR(Table24[[#This Row],[Client Age]]&lt;18,Table24[[#This Row],[If client DOB unknown, is client under 18?]]="Yes"),"Yes","No")</f>
        <v>No</v>
      </c>
      <c r="AO48" s="13" t="str">
        <f>IF(Table24[[#This Row],[Time of Inital Call]]="","",IFERROR(MROUND(Table24[[#This Row],[Time of Inital Call]],"1:00"),""))</f>
        <v/>
      </c>
      <c r="AP48" s="19" t="str">
        <f>IF(Table24[[#This Row],[Date of Call]]="","",TEXT(Table24[[#This Row],[Date of Call]],"dddd"))</f>
        <v/>
      </c>
      <c r="AQ48" s="19" t="str">
        <f>IFERROR(VLOOKUP(Table24[[#This Row],[Residence Zip Code]],Table27[],3,FALSE),"")</f>
        <v/>
      </c>
    </row>
    <row r="49" spans="1:43" x14ac:dyDescent="0.25">
      <c r="A49" s="3"/>
      <c r="D49" s="1"/>
      <c r="J49" s="10"/>
      <c r="K49" s="10"/>
      <c r="N49" s="17"/>
      <c r="R49" s="17"/>
      <c r="V49" s="2"/>
      <c r="X49" s="13"/>
      <c r="Y49" s="3"/>
      <c r="Z49" s="3"/>
      <c r="AA49" s="3"/>
      <c r="AI49" s="35"/>
      <c r="AJ49" s="10"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9" s="10" t="str">
        <f>IFERROR(IF(OR(TRIM(Table24[[#This Row],[DOB]])="",TRIM(Table24[[#This Row],[Date of Call]])=""),"Cannot be calculated",DATEDIF(Table24[[#This Row],[DOB]],Table24[[#This Row],[Date of Call]],"Y")),"Cannot be calculated")</f>
        <v>Cannot be calculated</v>
      </c>
      <c r="AL49" s="10"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9" s="19">
        <f>IFERROR(DATEDIF(Table24[[#This Row],[Date of Call]],Table24[[#This Row],[Follow-up Date]],"D"),"Cannot be calculated")</f>
        <v>0</v>
      </c>
      <c r="AN49" s="19" t="str">
        <f>IF(OR(Table24[[#This Row],[Client Age]]&lt;18,Table24[[#This Row],[If client DOB unknown, is client under 18?]]="Yes"),"Yes","No")</f>
        <v>No</v>
      </c>
      <c r="AO49" s="13" t="str">
        <f>IF(Table24[[#This Row],[Time of Inital Call]]="","",IFERROR(MROUND(Table24[[#This Row],[Time of Inital Call]],"1:00"),""))</f>
        <v/>
      </c>
      <c r="AP49" s="19" t="str">
        <f>IF(Table24[[#This Row],[Date of Call]]="","",TEXT(Table24[[#This Row],[Date of Call]],"dddd"))</f>
        <v/>
      </c>
      <c r="AQ49" s="19" t="str">
        <f>IFERROR(VLOOKUP(Table24[[#This Row],[Residence Zip Code]],Table27[],3,FALSE),"")</f>
        <v/>
      </c>
    </row>
    <row r="50" spans="1:43" x14ac:dyDescent="0.25">
      <c r="A50" s="3"/>
      <c r="D50" s="1"/>
      <c r="J50" s="10"/>
      <c r="K50" s="10"/>
      <c r="N50" s="17"/>
      <c r="R50" s="17"/>
      <c r="V50" s="2"/>
      <c r="X50" s="13"/>
      <c r="Y50" s="3"/>
      <c r="Z50" s="3"/>
      <c r="AA50" s="3"/>
      <c r="AI50" s="35"/>
      <c r="AJ50" s="10"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50" s="10" t="str">
        <f>IFERROR(IF(OR(TRIM(Table24[[#This Row],[DOB]])="",TRIM(Table24[[#This Row],[Date of Call]])=""),"Cannot be calculated",DATEDIF(Table24[[#This Row],[DOB]],Table24[[#This Row],[Date of Call]],"Y")),"Cannot be calculated")</f>
        <v>Cannot be calculated</v>
      </c>
      <c r="AL50" s="10"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50" s="19">
        <f>IFERROR(DATEDIF(Table24[[#This Row],[Date of Call]],Table24[[#This Row],[Follow-up Date]],"D"),"Cannot be calculated")</f>
        <v>0</v>
      </c>
      <c r="AN50" s="19" t="str">
        <f>IF(OR(Table24[[#This Row],[Client Age]]&lt;18,Table24[[#This Row],[If client DOB unknown, is client under 18?]]="Yes"),"Yes","No")</f>
        <v>No</v>
      </c>
      <c r="AO50" s="13" t="str">
        <f>IF(Table24[[#This Row],[Time of Inital Call]]="","",IFERROR(MROUND(Table24[[#This Row],[Time of Inital Call]],"1:00"),""))</f>
        <v/>
      </c>
      <c r="AP50" s="19" t="str">
        <f>IF(Table24[[#This Row],[Date of Call]]="","",TEXT(Table24[[#This Row],[Date of Call]],"dddd"))</f>
        <v/>
      </c>
      <c r="AQ50" s="19" t="str">
        <f>IFERROR(VLOOKUP(Table24[[#This Row],[Residence Zip Code]],Table27[],3,FALSE),"")</f>
        <v/>
      </c>
    </row>
    <row r="51" spans="1:43" x14ac:dyDescent="0.25">
      <c r="A51" s="3"/>
      <c r="D51" s="1"/>
      <c r="J51" s="10"/>
      <c r="K51" s="10"/>
      <c r="N51" s="17"/>
      <c r="R51" s="17"/>
      <c r="V51" s="2"/>
      <c r="X51" s="13"/>
      <c r="Y51" s="3"/>
      <c r="Z51" s="3"/>
      <c r="AA51" s="3"/>
      <c r="AI51" s="35"/>
      <c r="AJ51" s="10"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51" s="10" t="str">
        <f>IFERROR(IF(OR(TRIM(Table24[[#This Row],[DOB]])="",TRIM(Table24[[#This Row],[Date of Call]])=""),"Cannot be calculated",DATEDIF(Table24[[#This Row],[DOB]],Table24[[#This Row],[Date of Call]],"Y")),"Cannot be calculated")</f>
        <v>Cannot be calculated</v>
      </c>
      <c r="AL51" s="10"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51" s="19">
        <f>IFERROR(DATEDIF(Table24[[#This Row],[Date of Call]],Table24[[#This Row],[Follow-up Date]],"D"),"Cannot be calculated")</f>
        <v>0</v>
      </c>
      <c r="AN51" s="19" t="str">
        <f>IF(OR(Table24[[#This Row],[Client Age]]&lt;18,Table24[[#This Row],[If client DOB unknown, is client under 18?]]="Yes"),"Yes","No")</f>
        <v>No</v>
      </c>
      <c r="AO51" s="13" t="str">
        <f>IF(Table24[[#This Row],[Time of Inital Call]]="","",IFERROR(MROUND(Table24[[#This Row],[Time of Inital Call]],"1:00"),""))</f>
        <v/>
      </c>
      <c r="AP51" s="19" t="str">
        <f>IF(Table24[[#This Row],[Date of Call]]="","",TEXT(Table24[[#This Row],[Date of Call]],"dddd"))</f>
        <v/>
      </c>
      <c r="AQ51" s="19" t="str">
        <f>IFERROR(VLOOKUP(Table24[[#This Row],[Residence Zip Code]],Table27[],3,FALSE),"")</f>
        <v/>
      </c>
    </row>
    <row r="52" spans="1:43" x14ac:dyDescent="0.25">
      <c r="A52" s="3"/>
      <c r="D52" s="1"/>
      <c r="J52" s="10"/>
      <c r="K52" s="10"/>
      <c r="N52" s="17"/>
      <c r="R52" s="17"/>
      <c r="V52" s="2"/>
      <c r="X52" s="13"/>
      <c r="Y52" s="3"/>
      <c r="Z52" s="3"/>
      <c r="AA52" s="3"/>
      <c r="AI52" s="35"/>
      <c r="AJ52" s="10"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52" s="10" t="str">
        <f>IFERROR(IF(OR(TRIM(Table24[[#This Row],[DOB]])="",TRIM(Table24[[#This Row],[Date of Call]])=""),"Cannot be calculated",DATEDIF(Table24[[#This Row],[DOB]],Table24[[#This Row],[Date of Call]],"Y")),"Cannot be calculated")</f>
        <v>Cannot be calculated</v>
      </c>
      <c r="AL52" s="10"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52" s="19">
        <f>IFERROR(DATEDIF(Table24[[#This Row],[Date of Call]],Table24[[#This Row],[Follow-up Date]],"D"),"Cannot be calculated")</f>
        <v>0</v>
      </c>
      <c r="AN52" s="19" t="str">
        <f>IF(OR(Table24[[#This Row],[Client Age]]&lt;18,Table24[[#This Row],[If client DOB unknown, is client under 18?]]="Yes"),"Yes","No")</f>
        <v>No</v>
      </c>
      <c r="AO52" s="13" t="str">
        <f>IF(Table24[[#This Row],[Time of Inital Call]]="","",IFERROR(MROUND(Table24[[#This Row],[Time of Inital Call]],"1:00"),""))</f>
        <v/>
      </c>
      <c r="AP52" s="19" t="str">
        <f>IF(Table24[[#This Row],[Date of Call]]="","",TEXT(Table24[[#This Row],[Date of Call]],"dddd"))</f>
        <v/>
      </c>
      <c r="AQ52" s="19" t="str">
        <f>IFERROR(VLOOKUP(Table24[[#This Row],[Residence Zip Code]],Table27[],3,FALSE),"")</f>
        <v/>
      </c>
    </row>
    <row r="53" spans="1:43" x14ac:dyDescent="0.25">
      <c r="A53" s="3"/>
      <c r="D53" s="1"/>
      <c r="J53" s="10"/>
      <c r="K53" s="10"/>
      <c r="N53" s="17"/>
      <c r="R53" s="17"/>
      <c r="V53" s="2"/>
      <c r="X53" s="13"/>
      <c r="Y53" s="3"/>
      <c r="Z53" s="3"/>
      <c r="AA53" s="3"/>
      <c r="AI53" s="35"/>
      <c r="AJ53" s="10"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53" s="10" t="str">
        <f>IFERROR(IF(OR(TRIM(Table24[[#This Row],[DOB]])="",TRIM(Table24[[#This Row],[Date of Call]])=""),"Cannot be calculated",DATEDIF(Table24[[#This Row],[DOB]],Table24[[#This Row],[Date of Call]],"Y")),"Cannot be calculated")</f>
        <v>Cannot be calculated</v>
      </c>
      <c r="AL53" s="10"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53" s="19">
        <f>IFERROR(DATEDIF(Table24[[#This Row],[Date of Call]],Table24[[#This Row],[Follow-up Date]],"D"),"Cannot be calculated")</f>
        <v>0</v>
      </c>
      <c r="AN53" s="19" t="str">
        <f>IF(OR(Table24[[#This Row],[Client Age]]&lt;18,Table24[[#This Row],[If client DOB unknown, is client under 18?]]="Yes"),"Yes","No")</f>
        <v>No</v>
      </c>
      <c r="AO53" s="13" t="str">
        <f>IF(Table24[[#This Row],[Time of Inital Call]]="","",IFERROR(MROUND(Table24[[#This Row],[Time of Inital Call]],"1:00"),""))</f>
        <v/>
      </c>
      <c r="AP53" s="19" t="str">
        <f>IF(Table24[[#This Row],[Date of Call]]="","",TEXT(Table24[[#This Row],[Date of Call]],"dddd"))</f>
        <v/>
      </c>
      <c r="AQ53" s="19" t="str">
        <f>IFERROR(VLOOKUP(Table24[[#This Row],[Residence Zip Code]],Table27[],3,FALSE),"")</f>
        <v/>
      </c>
    </row>
    <row r="54" spans="1:43" x14ac:dyDescent="0.25">
      <c r="A54" s="3"/>
      <c r="D54" s="1"/>
      <c r="J54" s="10"/>
      <c r="K54" s="10"/>
      <c r="N54" s="17"/>
      <c r="R54" s="17"/>
      <c r="V54" s="2"/>
      <c r="X54" s="13"/>
      <c r="Y54" s="3"/>
      <c r="Z54" s="3"/>
      <c r="AA54" s="3"/>
      <c r="AI54" s="35"/>
      <c r="AJ54" s="10"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54" s="10" t="str">
        <f>IFERROR(IF(OR(TRIM(Table24[[#This Row],[DOB]])="",TRIM(Table24[[#This Row],[Date of Call]])=""),"Cannot be calculated",DATEDIF(Table24[[#This Row],[DOB]],Table24[[#This Row],[Date of Call]],"Y")),"Cannot be calculated")</f>
        <v>Cannot be calculated</v>
      </c>
      <c r="AL54" s="10"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54" s="19">
        <f>IFERROR(DATEDIF(Table24[[#This Row],[Date of Call]],Table24[[#This Row],[Follow-up Date]],"D"),"Cannot be calculated")</f>
        <v>0</v>
      </c>
      <c r="AN54" s="19" t="str">
        <f>IF(OR(Table24[[#This Row],[Client Age]]&lt;18,Table24[[#This Row],[If client DOB unknown, is client under 18?]]="Yes"),"Yes","No")</f>
        <v>No</v>
      </c>
      <c r="AO54" s="13" t="str">
        <f>IF(Table24[[#This Row],[Time of Inital Call]]="","",IFERROR(MROUND(Table24[[#This Row],[Time of Inital Call]],"1:00"),""))</f>
        <v/>
      </c>
      <c r="AP54" s="19" t="str">
        <f>IF(Table24[[#This Row],[Date of Call]]="","",TEXT(Table24[[#This Row],[Date of Call]],"dddd"))</f>
        <v/>
      </c>
      <c r="AQ54" s="19" t="str">
        <f>IFERROR(VLOOKUP(Table24[[#This Row],[Residence Zip Code]],Table27[],3,FALSE),"")</f>
        <v/>
      </c>
    </row>
    <row r="55" spans="1:43" x14ac:dyDescent="0.25">
      <c r="A55" s="3"/>
      <c r="D55" s="1"/>
      <c r="J55" s="10"/>
      <c r="K55" s="10"/>
      <c r="N55" s="17"/>
      <c r="R55" s="17"/>
      <c r="V55" s="2"/>
      <c r="X55" s="13"/>
      <c r="Y55" s="3"/>
      <c r="Z55" s="3"/>
      <c r="AA55" s="3"/>
      <c r="AI55" s="35"/>
      <c r="AJ55" s="10"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55" s="10" t="str">
        <f>IFERROR(IF(OR(TRIM(Table24[[#This Row],[DOB]])="",TRIM(Table24[[#This Row],[Date of Call]])=""),"Cannot be calculated",DATEDIF(Table24[[#This Row],[DOB]],Table24[[#This Row],[Date of Call]],"Y")),"Cannot be calculated")</f>
        <v>Cannot be calculated</v>
      </c>
      <c r="AL55" s="10"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55" s="19">
        <f>IFERROR(DATEDIF(Table24[[#This Row],[Date of Call]],Table24[[#This Row],[Follow-up Date]],"D"),"Cannot be calculated")</f>
        <v>0</v>
      </c>
      <c r="AN55" s="19" t="str">
        <f>IF(OR(Table24[[#This Row],[Client Age]]&lt;18,Table24[[#This Row],[If client DOB unknown, is client under 18?]]="Yes"),"Yes","No")</f>
        <v>No</v>
      </c>
      <c r="AO55" s="13" t="str">
        <f>IF(Table24[[#This Row],[Time of Inital Call]]="","",IFERROR(MROUND(Table24[[#This Row],[Time of Inital Call]],"1:00"),""))</f>
        <v/>
      </c>
      <c r="AP55" s="19" t="str">
        <f>IF(Table24[[#This Row],[Date of Call]]="","",TEXT(Table24[[#This Row],[Date of Call]],"dddd"))</f>
        <v/>
      </c>
      <c r="AQ55" s="19" t="str">
        <f>IFERROR(VLOOKUP(Table24[[#This Row],[Residence Zip Code]],Table27[],3,FALSE),"")</f>
        <v/>
      </c>
    </row>
    <row r="56" spans="1:43" x14ac:dyDescent="0.25">
      <c r="A56" s="3"/>
      <c r="D56" s="1"/>
      <c r="J56" s="10"/>
      <c r="K56" s="10"/>
      <c r="N56" s="17"/>
      <c r="R56" s="17"/>
      <c r="V56" s="2"/>
      <c r="X56" s="13"/>
      <c r="Y56" s="3"/>
      <c r="Z56" s="3"/>
      <c r="AA56" s="3"/>
      <c r="AI56" s="35"/>
      <c r="AJ56" s="10"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56" s="10" t="str">
        <f>IFERROR(IF(OR(TRIM(Table24[[#This Row],[DOB]])="",TRIM(Table24[[#This Row],[Date of Call]])=""),"Cannot be calculated",DATEDIF(Table24[[#This Row],[DOB]],Table24[[#This Row],[Date of Call]],"Y")),"Cannot be calculated")</f>
        <v>Cannot be calculated</v>
      </c>
      <c r="AL56" s="10"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56" s="19">
        <f>IFERROR(DATEDIF(Table24[[#This Row],[Date of Call]],Table24[[#This Row],[Follow-up Date]],"D"),"Cannot be calculated")</f>
        <v>0</v>
      </c>
      <c r="AN56" s="19" t="str">
        <f>IF(OR(Table24[[#This Row],[Client Age]]&lt;18,Table24[[#This Row],[If client DOB unknown, is client under 18?]]="Yes"),"Yes","No")</f>
        <v>No</v>
      </c>
      <c r="AO56" s="13" t="str">
        <f>IF(Table24[[#This Row],[Time of Inital Call]]="","",IFERROR(MROUND(Table24[[#This Row],[Time of Inital Call]],"1:00"),""))</f>
        <v/>
      </c>
      <c r="AP56" s="19" t="str">
        <f>IF(Table24[[#This Row],[Date of Call]]="","",TEXT(Table24[[#This Row],[Date of Call]],"dddd"))</f>
        <v/>
      </c>
      <c r="AQ56" s="19" t="str">
        <f>IFERROR(VLOOKUP(Table24[[#This Row],[Residence Zip Code]],Table27[],3,FALSE),"")</f>
        <v/>
      </c>
    </row>
    <row r="57" spans="1:43" x14ac:dyDescent="0.25">
      <c r="A57" s="3"/>
      <c r="D57" s="1"/>
      <c r="J57" s="10"/>
      <c r="K57" s="10"/>
      <c r="N57" s="17"/>
      <c r="R57" s="17"/>
      <c r="V57" s="2"/>
      <c r="X57" s="13"/>
      <c r="Y57" s="3"/>
      <c r="Z57" s="3"/>
      <c r="AA57" s="3"/>
      <c r="AI57" s="35"/>
      <c r="AJ57" s="10"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57" s="10" t="str">
        <f>IFERROR(IF(OR(TRIM(Table24[[#This Row],[DOB]])="",TRIM(Table24[[#This Row],[Date of Call]])=""),"Cannot be calculated",DATEDIF(Table24[[#This Row],[DOB]],Table24[[#This Row],[Date of Call]],"Y")),"Cannot be calculated")</f>
        <v>Cannot be calculated</v>
      </c>
      <c r="AL57" s="10"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57" s="19">
        <f>IFERROR(DATEDIF(Table24[[#This Row],[Date of Call]],Table24[[#This Row],[Follow-up Date]],"D"),"Cannot be calculated")</f>
        <v>0</v>
      </c>
      <c r="AN57" s="19" t="str">
        <f>IF(OR(Table24[[#This Row],[Client Age]]&lt;18,Table24[[#This Row],[If client DOB unknown, is client under 18?]]="Yes"),"Yes","No")</f>
        <v>No</v>
      </c>
      <c r="AO57" s="13" t="str">
        <f>IF(Table24[[#This Row],[Time of Inital Call]]="","",IFERROR(MROUND(Table24[[#This Row],[Time of Inital Call]],"1:00"),""))</f>
        <v/>
      </c>
      <c r="AP57" s="19" t="str">
        <f>IF(Table24[[#This Row],[Date of Call]]="","",TEXT(Table24[[#This Row],[Date of Call]],"dddd"))</f>
        <v/>
      </c>
      <c r="AQ57" s="19" t="str">
        <f>IFERROR(VLOOKUP(Table24[[#This Row],[Residence Zip Code]],Table27[],3,FALSE),"")</f>
        <v/>
      </c>
    </row>
    <row r="58" spans="1:43" x14ac:dyDescent="0.25">
      <c r="A58" s="3"/>
      <c r="C58" s="10"/>
      <c r="D58" s="11"/>
      <c r="E58" s="12"/>
      <c r="F58" s="12"/>
      <c r="G58" s="12"/>
      <c r="H58" s="10"/>
      <c r="I58" s="12"/>
      <c r="J58" s="10"/>
      <c r="K58" s="10"/>
      <c r="L58" s="12"/>
      <c r="M58" s="16"/>
      <c r="N58" s="18"/>
      <c r="O58" s="13"/>
      <c r="P58" s="13"/>
      <c r="Q58" s="13"/>
      <c r="R58" s="18"/>
      <c r="S58" s="13"/>
      <c r="T58" s="13"/>
      <c r="U58" s="10"/>
      <c r="V58" s="2"/>
      <c r="X58" s="13"/>
      <c r="Y58" s="3"/>
      <c r="Z58" s="3"/>
      <c r="AA58" s="12"/>
      <c r="AB58" s="10"/>
      <c r="AC58" s="10"/>
      <c r="AD58" s="10"/>
      <c r="AE58" s="10"/>
      <c r="AI58" s="35"/>
      <c r="AJ58" s="10"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58" s="10" t="str">
        <f>IFERROR(IF(OR(TRIM(Table24[[#This Row],[DOB]])="",TRIM(Table24[[#This Row],[Date of Call]])=""),"Cannot be calculated",DATEDIF(Table24[[#This Row],[DOB]],Table24[[#This Row],[Date of Call]],"Y")),"Cannot be calculated")</f>
        <v>Cannot be calculated</v>
      </c>
      <c r="AL58" s="10"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58" s="19">
        <f>IFERROR(DATEDIF(Table24[[#This Row],[Date of Call]],Table24[[#This Row],[Follow-up Date]],"D"),"Cannot be calculated")</f>
        <v>0</v>
      </c>
      <c r="AN58" s="19" t="str">
        <f>IF(OR(Table24[[#This Row],[Client Age]]&lt;18,Table24[[#This Row],[If client DOB unknown, is client under 18?]]="Yes"),"Yes","No")</f>
        <v>No</v>
      </c>
      <c r="AO58" s="13" t="str">
        <f>IF(Table24[[#This Row],[Time of Inital Call]]="","",IFERROR(MROUND(Table24[[#This Row],[Time of Inital Call]],"1:00"),""))</f>
        <v/>
      </c>
      <c r="AP58" s="19" t="str">
        <f>IF(Table24[[#This Row],[Date of Call]]="","",TEXT(Table24[[#This Row],[Date of Call]],"dddd"))</f>
        <v/>
      </c>
      <c r="AQ58" s="19" t="str">
        <f>IFERROR(VLOOKUP(Table24[[#This Row],[Residence Zip Code]],Table27[],3,FALSE),"")</f>
        <v/>
      </c>
    </row>
    <row r="59" spans="1:43" x14ac:dyDescent="0.25">
      <c r="A59" s="3"/>
      <c r="C59" s="10"/>
      <c r="D59" s="11"/>
      <c r="E59" s="12"/>
      <c r="F59" s="12"/>
      <c r="G59" s="12"/>
      <c r="H59" s="10"/>
      <c r="I59" s="12"/>
      <c r="J59" s="10"/>
      <c r="K59" s="10"/>
      <c r="L59" s="12"/>
      <c r="M59" s="16"/>
      <c r="N59" s="18"/>
      <c r="O59" s="13"/>
      <c r="P59" s="13"/>
      <c r="Q59" s="13"/>
      <c r="R59" s="18"/>
      <c r="S59" s="13"/>
      <c r="T59" s="13"/>
      <c r="U59" s="10"/>
      <c r="V59" s="2"/>
      <c r="X59" s="13"/>
      <c r="Y59" s="3"/>
      <c r="Z59" s="3"/>
      <c r="AA59" s="12"/>
      <c r="AB59" s="10"/>
      <c r="AC59" s="10"/>
      <c r="AD59" s="10"/>
      <c r="AE59" s="10"/>
      <c r="AI59" s="35"/>
      <c r="AJ59" s="10"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59" s="10" t="str">
        <f>IFERROR(IF(OR(TRIM(Table24[[#This Row],[DOB]])="",TRIM(Table24[[#This Row],[Date of Call]])=""),"Cannot be calculated",DATEDIF(Table24[[#This Row],[DOB]],Table24[[#This Row],[Date of Call]],"Y")),"Cannot be calculated")</f>
        <v>Cannot be calculated</v>
      </c>
      <c r="AL59" s="10"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59" s="19">
        <f>IFERROR(DATEDIF(Table24[[#This Row],[Date of Call]],Table24[[#This Row],[Follow-up Date]],"D"),"Cannot be calculated")</f>
        <v>0</v>
      </c>
      <c r="AN59" s="19" t="str">
        <f>IF(OR(Table24[[#This Row],[Client Age]]&lt;18,Table24[[#This Row],[If client DOB unknown, is client under 18?]]="Yes"),"Yes","No")</f>
        <v>No</v>
      </c>
      <c r="AO59" s="13" t="str">
        <f>IF(Table24[[#This Row],[Time of Inital Call]]="","",IFERROR(MROUND(Table24[[#This Row],[Time of Inital Call]],"1:00"),""))</f>
        <v/>
      </c>
      <c r="AP59" s="19" t="str">
        <f>IF(Table24[[#This Row],[Date of Call]]="","",TEXT(Table24[[#This Row],[Date of Call]],"dddd"))</f>
        <v/>
      </c>
      <c r="AQ59" s="19" t="str">
        <f>IFERROR(VLOOKUP(Table24[[#This Row],[Residence Zip Code]],Table27[],3,FALSE),"")</f>
        <v/>
      </c>
    </row>
    <row r="60" spans="1:43" x14ac:dyDescent="0.25">
      <c r="A60" s="3"/>
      <c r="C60" s="10"/>
      <c r="D60" s="11"/>
      <c r="E60" s="12"/>
      <c r="F60" s="12"/>
      <c r="G60" s="12"/>
      <c r="H60" s="10"/>
      <c r="I60" s="12"/>
      <c r="J60" s="10"/>
      <c r="K60" s="10"/>
      <c r="L60" s="12"/>
      <c r="M60" s="16"/>
      <c r="N60" s="18"/>
      <c r="O60" s="13"/>
      <c r="P60" s="13"/>
      <c r="Q60" s="13"/>
      <c r="R60" s="18"/>
      <c r="S60" s="13"/>
      <c r="T60" s="13"/>
      <c r="U60" s="10"/>
      <c r="V60" s="2"/>
      <c r="X60" s="13"/>
      <c r="Y60" s="3"/>
      <c r="Z60" s="3"/>
      <c r="AA60" s="12"/>
      <c r="AB60" s="10"/>
      <c r="AC60" s="10"/>
      <c r="AD60" s="10"/>
      <c r="AE60" s="10"/>
      <c r="AI60" s="35"/>
      <c r="AJ60" s="10"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60" s="10" t="str">
        <f>IFERROR(IF(OR(TRIM(Table24[[#This Row],[DOB]])="",TRIM(Table24[[#This Row],[Date of Call]])=""),"Cannot be calculated",DATEDIF(Table24[[#This Row],[DOB]],Table24[[#This Row],[Date of Call]],"Y")),"Cannot be calculated")</f>
        <v>Cannot be calculated</v>
      </c>
      <c r="AL60" s="10"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60" s="19">
        <f>IFERROR(DATEDIF(Table24[[#This Row],[Date of Call]],Table24[[#This Row],[Follow-up Date]],"D"),"Cannot be calculated")</f>
        <v>0</v>
      </c>
      <c r="AN60" s="19" t="str">
        <f>IF(OR(Table24[[#This Row],[Client Age]]&lt;18,Table24[[#This Row],[If client DOB unknown, is client under 18?]]="Yes"),"Yes","No")</f>
        <v>No</v>
      </c>
      <c r="AO60" s="13" t="str">
        <f>IF(Table24[[#This Row],[Time of Inital Call]]="","",IFERROR(MROUND(Table24[[#This Row],[Time of Inital Call]],"1:00"),""))</f>
        <v/>
      </c>
      <c r="AP60" s="19" t="str">
        <f>IF(Table24[[#This Row],[Date of Call]]="","",TEXT(Table24[[#This Row],[Date of Call]],"dddd"))</f>
        <v/>
      </c>
      <c r="AQ60" s="19" t="str">
        <f>IFERROR(VLOOKUP(Table24[[#This Row],[Residence Zip Code]],Table27[],3,FALSE),"")</f>
        <v/>
      </c>
    </row>
    <row r="61" spans="1:43" x14ac:dyDescent="0.25">
      <c r="A61" s="3"/>
      <c r="C61" s="10"/>
      <c r="D61" s="11"/>
      <c r="E61" s="12"/>
      <c r="F61" s="12"/>
      <c r="G61" s="12"/>
      <c r="H61" s="10"/>
      <c r="I61" s="12"/>
      <c r="J61" s="10"/>
      <c r="K61" s="10"/>
      <c r="L61" s="12"/>
      <c r="M61" s="16"/>
      <c r="N61" s="18"/>
      <c r="O61" s="13"/>
      <c r="P61" s="13"/>
      <c r="Q61" s="13"/>
      <c r="R61" s="18"/>
      <c r="S61" s="13"/>
      <c r="T61" s="13"/>
      <c r="U61" s="10"/>
      <c r="V61" s="2"/>
      <c r="X61" s="13"/>
      <c r="Y61" s="3"/>
      <c r="Z61" s="3"/>
      <c r="AA61" s="12"/>
      <c r="AB61" s="10"/>
      <c r="AC61" s="10"/>
      <c r="AD61" s="10"/>
      <c r="AE61" s="10"/>
      <c r="AI61" s="35"/>
      <c r="AJ61" s="10"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61" s="10" t="str">
        <f>IFERROR(IF(OR(TRIM(Table24[[#This Row],[DOB]])="",TRIM(Table24[[#This Row],[Date of Call]])=""),"Cannot be calculated",DATEDIF(Table24[[#This Row],[DOB]],Table24[[#This Row],[Date of Call]],"Y")),"Cannot be calculated")</f>
        <v>Cannot be calculated</v>
      </c>
      <c r="AL61" s="10"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61" s="19">
        <f>IFERROR(DATEDIF(Table24[[#This Row],[Date of Call]],Table24[[#This Row],[Follow-up Date]],"D"),"Cannot be calculated")</f>
        <v>0</v>
      </c>
      <c r="AN61" s="19" t="str">
        <f>IF(OR(Table24[[#This Row],[Client Age]]&lt;18,Table24[[#This Row],[If client DOB unknown, is client under 18?]]="Yes"),"Yes","No")</f>
        <v>No</v>
      </c>
      <c r="AO61" s="13" t="str">
        <f>IF(Table24[[#This Row],[Time of Inital Call]]="","",IFERROR(MROUND(Table24[[#This Row],[Time of Inital Call]],"1:00"),""))</f>
        <v/>
      </c>
      <c r="AP61" s="19" t="str">
        <f>IF(Table24[[#This Row],[Date of Call]]="","",TEXT(Table24[[#This Row],[Date of Call]],"dddd"))</f>
        <v/>
      </c>
      <c r="AQ61" s="19" t="str">
        <f>IFERROR(VLOOKUP(Table24[[#This Row],[Residence Zip Code]],Table27[],3,FALSE),"")</f>
        <v/>
      </c>
    </row>
    <row r="62" spans="1:43" x14ac:dyDescent="0.25">
      <c r="A62" s="3"/>
      <c r="C62" s="10"/>
      <c r="D62" s="11"/>
      <c r="E62" s="12"/>
      <c r="F62" s="12"/>
      <c r="G62" s="12"/>
      <c r="H62" s="10"/>
      <c r="I62" s="12"/>
      <c r="J62" s="12"/>
      <c r="K62" s="10"/>
      <c r="L62" s="12"/>
      <c r="M62" s="16"/>
      <c r="N62" s="18"/>
      <c r="O62" s="13"/>
      <c r="P62" s="13"/>
      <c r="Q62" s="13"/>
      <c r="R62" s="18"/>
      <c r="S62" s="13"/>
      <c r="T62" s="13"/>
      <c r="U62" s="10"/>
      <c r="V62" s="2"/>
      <c r="X62" s="13"/>
      <c r="Y62" s="3"/>
      <c r="Z62" s="3"/>
      <c r="AA62" s="12"/>
      <c r="AB62" s="10"/>
      <c r="AC62" s="10"/>
      <c r="AD62" s="10"/>
      <c r="AE62" s="10"/>
      <c r="AI62" s="35"/>
      <c r="AJ62" s="10"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62" s="10" t="str">
        <f>IFERROR(IF(OR(TRIM(Table24[[#This Row],[DOB]])="",TRIM(Table24[[#This Row],[Date of Call]])=""),"Cannot be calculated",DATEDIF(Table24[[#This Row],[DOB]],Table24[[#This Row],[Date of Call]],"Y")),"Cannot be calculated")</f>
        <v>Cannot be calculated</v>
      </c>
      <c r="AL62" s="10"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62" s="19">
        <f>IFERROR(DATEDIF(Table24[[#This Row],[Date of Call]],Table24[[#This Row],[Follow-up Date]],"D"),"Cannot be calculated")</f>
        <v>0</v>
      </c>
      <c r="AN62" s="19" t="str">
        <f>IF(OR(Table24[[#This Row],[Client Age]]&lt;18,Table24[[#This Row],[If client DOB unknown, is client under 18?]]="Yes"),"Yes","No")</f>
        <v>No</v>
      </c>
      <c r="AO62" s="13" t="str">
        <f>IF(Table24[[#This Row],[Time of Inital Call]]="","",IFERROR(MROUND(Table24[[#This Row],[Time of Inital Call]],"1:00"),""))</f>
        <v/>
      </c>
      <c r="AP62" s="19" t="str">
        <f>IF(Table24[[#This Row],[Date of Call]]="","",TEXT(Table24[[#This Row],[Date of Call]],"dddd"))</f>
        <v/>
      </c>
      <c r="AQ62" s="19" t="str">
        <f>IFERROR(VLOOKUP(Table24[[#This Row],[Residence Zip Code]],Table27[],3,FALSE),"")</f>
        <v/>
      </c>
    </row>
    <row r="63" spans="1:43" x14ac:dyDescent="0.25">
      <c r="A63" s="10"/>
      <c r="C63" s="10"/>
      <c r="D63" s="11"/>
      <c r="E63" s="12"/>
      <c r="F63" s="12"/>
      <c r="G63" s="12"/>
      <c r="H63" s="10"/>
      <c r="I63" s="12"/>
      <c r="J63" s="12"/>
      <c r="K63" s="10"/>
      <c r="L63" s="12"/>
      <c r="M63" s="16"/>
      <c r="N63" s="18"/>
      <c r="O63" s="13"/>
      <c r="P63" s="13"/>
      <c r="Q63" s="13"/>
      <c r="R63" s="18"/>
      <c r="S63" s="13"/>
      <c r="T63" s="13"/>
      <c r="U63" s="10"/>
      <c r="V63" s="2"/>
      <c r="X63" s="13"/>
      <c r="Y63" s="3"/>
      <c r="Z63" s="3"/>
      <c r="AA63" s="12"/>
      <c r="AB63" s="10"/>
      <c r="AC63" s="10"/>
      <c r="AD63" s="10"/>
      <c r="AE63" s="10"/>
      <c r="AI63" s="35"/>
      <c r="AJ63"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63" s="19" t="str">
        <f>IFERROR(IF(OR(TRIM(Table24[[#This Row],[DOB]])="",TRIM(Table24[[#This Row],[Date of Call]])=""),"Cannot be calculated",DATEDIF(Table24[[#This Row],[DOB]],Table24[[#This Row],[Date of Call]],"Y")),"Cannot be calculated")</f>
        <v>Cannot be calculated</v>
      </c>
      <c r="AL63"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63" s="19">
        <f>IFERROR(DATEDIF(Table24[[#This Row],[Date of Call]],Table24[[#This Row],[Follow-up Date]],"D"),"Cannot be calculated")</f>
        <v>0</v>
      </c>
      <c r="AN63" s="19" t="str">
        <f>IF(OR(Table24[[#This Row],[Client Age]]&lt;18,Table24[[#This Row],[If client DOB unknown, is client under 18?]]="Yes"),"Yes","No")</f>
        <v>No</v>
      </c>
      <c r="AO63" s="13" t="str">
        <f>IF(Table24[[#This Row],[Time of Inital Call]]="","",IFERROR(MROUND(Table24[[#This Row],[Time of Inital Call]],"1:00"),""))</f>
        <v/>
      </c>
      <c r="AP63" s="19" t="str">
        <f>IF(Table24[[#This Row],[Date of Call]]="","",TEXT(Table24[[#This Row],[Date of Call]],"dddd"))</f>
        <v/>
      </c>
      <c r="AQ63" s="19" t="str">
        <f>IFERROR(VLOOKUP(Table24[[#This Row],[Residence Zip Code]],Table27[],3,FALSE),"")</f>
        <v/>
      </c>
    </row>
    <row r="64" spans="1:43" x14ac:dyDescent="0.25">
      <c r="A64" s="10"/>
      <c r="C64" s="10"/>
      <c r="D64" s="11"/>
      <c r="E64" s="12"/>
      <c r="F64" s="12"/>
      <c r="G64" s="12"/>
      <c r="H64" s="10"/>
      <c r="I64" s="12"/>
      <c r="J64" s="12"/>
      <c r="K64" s="12"/>
      <c r="L64" s="12"/>
      <c r="M64" s="16"/>
      <c r="N64" s="18"/>
      <c r="O64" s="13"/>
      <c r="P64" s="13"/>
      <c r="Q64" s="13"/>
      <c r="R64" s="18"/>
      <c r="S64" s="13"/>
      <c r="T64" s="13"/>
      <c r="U64" s="10"/>
      <c r="V64" s="2"/>
      <c r="X64" s="13"/>
      <c r="Y64" s="3"/>
      <c r="Z64" s="3"/>
      <c r="AA64" s="12"/>
      <c r="AB64" s="10"/>
      <c r="AC64" s="10"/>
      <c r="AD64" s="10"/>
      <c r="AE64" s="10"/>
      <c r="AI64" s="35"/>
      <c r="AJ64"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64" s="19" t="str">
        <f>IFERROR(IF(OR(TRIM(Table24[[#This Row],[DOB]])="",TRIM(Table24[[#This Row],[Date of Call]])=""),"Cannot be calculated",DATEDIF(Table24[[#This Row],[DOB]],Table24[[#This Row],[Date of Call]],"Y")),"Cannot be calculated")</f>
        <v>Cannot be calculated</v>
      </c>
      <c r="AL64"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64" s="19">
        <f>IFERROR(DATEDIF(Table24[[#This Row],[Date of Call]],Table24[[#This Row],[Follow-up Date]],"D"),"Cannot be calculated")</f>
        <v>0</v>
      </c>
      <c r="AN64" s="19" t="str">
        <f>IF(OR(Table24[[#This Row],[Client Age]]&lt;18,Table24[[#This Row],[If client DOB unknown, is client under 18?]]="Yes"),"Yes","No")</f>
        <v>No</v>
      </c>
      <c r="AO64" s="13" t="str">
        <f>IF(Table24[[#This Row],[Time of Inital Call]]="","",IFERROR(MROUND(Table24[[#This Row],[Time of Inital Call]],"1:00"),""))</f>
        <v/>
      </c>
      <c r="AP64" s="19" t="str">
        <f>IF(Table24[[#This Row],[Date of Call]]="","",TEXT(Table24[[#This Row],[Date of Call]],"dddd"))</f>
        <v/>
      </c>
      <c r="AQ64" s="19" t="str">
        <f>IFERROR(VLOOKUP(Table24[[#This Row],[Residence Zip Code]],Table27[],3,FALSE),"")</f>
        <v/>
      </c>
    </row>
    <row r="65" spans="1:43" x14ac:dyDescent="0.25">
      <c r="A65" s="10"/>
      <c r="C65" s="10"/>
      <c r="D65" s="11"/>
      <c r="E65" s="12"/>
      <c r="F65" s="12"/>
      <c r="G65" s="12"/>
      <c r="H65" s="10"/>
      <c r="I65" s="12"/>
      <c r="J65" s="12"/>
      <c r="K65" s="12"/>
      <c r="L65" s="12"/>
      <c r="M65" s="16"/>
      <c r="N65" s="18"/>
      <c r="O65" s="13"/>
      <c r="P65" s="13"/>
      <c r="Q65" s="13"/>
      <c r="R65" s="18"/>
      <c r="S65" s="13"/>
      <c r="T65" s="13"/>
      <c r="U65" s="10"/>
      <c r="V65" s="2"/>
      <c r="X65" s="13"/>
      <c r="Y65" s="3"/>
      <c r="Z65" s="3"/>
      <c r="AA65" s="12"/>
      <c r="AB65" s="10"/>
      <c r="AC65" s="10"/>
      <c r="AD65" s="10"/>
      <c r="AE65" s="10"/>
      <c r="AI65" s="35"/>
      <c r="AJ65"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65" s="19" t="str">
        <f>IFERROR(IF(OR(TRIM(Table24[[#This Row],[DOB]])="",TRIM(Table24[[#This Row],[Date of Call]])=""),"Cannot be calculated",DATEDIF(Table24[[#This Row],[DOB]],Table24[[#This Row],[Date of Call]],"Y")),"Cannot be calculated")</f>
        <v>Cannot be calculated</v>
      </c>
      <c r="AL65"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65" s="19">
        <f>IFERROR(DATEDIF(Table24[[#This Row],[Date of Call]],Table24[[#This Row],[Follow-up Date]],"D"),"Cannot be calculated")</f>
        <v>0</v>
      </c>
      <c r="AN65" s="19" t="str">
        <f>IF(OR(Table24[[#This Row],[Client Age]]&lt;18,Table24[[#This Row],[If client DOB unknown, is client under 18?]]="Yes"),"Yes","No")</f>
        <v>No</v>
      </c>
      <c r="AO65" s="13" t="str">
        <f>IF(Table24[[#This Row],[Time of Inital Call]]="","",IFERROR(MROUND(Table24[[#This Row],[Time of Inital Call]],"1:00"),""))</f>
        <v/>
      </c>
      <c r="AP65" s="19" t="str">
        <f>IF(Table24[[#This Row],[Date of Call]]="","",TEXT(Table24[[#This Row],[Date of Call]],"dddd"))</f>
        <v/>
      </c>
      <c r="AQ65" s="19" t="str">
        <f>IFERROR(VLOOKUP(Table24[[#This Row],[Residence Zip Code]],Table27[],3,FALSE),"")</f>
        <v/>
      </c>
    </row>
    <row r="66" spans="1:43" x14ac:dyDescent="0.25">
      <c r="A66" s="10"/>
      <c r="C66" s="10"/>
      <c r="D66" s="11"/>
      <c r="E66" s="12"/>
      <c r="F66" s="12"/>
      <c r="G66" s="12"/>
      <c r="H66" s="10"/>
      <c r="I66" s="12"/>
      <c r="J66" s="12"/>
      <c r="K66" s="10"/>
      <c r="L66" s="12"/>
      <c r="M66" s="16"/>
      <c r="N66" s="18"/>
      <c r="O66" s="13"/>
      <c r="P66" s="13"/>
      <c r="Q66" s="13"/>
      <c r="R66" s="18"/>
      <c r="S66" s="13"/>
      <c r="T66" s="13"/>
      <c r="U66" s="10"/>
      <c r="V66" s="2"/>
      <c r="X66" s="13"/>
      <c r="Y66" s="3"/>
      <c r="Z66" s="3"/>
      <c r="AA66" s="12"/>
      <c r="AB66" s="10"/>
      <c r="AC66" s="10"/>
      <c r="AD66" s="10"/>
      <c r="AE66" s="10"/>
      <c r="AI66" s="35"/>
      <c r="AJ66"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66" s="19" t="str">
        <f>IFERROR(IF(OR(TRIM(Table24[[#This Row],[DOB]])="",TRIM(Table24[[#This Row],[Date of Call]])=""),"Cannot be calculated",DATEDIF(Table24[[#This Row],[DOB]],Table24[[#This Row],[Date of Call]],"Y")),"Cannot be calculated")</f>
        <v>Cannot be calculated</v>
      </c>
      <c r="AL66"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66" s="19">
        <f>IFERROR(DATEDIF(Table24[[#This Row],[Date of Call]],Table24[[#This Row],[Follow-up Date]],"D"),"Cannot be calculated")</f>
        <v>0</v>
      </c>
      <c r="AN66" s="19" t="str">
        <f>IF(OR(Table24[[#This Row],[Client Age]]&lt;18,Table24[[#This Row],[If client DOB unknown, is client under 18?]]="Yes"),"Yes","No")</f>
        <v>No</v>
      </c>
      <c r="AO66" s="13" t="str">
        <f>IF(Table24[[#This Row],[Time of Inital Call]]="","",IFERROR(MROUND(Table24[[#This Row],[Time of Inital Call]],"1:00"),""))</f>
        <v/>
      </c>
      <c r="AP66" s="19" t="str">
        <f>IF(Table24[[#This Row],[Date of Call]]="","",TEXT(Table24[[#This Row],[Date of Call]],"dddd"))</f>
        <v/>
      </c>
      <c r="AQ66" s="19" t="str">
        <f>IFERROR(VLOOKUP(Table24[[#This Row],[Residence Zip Code]],Table27[],3,FALSE),"")</f>
        <v/>
      </c>
    </row>
    <row r="67" spans="1:43" x14ac:dyDescent="0.25">
      <c r="A67" s="10"/>
      <c r="C67" s="10"/>
      <c r="D67" s="11"/>
      <c r="E67" s="12"/>
      <c r="F67" s="12"/>
      <c r="G67" s="12"/>
      <c r="H67" s="10"/>
      <c r="I67" s="12"/>
      <c r="J67" s="12"/>
      <c r="K67" s="10"/>
      <c r="L67" s="12"/>
      <c r="M67" s="16"/>
      <c r="N67" s="18"/>
      <c r="O67" s="13"/>
      <c r="P67" s="13"/>
      <c r="Q67" s="13"/>
      <c r="R67" s="18"/>
      <c r="S67" s="13"/>
      <c r="T67" s="13"/>
      <c r="U67" s="10"/>
      <c r="V67" s="2"/>
      <c r="X67" s="13"/>
      <c r="Y67" s="3"/>
      <c r="Z67" s="3"/>
      <c r="AA67" s="12"/>
      <c r="AB67" s="10"/>
      <c r="AC67" s="10"/>
      <c r="AD67" s="10"/>
      <c r="AE67" s="10"/>
      <c r="AI67" s="35"/>
      <c r="AJ67"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67" s="19" t="str">
        <f>IFERROR(IF(OR(TRIM(Table24[[#This Row],[DOB]])="",TRIM(Table24[[#This Row],[Date of Call]])=""),"Cannot be calculated",DATEDIF(Table24[[#This Row],[DOB]],Table24[[#This Row],[Date of Call]],"Y")),"Cannot be calculated")</f>
        <v>Cannot be calculated</v>
      </c>
      <c r="AL67"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67" s="19">
        <f>IFERROR(DATEDIF(Table24[[#This Row],[Date of Call]],Table24[[#This Row],[Follow-up Date]],"D"),"Cannot be calculated")</f>
        <v>0</v>
      </c>
      <c r="AN67" s="19" t="str">
        <f>IF(OR(Table24[[#This Row],[Client Age]]&lt;18,Table24[[#This Row],[If client DOB unknown, is client under 18?]]="Yes"),"Yes","No")</f>
        <v>No</v>
      </c>
      <c r="AO67" s="13" t="str">
        <f>IF(Table24[[#This Row],[Time of Inital Call]]="","",IFERROR(MROUND(Table24[[#This Row],[Time of Inital Call]],"1:00"),""))</f>
        <v/>
      </c>
      <c r="AP67" s="19" t="str">
        <f>IF(Table24[[#This Row],[Date of Call]]="","",TEXT(Table24[[#This Row],[Date of Call]],"dddd"))</f>
        <v/>
      </c>
      <c r="AQ67" s="19" t="str">
        <f>IFERROR(VLOOKUP(Table24[[#This Row],[Residence Zip Code]],Table27[],3,FALSE),"")</f>
        <v/>
      </c>
    </row>
    <row r="68" spans="1:43" x14ac:dyDescent="0.25">
      <c r="A68" s="10"/>
      <c r="C68" s="10"/>
      <c r="D68" s="11"/>
      <c r="E68" s="12"/>
      <c r="F68" s="12"/>
      <c r="G68" s="12"/>
      <c r="H68" s="10"/>
      <c r="I68" s="12"/>
      <c r="J68" s="12"/>
      <c r="K68" s="10"/>
      <c r="L68" s="12"/>
      <c r="M68" s="16"/>
      <c r="N68" s="18"/>
      <c r="O68" s="13"/>
      <c r="P68" s="13"/>
      <c r="Q68" s="13"/>
      <c r="R68" s="18"/>
      <c r="S68" s="13"/>
      <c r="T68" s="13"/>
      <c r="U68" s="10"/>
      <c r="V68" s="2"/>
      <c r="X68" s="13"/>
      <c r="Y68" s="3"/>
      <c r="Z68" s="3"/>
      <c r="AA68" s="12"/>
      <c r="AB68" s="10"/>
      <c r="AC68" s="10"/>
      <c r="AD68" s="10"/>
      <c r="AE68" s="10"/>
      <c r="AI68" s="35"/>
      <c r="AJ68"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68" s="19" t="str">
        <f>IFERROR(IF(OR(TRIM(Table24[[#This Row],[DOB]])="",TRIM(Table24[[#This Row],[Date of Call]])=""),"Cannot be calculated",DATEDIF(Table24[[#This Row],[DOB]],Table24[[#This Row],[Date of Call]],"Y")),"Cannot be calculated")</f>
        <v>Cannot be calculated</v>
      </c>
      <c r="AL68"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68" s="19">
        <f>IFERROR(DATEDIF(Table24[[#This Row],[Date of Call]],Table24[[#This Row],[Follow-up Date]],"D"),"Cannot be calculated")</f>
        <v>0</v>
      </c>
      <c r="AN68" s="19" t="str">
        <f>IF(OR(Table24[[#This Row],[Client Age]]&lt;18,Table24[[#This Row],[If client DOB unknown, is client under 18?]]="Yes"),"Yes","No")</f>
        <v>No</v>
      </c>
      <c r="AO68" s="13" t="str">
        <f>IF(Table24[[#This Row],[Time of Inital Call]]="","",IFERROR(MROUND(Table24[[#This Row],[Time of Inital Call]],"1:00"),""))</f>
        <v/>
      </c>
      <c r="AP68" s="19" t="str">
        <f>IF(Table24[[#This Row],[Date of Call]]="","",TEXT(Table24[[#This Row],[Date of Call]],"dddd"))</f>
        <v/>
      </c>
      <c r="AQ68" s="19" t="str">
        <f>IFERROR(VLOOKUP(Table24[[#This Row],[Residence Zip Code]],Table27[],3,FALSE),"")</f>
        <v/>
      </c>
    </row>
    <row r="69" spans="1:43" x14ac:dyDescent="0.25">
      <c r="A69" s="10"/>
      <c r="C69" s="10"/>
      <c r="D69" s="11"/>
      <c r="E69" s="12"/>
      <c r="F69" s="12"/>
      <c r="G69" s="12"/>
      <c r="H69" s="10"/>
      <c r="I69" s="12"/>
      <c r="J69" s="12"/>
      <c r="K69" s="10"/>
      <c r="L69" s="12"/>
      <c r="M69" s="16"/>
      <c r="N69" s="18"/>
      <c r="O69" s="13"/>
      <c r="P69" s="13"/>
      <c r="Q69" s="13"/>
      <c r="R69" s="18"/>
      <c r="S69" s="13"/>
      <c r="T69" s="13"/>
      <c r="U69" s="10"/>
      <c r="V69" s="2"/>
      <c r="X69" s="13"/>
      <c r="Y69" s="3"/>
      <c r="Z69" s="3"/>
      <c r="AA69" s="12"/>
      <c r="AB69" s="10"/>
      <c r="AC69" s="10"/>
      <c r="AD69" s="10"/>
      <c r="AE69" s="10"/>
      <c r="AI69" s="35"/>
      <c r="AJ69"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69" s="19" t="str">
        <f>IFERROR(IF(OR(TRIM(Table24[[#This Row],[DOB]])="",TRIM(Table24[[#This Row],[Date of Call]])=""),"Cannot be calculated",DATEDIF(Table24[[#This Row],[DOB]],Table24[[#This Row],[Date of Call]],"Y")),"Cannot be calculated")</f>
        <v>Cannot be calculated</v>
      </c>
      <c r="AL69"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69" s="19">
        <f>IFERROR(DATEDIF(Table24[[#This Row],[Date of Call]],Table24[[#This Row],[Follow-up Date]],"D"),"Cannot be calculated")</f>
        <v>0</v>
      </c>
      <c r="AN69" s="19" t="str">
        <f>IF(OR(Table24[[#This Row],[Client Age]]&lt;18,Table24[[#This Row],[If client DOB unknown, is client under 18?]]="Yes"),"Yes","No")</f>
        <v>No</v>
      </c>
      <c r="AO69" s="13" t="str">
        <f>IF(Table24[[#This Row],[Time of Inital Call]]="","",IFERROR(MROUND(Table24[[#This Row],[Time of Inital Call]],"1:00"),""))</f>
        <v/>
      </c>
      <c r="AP69" s="19" t="str">
        <f>IF(Table24[[#This Row],[Date of Call]]="","",TEXT(Table24[[#This Row],[Date of Call]],"dddd"))</f>
        <v/>
      </c>
      <c r="AQ69" s="19" t="str">
        <f>IFERROR(VLOOKUP(Table24[[#This Row],[Residence Zip Code]],Table27[],3,FALSE),"")</f>
        <v/>
      </c>
    </row>
    <row r="70" spans="1:43" x14ac:dyDescent="0.25">
      <c r="A70" s="10"/>
      <c r="C70" s="10"/>
      <c r="D70" s="11"/>
      <c r="E70" s="12"/>
      <c r="F70" s="12"/>
      <c r="G70" s="12"/>
      <c r="H70" s="10"/>
      <c r="I70" s="12"/>
      <c r="J70" s="12"/>
      <c r="K70" s="12"/>
      <c r="L70" s="12"/>
      <c r="M70" s="16"/>
      <c r="N70" s="18"/>
      <c r="O70" s="13"/>
      <c r="P70" s="13"/>
      <c r="Q70" s="13"/>
      <c r="R70" s="18"/>
      <c r="S70" s="13"/>
      <c r="T70" s="13"/>
      <c r="U70" s="10"/>
      <c r="V70" s="2"/>
      <c r="X70" s="13"/>
      <c r="Y70" s="3"/>
      <c r="Z70" s="3"/>
      <c r="AA70" s="12"/>
      <c r="AB70" s="10"/>
      <c r="AC70" s="10"/>
      <c r="AD70" s="10"/>
      <c r="AE70" s="10"/>
      <c r="AI70" s="35"/>
      <c r="AJ70"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70" s="19" t="str">
        <f>IFERROR(IF(OR(TRIM(Table24[[#This Row],[DOB]])="",TRIM(Table24[[#This Row],[Date of Call]])=""),"Cannot be calculated",DATEDIF(Table24[[#This Row],[DOB]],Table24[[#This Row],[Date of Call]],"Y")),"Cannot be calculated")</f>
        <v>Cannot be calculated</v>
      </c>
      <c r="AL70"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70" s="19">
        <f>IFERROR(DATEDIF(Table24[[#This Row],[Date of Call]],Table24[[#This Row],[Follow-up Date]],"D"),"Cannot be calculated")</f>
        <v>0</v>
      </c>
      <c r="AN70" s="19" t="str">
        <f>IF(OR(Table24[[#This Row],[Client Age]]&lt;18,Table24[[#This Row],[If client DOB unknown, is client under 18?]]="Yes"),"Yes","No")</f>
        <v>No</v>
      </c>
      <c r="AO70" s="13" t="str">
        <f>IF(Table24[[#This Row],[Time of Inital Call]]="","",IFERROR(MROUND(Table24[[#This Row],[Time of Inital Call]],"1:00"),""))</f>
        <v/>
      </c>
      <c r="AP70" s="19" t="str">
        <f>IF(Table24[[#This Row],[Date of Call]]="","",TEXT(Table24[[#This Row],[Date of Call]],"dddd"))</f>
        <v/>
      </c>
      <c r="AQ70" s="19" t="str">
        <f>IFERROR(VLOOKUP(Table24[[#This Row],[Residence Zip Code]],Table27[],3,FALSE),"")</f>
        <v/>
      </c>
    </row>
    <row r="71" spans="1:43" x14ac:dyDescent="0.25">
      <c r="A71" s="10"/>
      <c r="C71" s="10"/>
      <c r="D71" s="11"/>
      <c r="E71" s="12"/>
      <c r="F71" s="12"/>
      <c r="G71" s="12"/>
      <c r="H71" s="10"/>
      <c r="I71" s="12"/>
      <c r="J71" s="12"/>
      <c r="K71" s="12"/>
      <c r="L71" s="12"/>
      <c r="M71" s="16"/>
      <c r="N71" s="18"/>
      <c r="O71" s="13"/>
      <c r="P71" s="13"/>
      <c r="Q71" s="13"/>
      <c r="R71" s="18"/>
      <c r="S71" s="13"/>
      <c r="T71" s="13"/>
      <c r="U71" s="10"/>
      <c r="V71" s="2"/>
      <c r="X71" s="13"/>
      <c r="Y71" s="3"/>
      <c r="Z71" s="3"/>
      <c r="AA71" s="12"/>
      <c r="AB71" s="10"/>
      <c r="AC71" s="10"/>
      <c r="AD71" s="10"/>
      <c r="AE71" s="10"/>
      <c r="AI71" s="35"/>
      <c r="AJ71"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71" s="19" t="str">
        <f>IFERROR(IF(OR(TRIM(Table24[[#This Row],[DOB]])="",TRIM(Table24[[#This Row],[Date of Call]])=""),"Cannot be calculated",DATEDIF(Table24[[#This Row],[DOB]],Table24[[#This Row],[Date of Call]],"Y")),"Cannot be calculated")</f>
        <v>Cannot be calculated</v>
      </c>
      <c r="AL71"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71" s="19">
        <f>IFERROR(DATEDIF(Table24[[#This Row],[Date of Call]],Table24[[#This Row],[Follow-up Date]],"D"),"Cannot be calculated")</f>
        <v>0</v>
      </c>
      <c r="AN71" s="19" t="str">
        <f>IF(OR(Table24[[#This Row],[Client Age]]&lt;18,Table24[[#This Row],[If client DOB unknown, is client under 18?]]="Yes"),"Yes","No")</f>
        <v>No</v>
      </c>
      <c r="AO71" s="13" t="str">
        <f>IF(Table24[[#This Row],[Time of Inital Call]]="","",IFERROR(MROUND(Table24[[#This Row],[Time of Inital Call]],"1:00"),""))</f>
        <v/>
      </c>
      <c r="AP71" s="19" t="str">
        <f>IF(Table24[[#This Row],[Date of Call]]="","",TEXT(Table24[[#This Row],[Date of Call]],"dddd"))</f>
        <v/>
      </c>
      <c r="AQ71" s="19" t="str">
        <f>IFERROR(VLOOKUP(Table24[[#This Row],[Residence Zip Code]],Table27[],3,FALSE),"")</f>
        <v/>
      </c>
    </row>
    <row r="72" spans="1:43" x14ac:dyDescent="0.25">
      <c r="A72" s="10"/>
      <c r="C72" s="10"/>
      <c r="D72" s="11"/>
      <c r="E72" s="12"/>
      <c r="F72" s="12"/>
      <c r="G72" s="12"/>
      <c r="H72" s="10"/>
      <c r="I72" s="12"/>
      <c r="J72" s="12"/>
      <c r="K72" s="12"/>
      <c r="L72" s="12"/>
      <c r="M72" s="16"/>
      <c r="N72" s="18"/>
      <c r="O72" s="13"/>
      <c r="P72" s="13"/>
      <c r="Q72" s="13"/>
      <c r="R72" s="18"/>
      <c r="S72" s="13"/>
      <c r="T72" s="13"/>
      <c r="U72" s="10"/>
      <c r="V72" s="2"/>
      <c r="X72" s="13"/>
      <c r="Y72" s="3"/>
      <c r="Z72" s="3"/>
      <c r="AA72" s="12"/>
      <c r="AB72" s="10"/>
      <c r="AC72" s="10"/>
      <c r="AD72" s="10"/>
      <c r="AE72" s="10"/>
      <c r="AI72" s="35"/>
      <c r="AJ72"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72" s="19" t="str">
        <f>IFERROR(IF(OR(TRIM(Table24[[#This Row],[DOB]])="",TRIM(Table24[[#This Row],[Date of Call]])=""),"Cannot be calculated",DATEDIF(Table24[[#This Row],[DOB]],Table24[[#This Row],[Date of Call]],"Y")),"Cannot be calculated")</f>
        <v>Cannot be calculated</v>
      </c>
      <c r="AL72"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72" s="19">
        <f>IFERROR(DATEDIF(Table24[[#This Row],[Date of Call]],Table24[[#This Row],[Follow-up Date]],"D"),"Cannot be calculated")</f>
        <v>0</v>
      </c>
      <c r="AN72" s="19" t="str">
        <f>IF(OR(Table24[[#This Row],[Client Age]]&lt;18,Table24[[#This Row],[If client DOB unknown, is client under 18?]]="Yes"),"Yes","No")</f>
        <v>No</v>
      </c>
      <c r="AO72" s="13" t="str">
        <f>IF(Table24[[#This Row],[Time of Inital Call]]="","",IFERROR(MROUND(Table24[[#This Row],[Time of Inital Call]],"1:00"),""))</f>
        <v/>
      </c>
      <c r="AP72" s="19" t="str">
        <f>IF(Table24[[#This Row],[Date of Call]]="","",TEXT(Table24[[#This Row],[Date of Call]],"dddd"))</f>
        <v/>
      </c>
      <c r="AQ72" s="19" t="str">
        <f>IFERROR(VLOOKUP(Table24[[#This Row],[Residence Zip Code]],Table27[],3,FALSE),"")</f>
        <v/>
      </c>
    </row>
    <row r="73" spans="1:43" x14ac:dyDescent="0.25">
      <c r="A73" s="10"/>
      <c r="C73" s="10"/>
      <c r="D73" s="11"/>
      <c r="E73" s="12"/>
      <c r="F73" s="12"/>
      <c r="G73" s="12"/>
      <c r="H73" s="10"/>
      <c r="I73" s="12"/>
      <c r="J73" s="12"/>
      <c r="K73" s="10"/>
      <c r="L73" s="12"/>
      <c r="M73" s="16"/>
      <c r="N73" s="18"/>
      <c r="O73" s="13"/>
      <c r="P73" s="13"/>
      <c r="Q73" s="13"/>
      <c r="R73" s="18"/>
      <c r="S73" s="13"/>
      <c r="T73" s="13"/>
      <c r="U73" s="10"/>
      <c r="V73" s="2"/>
      <c r="X73" s="13"/>
      <c r="Y73" s="3"/>
      <c r="Z73" s="3"/>
      <c r="AA73" s="12"/>
      <c r="AB73" s="10"/>
      <c r="AC73" s="10"/>
      <c r="AD73" s="10"/>
      <c r="AE73" s="10"/>
      <c r="AI73" s="35"/>
      <c r="AJ73"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73" s="19" t="str">
        <f>IFERROR(IF(OR(TRIM(Table24[[#This Row],[DOB]])="",TRIM(Table24[[#This Row],[Date of Call]])=""),"Cannot be calculated",DATEDIF(Table24[[#This Row],[DOB]],Table24[[#This Row],[Date of Call]],"Y")),"Cannot be calculated")</f>
        <v>Cannot be calculated</v>
      </c>
      <c r="AL73"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73" s="19">
        <f>IFERROR(DATEDIF(Table24[[#This Row],[Date of Call]],Table24[[#This Row],[Follow-up Date]],"D"),"Cannot be calculated")</f>
        <v>0</v>
      </c>
      <c r="AN73" s="19" t="str">
        <f>IF(OR(Table24[[#This Row],[Client Age]]&lt;18,Table24[[#This Row],[If client DOB unknown, is client under 18?]]="Yes"),"Yes","No")</f>
        <v>No</v>
      </c>
      <c r="AO73" s="13" t="str">
        <f>IF(Table24[[#This Row],[Time of Inital Call]]="","",IFERROR(MROUND(Table24[[#This Row],[Time of Inital Call]],"1:00"),""))</f>
        <v/>
      </c>
      <c r="AP73" s="19" t="str">
        <f>IF(Table24[[#This Row],[Date of Call]]="","",TEXT(Table24[[#This Row],[Date of Call]],"dddd"))</f>
        <v/>
      </c>
      <c r="AQ73" s="19" t="str">
        <f>IFERROR(VLOOKUP(Table24[[#This Row],[Residence Zip Code]],Table27[],3,FALSE),"")</f>
        <v/>
      </c>
    </row>
    <row r="74" spans="1:43" x14ac:dyDescent="0.25">
      <c r="A74" s="10"/>
      <c r="C74" s="10"/>
      <c r="D74" s="11"/>
      <c r="E74" s="12"/>
      <c r="F74" s="12"/>
      <c r="G74" s="12"/>
      <c r="H74" s="10"/>
      <c r="I74" s="12"/>
      <c r="J74" s="12"/>
      <c r="K74" s="12"/>
      <c r="L74" s="12"/>
      <c r="M74" s="16"/>
      <c r="N74" s="18"/>
      <c r="O74" s="13"/>
      <c r="P74" s="13"/>
      <c r="Q74" s="13"/>
      <c r="R74" s="18"/>
      <c r="S74" s="13"/>
      <c r="T74" s="13"/>
      <c r="U74" s="10"/>
      <c r="V74" s="2"/>
      <c r="X74" s="13"/>
      <c r="Y74" s="3"/>
      <c r="Z74" s="3"/>
      <c r="AA74" s="12"/>
      <c r="AB74" s="10"/>
      <c r="AC74" s="10"/>
      <c r="AD74" s="10"/>
      <c r="AE74" s="10"/>
      <c r="AI74" s="35"/>
      <c r="AJ74"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74" s="19" t="str">
        <f>IFERROR(IF(OR(TRIM(Table24[[#This Row],[DOB]])="",TRIM(Table24[[#This Row],[Date of Call]])=""),"Cannot be calculated",DATEDIF(Table24[[#This Row],[DOB]],Table24[[#This Row],[Date of Call]],"Y")),"Cannot be calculated")</f>
        <v>Cannot be calculated</v>
      </c>
      <c r="AL74"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74" s="19">
        <f>IFERROR(DATEDIF(Table24[[#This Row],[Date of Call]],Table24[[#This Row],[Follow-up Date]],"D"),"Cannot be calculated")</f>
        <v>0</v>
      </c>
      <c r="AN74" s="19" t="str">
        <f>IF(OR(Table24[[#This Row],[Client Age]]&lt;18,Table24[[#This Row],[If client DOB unknown, is client under 18?]]="Yes"),"Yes","No")</f>
        <v>No</v>
      </c>
      <c r="AO74" s="13" t="str">
        <f>IF(Table24[[#This Row],[Time of Inital Call]]="","",IFERROR(MROUND(Table24[[#This Row],[Time of Inital Call]],"1:00"),""))</f>
        <v/>
      </c>
      <c r="AP74" s="19" t="str">
        <f>IF(Table24[[#This Row],[Date of Call]]="","",TEXT(Table24[[#This Row],[Date of Call]],"dddd"))</f>
        <v/>
      </c>
      <c r="AQ74" s="19" t="str">
        <f>IFERROR(VLOOKUP(Table24[[#This Row],[Residence Zip Code]],Table27[],3,FALSE),"")</f>
        <v/>
      </c>
    </row>
    <row r="75" spans="1:43" x14ac:dyDescent="0.25">
      <c r="A75" s="10"/>
      <c r="C75" s="10"/>
      <c r="D75" s="11"/>
      <c r="E75" s="12"/>
      <c r="F75" s="12"/>
      <c r="G75" s="12"/>
      <c r="H75" s="10"/>
      <c r="I75" s="12"/>
      <c r="J75" s="12"/>
      <c r="K75" s="10"/>
      <c r="L75" s="12"/>
      <c r="M75" s="16"/>
      <c r="N75" s="18"/>
      <c r="O75" s="13"/>
      <c r="P75" s="13"/>
      <c r="Q75" s="13"/>
      <c r="R75" s="18"/>
      <c r="S75" s="13"/>
      <c r="T75" s="13"/>
      <c r="U75" s="10"/>
      <c r="V75" s="2"/>
      <c r="X75" s="13"/>
      <c r="Y75" s="3"/>
      <c r="Z75" s="3"/>
      <c r="AA75" s="12"/>
      <c r="AB75" s="10"/>
      <c r="AC75" s="10"/>
      <c r="AD75" s="10"/>
      <c r="AE75" s="10"/>
      <c r="AI75" s="35"/>
      <c r="AJ75"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75" s="19" t="str">
        <f>IFERROR(IF(OR(TRIM(Table24[[#This Row],[DOB]])="",TRIM(Table24[[#This Row],[Date of Call]])=""),"Cannot be calculated",DATEDIF(Table24[[#This Row],[DOB]],Table24[[#This Row],[Date of Call]],"Y")),"Cannot be calculated")</f>
        <v>Cannot be calculated</v>
      </c>
      <c r="AL75"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75" s="19">
        <f>IFERROR(DATEDIF(Table24[[#This Row],[Date of Call]],Table24[[#This Row],[Follow-up Date]],"D"),"Cannot be calculated")</f>
        <v>0</v>
      </c>
      <c r="AN75" s="19" t="str">
        <f>IF(OR(Table24[[#This Row],[Client Age]]&lt;18,Table24[[#This Row],[If client DOB unknown, is client under 18?]]="Yes"),"Yes","No")</f>
        <v>No</v>
      </c>
      <c r="AO75" s="13" t="str">
        <f>IF(Table24[[#This Row],[Time of Inital Call]]="","",IFERROR(MROUND(Table24[[#This Row],[Time of Inital Call]],"1:00"),""))</f>
        <v/>
      </c>
      <c r="AP75" s="19" t="str">
        <f>IF(Table24[[#This Row],[Date of Call]]="","",TEXT(Table24[[#This Row],[Date of Call]],"dddd"))</f>
        <v/>
      </c>
      <c r="AQ75" s="19" t="str">
        <f>IFERROR(VLOOKUP(Table24[[#This Row],[Residence Zip Code]],Table27[],3,FALSE),"")</f>
        <v/>
      </c>
    </row>
    <row r="76" spans="1:43" x14ac:dyDescent="0.25">
      <c r="A76" s="10"/>
      <c r="C76" s="10"/>
      <c r="D76" s="11"/>
      <c r="E76" s="12"/>
      <c r="F76" s="12"/>
      <c r="G76" s="12"/>
      <c r="H76" s="10"/>
      <c r="I76" s="12"/>
      <c r="J76" s="12"/>
      <c r="K76" s="10"/>
      <c r="L76" s="12"/>
      <c r="M76" s="16"/>
      <c r="N76" s="18"/>
      <c r="O76" s="13"/>
      <c r="P76" s="13"/>
      <c r="Q76" s="13"/>
      <c r="R76" s="18"/>
      <c r="S76" s="13"/>
      <c r="T76" s="13"/>
      <c r="U76" s="10"/>
      <c r="V76" s="2"/>
      <c r="X76" s="13"/>
      <c r="Y76" s="3"/>
      <c r="Z76" s="3"/>
      <c r="AA76" s="12"/>
      <c r="AB76" s="10"/>
      <c r="AC76" s="10"/>
      <c r="AD76" s="10"/>
      <c r="AE76" s="10"/>
      <c r="AI76" s="35"/>
      <c r="AJ76"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76" s="19" t="str">
        <f>IFERROR(IF(OR(TRIM(Table24[[#This Row],[DOB]])="",TRIM(Table24[[#This Row],[Date of Call]])=""),"Cannot be calculated",DATEDIF(Table24[[#This Row],[DOB]],Table24[[#This Row],[Date of Call]],"Y")),"Cannot be calculated")</f>
        <v>Cannot be calculated</v>
      </c>
      <c r="AL76"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76" s="19">
        <f>IFERROR(DATEDIF(Table24[[#This Row],[Date of Call]],Table24[[#This Row],[Follow-up Date]],"D"),"Cannot be calculated")</f>
        <v>0</v>
      </c>
      <c r="AN76" s="19" t="str">
        <f>IF(OR(Table24[[#This Row],[Client Age]]&lt;18,Table24[[#This Row],[If client DOB unknown, is client under 18?]]="Yes"),"Yes","No")</f>
        <v>No</v>
      </c>
      <c r="AO76" s="13" t="str">
        <f>IF(Table24[[#This Row],[Time of Inital Call]]="","",IFERROR(MROUND(Table24[[#This Row],[Time of Inital Call]],"1:00"),""))</f>
        <v/>
      </c>
      <c r="AP76" s="19" t="str">
        <f>IF(Table24[[#This Row],[Date of Call]]="","",TEXT(Table24[[#This Row],[Date of Call]],"dddd"))</f>
        <v/>
      </c>
      <c r="AQ76" s="19" t="str">
        <f>IFERROR(VLOOKUP(Table24[[#This Row],[Residence Zip Code]],Table27[],3,FALSE),"")</f>
        <v/>
      </c>
    </row>
    <row r="77" spans="1:43" x14ac:dyDescent="0.25">
      <c r="A77" s="10"/>
      <c r="C77" s="10"/>
      <c r="D77" s="11"/>
      <c r="E77" s="12"/>
      <c r="F77" s="12"/>
      <c r="G77" s="12"/>
      <c r="H77" s="10"/>
      <c r="I77" s="12"/>
      <c r="J77" s="12"/>
      <c r="K77" s="12"/>
      <c r="L77" s="12"/>
      <c r="M77" s="16"/>
      <c r="N77" s="18"/>
      <c r="O77" s="13"/>
      <c r="P77" s="13"/>
      <c r="Q77" s="13"/>
      <c r="R77" s="18"/>
      <c r="S77" s="13"/>
      <c r="T77" s="13"/>
      <c r="U77" s="10"/>
      <c r="V77" s="2"/>
      <c r="X77" s="13"/>
      <c r="Y77" s="3"/>
      <c r="Z77" s="3"/>
      <c r="AA77" s="12"/>
      <c r="AB77" s="10"/>
      <c r="AC77" s="10"/>
      <c r="AD77" s="10"/>
      <c r="AE77" s="10"/>
      <c r="AI77" s="35"/>
      <c r="AJ77"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77" s="19" t="str">
        <f>IFERROR(IF(OR(TRIM(Table24[[#This Row],[DOB]])="",TRIM(Table24[[#This Row],[Date of Call]])=""),"Cannot be calculated",DATEDIF(Table24[[#This Row],[DOB]],Table24[[#This Row],[Date of Call]],"Y")),"Cannot be calculated")</f>
        <v>Cannot be calculated</v>
      </c>
      <c r="AL77"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77" s="19">
        <f>IFERROR(DATEDIF(Table24[[#This Row],[Date of Call]],Table24[[#This Row],[Follow-up Date]],"D"),"Cannot be calculated")</f>
        <v>0</v>
      </c>
      <c r="AN77" s="19" t="str">
        <f>IF(OR(Table24[[#This Row],[Client Age]]&lt;18,Table24[[#This Row],[If client DOB unknown, is client under 18?]]="Yes"),"Yes","No")</f>
        <v>No</v>
      </c>
      <c r="AO77" s="13" t="str">
        <f>IF(Table24[[#This Row],[Time of Inital Call]]="","",IFERROR(MROUND(Table24[[#This Row],[Time of Inital Call]],"1:00"),""))</f>
        <v/>
      </c>
      <c r="AP77" s="19" t="str">
        <f>IF(Table24[[#This Row],[Date of Call]]="","",TEXT(Table24[[#This Row],[Date of Call]],"dddd"))</f>
        <v/>
      </c>
      <c r="AQ77" s="19" t="str">
        <f>IFERROR(VLOOKUP(Table24[[#This Row],[Residence Zip Code]],Table27[],3,FALSE),"")</f>
        <v/>
      </c>
    </row>
    <row r="78" spans="1:43" x14ac:dyDescent="0.25">
      <c r="A78" s="10"/>
      <c r="C78" s="10"/>
      <c r="D78" s="11"/>
      <c r="E78" s="12"/>
      <c r="F78" s="12"/>
      <c r="G78" s="12"/>
      <c r="H78" s="10"/>
      <c r="I78" s="12"/>
      <c r="J78" s="12"/>
      <c r="K78" s="12"/>
      <c r="L78" s="12"/>
      <c r="M78" s="16"/>
      <c r="N78" s="18"/>
      <c r="O78" s="13"/>
      <c r="P78" s="13"/>
      <c r="Q78" s="13"/>
      <c r="R78" s="18"/>
      <c r="S78" s="13"/>
      <c r="T78" s="13"/>
      <c r="U78" s="10"/>
      <c r="V78" s="2"/>
      <c r="X78" s="13"/>
      <c r="Y78" s="3"/>
      <c r="Z78" s="3"/>
      <c r="AA78" s="12"/>
      <c r="AB78" s="10"/>
      <c r="AC78" s="10"/>
      <c r="AD78" s="10"/>
      <c r="AE78" s="10"/>
      <c r="AI78" s="35"/>
      <c r="AJ78"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78" s="19" t="str">
        <f>IFERROR(IF(OR(TRIM(Table24[[#This Row],[DOB]])="",TRIM(Table24[[#This Row],[Date of Call]])=""),"Cannot be calculated",DATEDIF(Table24[[#This Row],[DOB]],Table24[[#This Row],[Date of Call]],"Y")),"Cannot be calculated")</f>
        <v>Cannot be calculated</v>
      </c>
      <c r="AL78"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78" s="19">
        <f>IFERROR(DATEDIF(Table24[[#This Row],[Date of Call]],Table24[[#This Row],[Follow-up Date]],"D"),"Cannot be calculated")</f>
        <v>0</v>
      </c>
      <c r="AN78" s="19" t="str">
        <f>IF(OR(Table24[[#This Row],[Client Age]]&lt;18,Table24[[#This Row],[If client DOB unknown, is client under 18?]]="Yes"),"Yes","No")</f>
        <v>No</v>
      </c>
      <c r="AO78" s="13" t="str">
        <f>IF(Table24[[#This Row],[Time of Inital Call]]="","",IFERROR(MROUND(Table24[[#This Row],[Time of Inital Call]],"1:00"),""))</f>
        <v/>
      </c>
      <c r="AP78" s="19" t="str">
        <f>IF(Table24[[#This Row],[Date of Call]]="","",TEXT(Table24[[#This Row],[Date of Call]],"dddd"))</f>
        <v/>
      </c>
      <c r="AQ78" s="19" t="str">
        <f>IFERROR(VLOOKUP(Table24[[#This Row],[Residence Zip Code]],Table27[],3,FALSE),"")</f>
        <v/>
      </c>
    </row>
    <row r="79" spans="1:43" x14ac:dyDescent="0.25">
      <c r="A79" s="10"/>
      <c r="C79" s="10"/>
      <c r="D79" s="11"/>
      <c r="E79" s="12"/>
      <c r="F79" s="12"/>
      <c r="G79" s="12"/>
      <c r="H79" s="10"/>
      <c r="I79" s="12"/>
      <c r="J79" s="12"/>
      <c r="K79" s="12"/>
      <c r="L79" s="12"/>
      <c r="M79" s="16"/>
      <c r="N79" s="18"/>
      <c r="O79" s="13"/>
      <c r="P79" s="13"/>
      <c r="Q79" s="13"/>
      <c r="R79" s="18"/>
      <c r="S79" s="13"/>
      <c r="T79" s="13"/>
      <c r="U79" s="10"/>
      <c r="V79" s="2"/>
      <c r="X79" s="13"/>
      <c r="Y79" s="3"/>
      <c r="Z79" s="3"/>
      <c r="AA79" s="12"/>
      <c r="AB79" s="10"/>
      <c r="AC79" s="10"/>
      <c r="AD79" s="10"/>
      <c r="AE79" s="10"/>
      <c r="AI79" s="35"/>
      <c r="AJ79"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79" s="19" t="str">
        <f>IFERROR(IF(OR(TRIM(Table24[[#This Row],[DOB]])="",TRIM(Table24[[#This Row],[Date of Call]])=""),"Cannot be calculated",DATEDIF(Table24[[#This Row],[DOB]],Table24[[#This Row],[Date of Call]],"Y")),"Cannot be calculated")</f>
        <v>Cannot be calculated</v>
      </c>
      <c r="AL79"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79" s="19">
        <f>IFERROR(DATEDIF(Table24[[#This Row],[Date of Call]],Table24[[#This Row],[Follow-up Date]],"D"),"Cannot be calculated")</f>
        <v>0</v>
      </c>
      <c r="AN79" s="19" t="str">
        <f>IF(OR(Table24[[#This Row],[Client Age]]&lt;18,Table24[[#This Row],[If client DOB unknown, is client under 18?]]="Yes"),"Yes","No")</f>
        <v>No</v>
      </c>
      <c r="AO79" s="13" t="str">
        <f>IF(Table24[[#This Row],[Time of Inital Call]]="","",IFERROR(MROUND(Table24[[#This Row],[Time of Inital Call]],"1:00"),""))</f>
        <v/>
      </c>
      <c r="AP79" s="19" t="str">
        <f>IF(Table24[[#This Row],[Date of Call]]="","",TEXT(Table24[[#This Row],[Date of Call]],"dddd"))</f>
        <v/>
      </c>
      <c r="AQ79" s="19" t="str">
        <f>IFERROR(VLOOKUP(Table24[[#This Row],[Residence Zip Code]],Table27[],3,FALSE),"")</f>
        <v/>
      </c>
    </row>
    <row r="80" spans="1:43" x14ac:dyDescent="0.25">
      <c r="A80" s="10"/>
      <c r="C80" s="10"/>
      <c r="D80" s="11"/>
      <c r="E80" s="12"/>
      <c r="F80" s="12"/>
      <c r="G80" s="12"/>
      <c r="H80" s="10"/>
      <c r="I80" s="12"/>
      <c r="J80" s="12"/>
      <c r="K80" s="12"/>
      <c r="L80" s="12"/>
      <c r="M80" s="16"/>
      <c r="N80" s="18"/>
      <c r="O80" s="13"/>
      <c r="P80" s="13"/>
      <c r="Q80" s="13"/>
      <c r="R80" s="18"/>
      <c r="S80" s="13"/>
      <c r="T80" s="13"/>
      <c r="U80" s="10"/>
      <c r="V80" s="2"/>
      <c r="X80" s="13"/>
      <c r="Y80" s="3"/>
      <c r="Z80" s="3"/>
      <c r="AA80" s="12"/>
      <c r="AB80" s="10"/>
      <c r="AC80" s="10"/>
      <c r="AD80" s="10"/>
      <c r="AE80" s="10"/>
      <c r="AI80" s="35"/>
      <c r="AJ80"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80" s="19" t="str">
        <f>IFERROR(IF(OR(TRIM(Table24[[#This Row],[DOB]])="",TRIM(Table24[[#This Row],[Date of Call]])=""),"Cannot be calculated",DATEDIF(Table24[[#This Row],[DOB]],Table24[[#This Row],[Date of Call]],"Y")),"Cannot be calculated")</f>
        <v>Cannot be calculated</v>
      </c>
      <c r="AL80"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80" s="19">
        <f>IFERROR(DATEDIF(Table24[[#This Row],[Date of Call]],Table24[[#This Row],[Follow-up Date]],"D"),"Cannot be calculated")</f>
        <v>0</v>
      </c>
      <c r="AN80" s="19" t="str">
        <f>IF(OR(Table24[[#This Row],[Client Age]]&lt;18,Table24[[#This Row],[If client DOB unknown, is client under 18?]]="Yes"),"Yes","No")</f>
        <v>No</v>
      </c>
      <c r="AO80" s="13" t="str">
        <f>IF(Table24[[#This Row],[Time of Inital Call]]="","",IFERROR(MROUND(Table24[[#This Row],[Time of Inital Call]],"1:00"),""))</f>
        <v/>
      </c>
      <c r="AP80" s="19" t="str">
        <f>IF(Table24[[#This Row],[Date of Call]]="","",TEXT(Table24[[#This Row],[Date of Call]],"dddd"))</f>
        <v/>
      </c>
      <c r="AQ80" s="19" t="str">
        <f>IFERROR(VLOOKUP(Table24[[#This Row],[Residence Zip Code]],Table27[],3,FALSE),"")</f>
        <v/>
      </c>
    </row>
    <row r="81" spans="1:43" x14ac:dyDescent="0.25">
      <c r="A81" s="10"/>
      <c r="C81" s="10"/>
      <c r="D81" s="11"/>
      <c r="E81" s="12"/>
      <c r="F81" s="12"/>
      <c r="G81" s="12"/>
      <c r="H81" s="10"/>
      <c r="I81" s="12"/>
      <c r="J81" s="12"/>
      <c r="K81" s="12"/>
      <c r="L81" s="12"/>
      <c r="M81" s="16"/>
      <c r="N81" s="18"/>
      <c r="O81" s="13"/>
      <c r="P81" s="13"/>
      <c r="Q81" s="13"/>
      <c r="R81" s="18"/>
      <c r="S81" s="13"/>
      <c r="T81" s="13"/>
      <c r="U81" s="10"/>
      <c r="V81" s="2"/>
      <c r="X81" s="13"/>
      <c r="Y81" s="3"/>
      <c r="Z81" s="3"/>
      <c r="AA81" s="12"/>
      <c r="AB81" s="10"/>
      <c r="AC81" s="10"/>
      <c r="AD81" s="10"/>
      <c r="AE81" s="10"/>
      <c r="AI81" s="35"/>
      <c r="AJ81"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81" s="19" t="str">
        <f>IFERROR(IF(OR(TRIM(Table24[[#This Row],[DOB]])="",TRIM(Table24[[#This Row],[Date of Call]])=""),"Cannot be calculated",DATEDIF(Table24[[#This Row],[DOB]],Table24[[#This Row],[Date of Call]],"Y")),"Cannot be calculated")</f>
        <v>Cannot be calculated</v>
      </c>
      <c r="AL81"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81" s="19">
        <f>IFERROR(DATEDIF(Table24[[#This Row],[Date of Call]],Table24[[#This Row],[Follow-up Date]],"D"),"Cannot be calculated")</f>
        <v>0</v>
      </c>
      <c r="AN81" s="19" t="str">
        <f>IF(OR(Table24[[#This Row],[Client Age]]&lt;18,Table24[[#This Row],[If client DOB unknown, is client under 18?]]="Yes"),"Yes","No")</f>
        <v>No</v>
      </c>
      <c r="AO81" s="13" t="str">
        <f>IF(Table24[[#This Row],[Time of Inital Call]]="","",IFERROR(MROUND(Table24[[#This Row],[Time of Inital Call]],"1:00"),""))</f>
        <v/>
      </c>
      <c r="AP81" s="19" t="str">
        <f>IF(Table24[[#This Row],[Date of Call]]="","",TEXT(Table24[[#This Row],[Date of Call]],"dddd"))</f>
        <v/>
      </c>
      <c r="AQ81" s="19" t="str">
        <f>IFERROR(VLOOKUP(Table24[[#This Row],[Residence Zip Code]],Table27[],3,FALSE),"")</f>
        <v/>
      </c>
    </row>
    <row r="82" spans="1:43" x14ac:dyDescent="0.25">
      <c r="A82" s="10"/>
      <c r="C82" s="10"/>
      <c r="D82" s="11"/>
      <c r="E82" s="12"/>
      <c r="F82" s="12"/>
      <c r="G82" s="12"/>
      <c r="H82" s="10"/>
      <c r="I82" s="12"/>
      <c r="J82" s="12"/>
      <c r="K82" s="12"/>
      <c r="L82" s="12"/>
      <c r="M82" s="16"/>
      <c r="N82" s="18"/>
      <c r="O82" s="13"/>
      <c r="P82" s="13"/>
      <c r="Q82" s="13"/>
      <c r="R82" s="18"/>
      <c r="S82" s="13"/>
      <c r="T82" s="13"/>
      <c r="U82" s="10"/>
      <c r="V82" s="2"/>
      <c r="X82" s="13"/>
      <c r="Y82" s="3"/>
      <c r="Z82" s="3"/>
      <c r="AA82" s="12"/>
      <c r="AB82" s="10"/>
      <c r="AC82" s="10"/>
      <c r="AD82" s="10"/>
      <c r="AE82" s="10"/>
      <c r="AI82" s="35"/>
      <c r="AJ82"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82" s="19" t="str">
        <f>IFERROR(IF(OR(TRIM(Table24[[#This Row],[DOB]])="",TRIM(Table24[[#This Row],[Date of Call]])=""),"Cannot be calculated",DATEDIF(Table24[[#This Row],[DOB]],Table24[[#This Row],[Date of Call]],"Y")),"Cannot be calculated")</f>
        <v>Cannot be calculated</v>
      </c>
      <c r="AL82"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82" s="19">
        <f>IFERROR(DATEDIF(Table24[[#This Row],[Date of Call]],Table24[[#This Row],[Follow-up Date]],"D"),"Cannot be calculated")</f>
        <v>0</v>
      </c>
      <c r="AN82" s="19" t="str">
        <f>IF(OR(Table24[[#This Row],[Client Age]]&lt;18,Table24[[#This Row],[If client DOB unknown, is client under 18?]]="Yes"),"Yes","No")</f>
        <v>No</v>
      </c>
      <c r="AO82" s="13" t="str">
        <f>IF(Table24[[#This Row],[Time of Inital Call]]="","",IFERROR(MROUND(Table24[[#This Row],[Time of Inital Call]],"1:00"),""))</f>
        <v/>
      </c>
      <c r="AP82" s="19" t="str">
        <f>IF(Table24[[#This Row],[Date of Call]]="","",TEXT(Table24[[#This Row],[Date of Call]],"dddd"))</f>
        <v/>
      </c>
      <c r="AQ82" s="19" t="str">
        <f>IFERROR(VLOOKUP(Table24[[#This Row],[Residence Zip Code]],Table27[],3,FALSE),"")</f>
        <v/>
      </c>
    </row>
    <row r="83" spans="1:43" x14ac:dyDescent="0.25">
      <c r="A83" s="10"/>
      <c r="C83" s="10"/>
      <c r="D83" s="11"/>
      <c r="E83" s="12"/>
      <c r="F83" s="12"/>
      <c r="G83" s="12"/>
      <c r="H83" s="10"/>
      <c r="I83" s="12"/>
      <c r="J83" s="12"/>
      <c r="K83" s="12"/>
      <c r="L83" s="12"/>
      <c r="M83" s="16"/>
      <c r="N83" s="18"/>
      <c r="O83" s="13"/>
      <c r="P83" s="13"/>
      <c r="Q83" s="13"/>
      <c r="R83" s="18"/>
      <c r="S83" s="13"/>
      <c r="T83" s="13"/>
      <c r="U83" s="10"/>
      <c r="V83" s="2"/>
      <c r="X83" s="13"/>
      <c r="Y83" s="3"/>
      <c r="Z83" s="3"/>
      <c r="AA83" s="12"/>
      <c r="AB83" s="10"/>
      <c r="AC83" s="10"/>
      <c r="AD83" s="10"/>
      <c r="AE83" s="10"/>
      <c r="AI83" s="35"/>
      <c r="AJ83"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83" s="19" t="str">
        <f>IFERROR(IF(OR(TRIM(Table24[[#This Row],[DOB]])="",TRIM(Table24[[#This Row],[Date of Call]])=""),"Cannot be calculated",DATEDIF(Table24[[#This Row],[DOB]],Table24[[#This Row],[Date of Call]],"Y")),"Cannot be calculated")</f>
        <v>Cannot be calculated</v>
      </c>
      <c r="AL83"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83" s="19">
        <f>IFERROR(DATEDIF(Table24[[#This Row],[Date of Call]],Table24[[#This Row],[Follow-up Date]],"D"),"Cannot be calculated")</f>
        <v>0</v>
      </c>
      <c r="AN83" s="19" t="str">
        <f>IF(OR(Table24[[#This Row],[Client Age]]&lt;18,Table24[[#This Row],[If client DOB unknown, is client under 18?]]="Yes"),"Yes","No")</f>
        <v>No</v>
      </c>
      <c r="AO83" s="13" t="str">
        <f>IF(Table24[[#This Row],[Time of Inital Call]]="","",IFERROR(MROUND(Table24[[#This Row],[Time of Inital Call]],"1:00"),""))</f>
        <v/>
      </c>
      <c r="AP83" s="19" t="str">
        <f>IF(Table24[[#This Row],[Date of Call]]="","",TEXT(Table24[[#This Row],[Date of Call]],"dddd"))</f>
        <v/>
      </c>
      <c r="AQ83" s="19" t="str">
        <f>IFERROR(VLOOKUP(Table24[[#This Row],[Residence Zip Code]],Table27[],3,FALSE),"")</f>
        <v/>
      </c>
    </row>
    <row r="84" spans="1:43" x14ac:dyDescent="0.25">
      <c r="A84" s="10"/>
      <c r="C84" s="10"/>
      <c r="D84" s="11"/>
      <c r="E84" s="12"/>
      <c r="F84" s="12"/>
      <c r="G84" s="12"/>
      <c r="H84" s="10"/>
      <c r="I84" s="12"/>
      <c r="J84" s="12"/>
      <c r="K84" s="12"/>
      <c r="L84" s="12"/>
      <c r="M84" s="16"/>
      <c r="N84" s="18"/>
      <c r="O84" s="13"/>
      <c r="P84" s="13"/>
      <c r="Q84" s="13"/>
      <c r="R84" s="18"/>
      <c r="S84" s="13"/>
      <c r="T84" s="13"/>
      <c r="U84" s="10"/>
      <c r="V84" s="2"/>
      <c r="X84" s="13"/>
      <c r="Y84" s="3"/>
      <c r="Z84" s="3"/>
      <c r="AA84" s="12"/>
      <c r="AB84" s="10"/>
      <c r="AC84" s="10"/>
      <c r="AD84" s="10"/>
      <c r="AE84" s="10"/>
      <c r="AI84" s="35"/>
      <c r="AJ84"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84" s="19" t="str">
        <f>IFERROR(IF(OR(TRIM(Table24[[#This Row],[DOB]])="",TRIM(Table24[[#This Row],[Date of Call]])=""),"Cannot be calculated",DATEDIF(Table24[[#This Row],[DOB]],Table24[[#This Row],[Date of Call]],"Y")),"Cannot be calculated")</f>
        <v>Cannot be calculated</v>
      </c>
      <c r="AL84"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84" s="19">
        <f>IFERROR(DATEDIF(Table24[[#This Row],[Date of Call]],Table24[[#This Row],[Follow-up Date]],"D"),"Cannot be calculated")</f>
        <v>0</v>
      </c>
      <c r="AN84" s="19" t="str">
        <f>IF(OR(Table24[[#This Row],[Client Age]]&lt;18,Table24[[#This Row],[If client DOB unknown, is client under 18?]]="Yes"),"Yes","No")</f>
        <v>No</v>
      </c>
      <c r="AO84" s="13" t="str">
        <f>IF(Table24[[#This Row],[Time of Inital Call]]="","",IFERROR(MROUND(Table24[[#This Row],[Time of Inital Call]],"1:00"),""))</f>
        <v/>
      </c>
      <c r="AP84" s="19" t="str">
        <f>IF(Table24[[#This Row],[Date of Call]]="","",TEXT(Table24[[#This Row],[Date of Call]],"dddd"))</f>
        <v/>
      </c>
      <c r="AQ84" s="19" t="str">
        <f>IFERROR(VLOOKUP(Table24[[#This Row],[Residence Zip Code]],Table27[],3,FALSE),"")</f>
        <v/>
      </c>
    </row>
    <row r="85" spans="1:43" x14ac:dyDescent="0.25">
      <c r="A85" s="10"/>
      <c r="C85" s="10"/>
      <c r="D85" s="11"/>
      <c r="E85" s="12"/>
      <c r="F85" s="12"/>
      <c r="G85" s="12"/>
      <c r="H85" s="10"/>
      <c r="I85" s="12"/>
      <c r="J85" s="12"/>
      <c r="K85" s="12"/>
      <c r="L85" s="12"/>
      <c r="M85" s="16"/>
      <c r="N85" s="18"/>
      <c r="O85" s="13"/>
      <c r="P85" s="13"/>
      <c r="Q85" s="13"/>
      <c r="R85" s="18"/>
      <c r="S85" s="13"/>
      <c r="T85" s="13"/>
      <c r="U85" s="10"/>
      <c r="V85" s="2"/>
      <c r="X85" s="13"/>
      <c r="Y85" s="3"/>
      <c r="Z85" s="3"/>
      <c r="AA85" s="12"/>
      <c r="AB85" s="10"/>
      <c r="AC85" s="10"/>
      <c r="AD85" s="10"/>
      <c r="AE85" s="10"/>
      <c r="AI85" s="35"/>
      <c r="AJ85"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85" s="19" t="str">
        <f>IFERROR(IF(OR(TRIM(Table24[[#This Row],[DOB]])="",TRIM(Table24[[#This Row],[Date of Call]])=""),"Cannot be calculated",DATEDIF(Table24[[#This Row],[DOB]],Table24[[#This Row],[Date of Call]],"Y")),"Cannot be calculated")</f>
        <v>Cannot be calculated</v>
      </c>
      <c r="AL85"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85" s="19">
        <f>IFERROR(DATEDIF(Table24[[#This Row],[Date of Call]],Table24[[#This Row],[Follow-up Date]],"D"),"Cannot be calculated")</f>
        <v>0</v>
      </c>
      <c r="AN85" s="19" t="str">
        <f>IF(OR(Table24[[#This Row],[Client Age]]&lt;18,Table24[[#This Row],[If client DOB unknown, is client under 18?]]="Yes"),"Yes","No")</f>
        <v>No</v>
      </c>
      <c r="AO85" s="13" t="str">
        <f>IF(Table24[[#This Row],[Time of Inital Call]]="","",IFERROR(MROUND(Table24[[#This Row],[Time of Inital Call]],"1:00"),""))</f>
        <v/>
      </c>
      <c r="AP85" s="19" t="str">
        <f>IF(Table24[[#This Row],[Date of Call]]="","",TEXT(Table24[[#This Row],[Date of Call]],"dddd"))</f>
        <v/>
      </c>
      <c r="AQ85" s="19" t="str">
        <f>IFERROR(VLOOKUP(Table24[[#This Row],[Residence Zip Code]],Table27[],3,FALSE),"")</f>
        <v/>
      </c>
    </row>
    <row r="86" spans="1:43" x14ac:dyDescent="0.25">
      <c r="A86" s="10"/>
      <c r="C86" s="10"/>
      <c r="D86" s="11"/>
      <c r="E86" s="12"/>
      <c r="F86" s="12"/>
      <c r="G86" s="12"/>
      <c r="H86" s="10"/>
      <c r="I86" s="12"/>
      <c r="J86" s="12"/>
      <c r="K86" s="12"/>
      <c r="L86" s="12"/>
      <c r="M86" s="16"/>
      <c r="N86" s="18"/>
      <c r="O86" s="13"/>
      <c r="P86" s="13"/>
      <c r="Q86" s="13"/>
      <c r="R86" s="18"/>
      <c r="S86" s="13"/>
      <c r="T86" s="13"/>
      <c r="U86" s="10"/>
      <c r="V86" s="2"/>
      <c r="X86" s="13"/>
      <c r="Y86" s="3"/>
      <c r="Z86" s="3"/>
      <c r="AA86" s="12"/>
      <c r="AB86" s="10"/>
      <c r="AC86" s="10"/>
      <c r="AD86" s="10"/>
      <c r="AE86" s="10"/>
      <c r="AI86" s="35"/>
      <c r="AJ86"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86" s="19" t="str">
        <f>IFERROR(IF(OR(TRIM(Table24[[#This Row],[DOB]])="",TRIM(Table24[[#This Row],[Date of Call]])=""),"Cannot be calculated",DATEDIF(Table24[[#This Row],[DOB]],Table24[[#This Row],[Date of Call]],"Y")),"Cannot be calculated")</f>
        <v>Cannot be calculated</v>
      </c>
      <c r="AL86"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86" s="19">
        <f>IFERROR(DATEDIF(Table24[[#This Row],[Date of Call]],Table24[[#This Row],[Follow-up Date]],"D"),"Cannot be calculated")</f>
        <v>0</v>
      </c>
      <c r="AN86" s="19" t="str">
        <f>IF(OR(Table24[[#This Row],[Client Age]]&lt;18,Table24[[#This Row],[If client DOB unknown, is client under 18?]]="Yes"),"Yes","No")</f>
        <v>No</v>
      </c>
      <c r="AO86" s="13" t="str">
        <f>IF(Table24[[#This Row],[Time of Inital Call]]="","",IFERROR(MROUND(Table24[[#This Row],[Time of Inital Call]],"1:00"),""))</f>
        <v/>
      </c>
      <c r="AP86" s="19" t="str">
        <f>IF(Table24[[#This Row],[Date of Call]]="","",TEXT(Table24[[#This Row],[Date of Call]],"dddd"))</f>
        <v/>
      </c>
      <c r="AQ86" s="19" t="str">
        <f>IFERROR(VLOOKUP(Table24[[#This Row],[Residence Zip Code]],Table27[],3,FALSE),"")</f>
        <v/>
      </c>
    </row>
    <row r="87" spans="1:43" x14ac:dyDescent="0.25">
      <c r="A87" s="10"/>
      <c r="C87" s="10"/>
      <c r="D87" s="11"/>
      <c r="E87" s="12"/>
      <c r="F87" s="12"/>
      <c r="G87" s="12"/>
      <c r="H87" s="10"/>
      <c r="I87" s="12"/>
      <c r="J87" s="12"/>
      <c r="K87" s="12"/>
      <c r="L87" s="12"/>
      <c r="M87" s="16"/>
      <c r="N87" s="18"/>
      <c r="O87" s="13"/>
      <c r="P87" s="13"/>
      <c r="Q87" s="13"/>
      <c r="R87" s="18"/>
      <c r="S87" s="13"/>
      <c r="T87" s="13"/>
      <c r="U87" s="10"/>
      <c r="V87" s="2"/>
      <c r="X87" s="13"/>
      <c r="Y87" s="3"/>
      <c r="Z87" s="3"/>
      <c r="AA87" s="12"/>
      <c r="AB87" s="10"/>
      <c r="AC87" s="10"/>
      <c r="AD87" s="10"/>
      <c r="AE87" s="10"/>
      <c r="AI87" s="35"/>
      <c r="AJ87"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87" s="19" t="str">
        <f>IFERROR(IF(OR(TRIM(Table24[[#This Row],[DOB]])="",TRIM(Table24[[#This Row],[Date of Call]])=""),"Cannot be calculated",DATEDIF(Table24[[#This Row],[DOB]],Table24[[#This Row],[Date of Call]],"Y")),"Cannot be calculated")</f>
        <v>Cannot be calculated</v>
      </c>
      <c r="AL87"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87" s="19">
        <f>IFERROR(DATEDIF(Table24[[#This Row],[Date of Call]],Table24[[#This Row],[Follow-up Date]],"D"),"Cannot be calculated")</f>
        <v>0</v>
      </c>
      <c r="AN87" s="19" t="str">
        <f>IF(OR(Table24[[#This Row],[Client Age]]&lt;18,Table24[[#This Row],[If client DOB unknown, is client under 18?]]="Yes"),"Yes","No")</f>
        <v>No</v>
      </c>
      <c r="AO87" s="13" t="str">
        <f>IF(Table24[[#This Row],[Time of Inital Call]]="","",IFERROR(MROUND(Table24[[#This Row],[Time of Inital Call]],"1:00"),""))</f>
        <v/>
      </c>
      <c r="AP87" s="19" t="str">
        <f>IF(Table24[[#This Row],[Date of Call]]="","",TEXT(Table24[[#This Row],[Date of Call]],"dddd"))</f>
        <v/>
      </c>
      <c r="AQ87" s="19" t="str">
        <f>IFERROR(VLOOKUP(Table24[[#This Row],[Residence Zip Code]],Table27[],3,FALSE),"")</f>
        <v/>
      </c>
    </row>
    <row r="88" spans="1:43" x14ac:dyDescent="0.25">
      <c r="A88" s="10"/>
      <c r="C88" s="10"/>
      <c r="D88" s="11"/>
      <c r="E88" s="12"/>
      <c r="F88" s="12"/>
      <c r="G88" s="12"/>
      <c r="H88" s="10"/>
      <c r="I88" s="12"/>
      <c r="J88" s="12"/>
      <c r="K88" s="12"/>
      <c r="L88" s="12"/>
      <c r="M88" s="16"/>
      <c r="N88" s="18"/>
      <c r="O88" s="13"/>
      <c r="P88" s="13"/>
      <c r="Q88" s="13"/>
      <c r="R88" s="18"/>
      <c r="S88" s="13"/>
      <c r="T88" s="13"/>
      <c r="U88" s="10"/>
      <c r="V88" s="2"/>
      <c r="X88" s="13"/>
      <c r="Y88" s="3"/>
      <c r="Z88" s="3"/>
      <c r="AA88" s="12"/>
      <c r="AB88" s="10"/>
      <c r="AC88" s="10"/>
      <c r="AD88" s="10"/>
      <c r="AE88" s="10"/>
      <c r="AI88" s="35"/>
      <c r="AJ88"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88" s="19" t="str">
        <f>IFERROR(IF(OR(TRIM(Table24[[#This Row],[DOB]])="",TRIM(Table24[[#This Row],[Date of Call]])=""),"Cannot be calculated",DATEDIF(Table24[[#This Row],[DOB]],Table24[[#This Row],[Date of Call]],"Y")),"Cannot be calculated")</f>
        <v>Cannot be calculated</v>
      </c>
      <c r="AL88"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88" s="19">
        <f>IFERROR(DATEDIF(Table24[[#This Row],[Date of Call]],Table24[[#This Row],[Follow-up Date]],"D"),"Cannot be calculated")</f>
        <v>0</v>
      </c>
      <c r="AN88" s="19" t="str">
        <f>IF(OR(Table24[[#This Row],[Client Age]]&lt;18,Table24[[#This Row],[If client DOB unknown, is client under 18?]]="Yes"),"Yes","No")</f>
        <v>No</v>
      </c>
      <c r="AO88" s="13" t="str">
        <f>IF(Table24[[#This Row],[Time of Inital Call]]="","",IFERROR(MROUND(Table24[[#This Row],[Time of Inital Call]],"1:00"),""))</f>
        <v/>
      </c>
      <c r="AP88" s="19" t="str">
        <f>IF(Table24[[#This Row],[Date of Call]]="","",TEXT(Table24[[#This Row],[Date of Call]],"dddd"))</f>
        <v/>
      </c>
      <c r="AQ88" s="19" t="str">
        <f>IFERROR(VLOOKUP(Table24[[#This Row],[Residence Zip Code]],Table27[],3,FALSE),"")</f>
        <v/>
      </c>
    </row>
    <row r="89" spans="1:43" x14ac:dyDescent="0.25">
      <c r="A89" s="10"/>
      <c r="C89" s="10"/>
      <c r="D89" s="11"/>
      <c r="E89" s="12"/>
      <c r="F89" s="12"/>
      <c r="G89" s="12"/>
      <c r="H89" s="10"/>
      <c r="I89" s="12"/>
      <c r="J89" s="12"/>
      <c r="K89" s="12"/>
      <c r="L89" s="12"/>
      <c r="M89" s="16"/>
      <c r="N89" s="18"/>
      <c r="O89" s="13"/>
      <c r="P89" s="13"/>
      <c r="Q89" s="13"/>
      <c r="R89" s="18"/>
      <c r="S89" s="13"/>
      <c r="T89" s="13"/>
      <c r="U89" s="10"/>
      <c r="V89" s="2"/>
      <c r="X89" s="13"/>
      <c r="Y89" s="3"/>
      <c r="Z89" s="3"/>
      <c r="AA89" s="12"/>
      <c r="AB89" s="10"/>
      <c r="AC89" s="10"/>
      <c r="AD89" s="10"/>
      <c r="AE89" s="10"/>
      <c r="AI89" s="35"/>
      <c r="AJ89"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89" s="19" t="str">
        <f>IFERROR(IF(OR(TRIM(Table24[[#This Row],[DOB]])="",TRIM(Table24[[#This Row],[Date of Call]])=""),"Cannot be calculated",DATEDIF(Table24[[#This Row],[DOB]],Table24[[#This Row],[Date of Call]],"Y")),"Cannot be calculated")</f>
        <v>Cannot be calculated</v>
      </c>
      <c r="AL89"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89" s="19">
        <f>IFERROR(DATEDIF(Table24[[#This Row],[Date of Call]],Table24[[#This Row],[Follow-up Date]],"D"),"Cannot be calculated")</f>
        <v>0</v>
      </c>
      <c r="AN89" s="19" t="str">
        <f>IF(OR(Table24[[#This Row],[Client Age]]&lt;18,Table24[[#This Row],[If client DOB unknown, is client under 18?]]="Yes"),"Yes","No")</f>
        <v>No</v>
      </c>
      <c r="AO89" s="13" t="str">
        <f>IF(Table24[[#This Row],[Time of Inital Call]]="","",IFERROR(MROUND(Table24[[#This Row],[Time of Inital Call]],"1:00"),""))</f>
        <v/>
      </c>
      <c r="AP89" s="19" t="str">
        <f>IF(Table24[[#This Row],[Date of Call]]="","",TEXT(Table24[[#This Row],[Date of Call]],"dddd"))</f>
        <v/>
      </c>
      <c r="AQ89" s="19" t="str">
        <f>IFERROR(VLOOKUP(Table24[[#This Row],[Residence Zip Code]],Table27[],3,FALSE),"")</f>
        <v/>
      </c>
    </row>
    <row r="90" spans="1:43" x14ac:dyDescent="0.25">
      <c r="A90" s="10"/>
      <c r="C90" s="10"/>
      <c r="D90" s="11"/>
      <c r="E90" s="12"/>
      <c r="F90" s="12"/>
      <c r="G90" s="12"/>
      <c r="H90" s="10"/>
      <c r="I90" s="12"/>
      <c r="J90" s="12"/>
      <c r="K90" s="12"/>
      <c r="L90" s="12"/>
      <c r="M90" s="16"/>
      <c r="N90" s="18"/>
      <c r="O90" s="13"/>
      <c r="P90" s="13"/>
      <c r="Q90" s="13"/>
      <c r="R90" s="18"/>
      <c r="S90" s="13"/>
      <c r="T90" s="13"/>
      <c r="U90" s="10"/>
      <c r="V90" s="2"/>
      <c r="X90" s="13"/>
      <c r="Y90" s="3"/>
      <c r="Z90" s="3"/>
      <c r="AA90" s="12"/>
      <c r="AB90" s="10"/>
      <c r="AC90" s="10"/>
      <c r="AD90" s="10"/>
      <c r="AE90" s="10"/>
      <c r="AI90" s="35"/>
      <c r="AJ90"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90" s="19" t="str">
        <f>IFERROR(IF(OR(TRIM(Table24[[#This Row],[DOB]])="",TRIM(Table24[[#This Row],[Date of Call]])=""),"Cannot be calculated",DATEDIF(Table24[[#This Row],[DOB]],Table24[[#This Row],[Date of Call]],"Y")),"Cannot be calculated")</f>
        <v>Cannot be calculated</v>
      </c>
      <c r="AL90"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90" s="19">
        <f>IFERROR(DATEDIF(Table24[[#This Row],[Date of Call]],Table24[[#This Row],[Follow-up Date]],"D"),"Cannot be calculated")</f>
        <v>0</v>
      </c>
      <c r="AN90" s="19" t="str">
        <f>IF(OR(Table24[[#This Row],[Client Age]]&lt;18,Table24[[#This Row],[If client DOB unknown, is client under 18?]]="Yes"),"Yes","No")</f>
        <v>No</v>
      </c>
      <c r="AO90" s="13" t="str">
        <f>IF(Table24[[#This Row],[Time of Inital Call]]="","",IFERROR(MROUND(Table24[[#This Row],[Time of Inital Call]],"1:00"),""))</f>
        <v/>
      </c>
      <c r="AP90" s="19" t="str">
        <f>IF(Table24[[#This Row],[Date of Call]]="","",TEXT(Table24[[#This Row],[Date of Call]],"dddd"))</f>
        <v/>
      </c>
      <c r="AQ90" s="19" t="str">
        <f>IFERROR(VLOOKUP(Table24[[#This Row],[Residence Zip Code]],Table27[],3,FALSE),"")</f>
        <v/>
      </c>
    </row>
    <row r="91" spans="1:43" x14ac:dyDescent="0.25">
      <c r="A91" s="10"/>
      <c r="C91" s="10"/>
      <c r="D91" s="11"/>
      <c r="E91" s="12"/>
      <c r="F91" s="12"/>
      <c r="G91" s="12"/>
      <c r="H91" s="10"/>
      <c r="I91" s="12"/>
      <c r="J91" s="12"/>
      <c r="K91" s="12"/>
      <c r="L91" s="12"/>
      <c r="M91" s="16"/>
      <c r="N91" s="18"/>
      <c r="O91" s="13"/>
      <c r="P91" s="13"/>
      <c r="Q91" s="13"/>
      <c r="R91" s="18"/>
      <c r="S91" s="13"/>
      <c r="T91" s="13"/>
      <c r="U91" s="10"/>
      <c r="V91" s="2"/>
      <c r="X91" s="13"/>
      <c r="Y91" s="3"/>
      <c r="Z91" s="3"/>
      <c r="AA91" s="12"/>
      <c r="AB91" s="10"/>
      <c r="AC91" s="10"/>
      <c r="AD91" s="10"/>
      <c r="AE91" s="10"/>
      <c r="AI91" s="35"/>
      <c r="AJ91"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91" s="19" t="str">
        <f>IFERROR(IF(OR(TRIM(Table24[[#This Row],[DOB]])="",TRIM(Table24[[#This Row],[Date of Call]])=""),"Cannot be calculated",DATEDIF(Table24[[#This Row],[DOB]],Table24[[#This Row],[Date of Call]],"Y")),"Cannot be calculated")</f>
        <v>Cannot be calculated</v>
      </c>
      <c r="AL91"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91" s="19">
        <f>IFERROR(DATEDIF(Table24[[#This Row],[Date of Call]],Table24[[#This Row],[Follow-up Date]],"D"),"Cannot be calculated")</f>
        <v>0</v>
      </c>
      <c r="AN91" s="19" t="str">
        <f>IF(OR(Table24[[#This Row],[Client Age]]&lt;18,Table24[[#This Row],[If client DOB unknown, is client under 18?]]="Yes"),"Yes","No")</f>
        <v>No</v>
      </c>
      <c r="AO91" s="13" t="str">
        <f>IF(Table24[[#This Row],[Time of Inital Call]]="","",IFERROR(MROUND(Table24[[#This Row],[Time of Inital Call]],"1:00"),""))</f>
        <v/>
      </c>
      <c r="AP91" s="19" t="str">
        <f>IF(Table24[[#This Row],[Date of Call]]="","",TEXT(Table24[[#This Row],[Date of Call]],"dddd"))</f>
        <v/>
      </c>
      <c r="AQ91" s="19" t="str">
        <f>IFERROR(VLOOKUP(Table24[[#This Row],[Residence Zip Code]],Table27[],3,FALSE),"")</f>
        <v/>
      </c>
    </row>
    <row r="92" spans="1:43" x14ac:dyDescent="0.25">
      <c r="A92" s="10"/>
      <c r="C92" s="10"/>
      <c r="D92" s="11"/>
      <c r="E92" s="12"/>
      <c r="F92" s="12"/>
      <c r="G92" s="12"/>
      <c r="H92" s="10"/>
      <c r="I92" s="12"/>
      <c r="J92" s="12"/>
      <c r="K92" s="12"/>
      <c r="L92" s="12"/>
      <c r="M92" s="16"/>
      <c r="N92" s="18"/>
      <c r="O92" s="13"/>
      <c r="P92" s="13"/>
      <c r="Q92" s="13"/>
      <c r="R92" s="18"/>
      <c r="S92" s="13"/>
      <c r="T92" s="13"/>
      <c r="U92" s="10"/>
      <c r="V92" s="2"/>
      <c r="X92" s="13"/>
      <c r="Y92" s="3"/>
      <c r="Z92" s="3"/>
      <c r="AA92" s="12"/>
      <c r="AB92" s="10"/>
      <c r="AC92" s="10"/>
      <c r="AD92" s="10"/>
      <c r="AE92" s="10"/>
      <c r="AI92" s="35"/>
      <c r="AJ92"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92" s="19" t="str">
        <f>IFERROR(IF(OR(TRIM(Table24[[#This Row],[DOB]])="",TRIM(Table24[[#This Row],[Date of Call]])=""),"Cannot be calculated",DATEDIF(Table24[[#This Row],[DOB]],Table24[[#This Row],[Date of Call]],"Y")),"Cannot be calculated")</f>
        <v>Cannot be calculated</v>
      </c>
      <c r="AL92"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92" s="19">
        <f>IFERROR(DATEDIF(Table24[[#This Row],[Date of Call]],Table24[[#This Row],[Follow-up Date]],"D"),"Cannot be calculated")</f>
        <v>0</v>
      </c>
      <c r="AN92" s="19" t="str">
        <f>IF(OR(Table24[[#This Row],[Client Age]]&lt;18,Table24[[#This Row],[If client DOB unknown, is client under 18?]]="Yes"),"Yes","No")</f>
        <v>No</v>
      </c>
      <c r="AO92" s="13" t="str">
        <f>IF(Table24[[#This Row],[Time of Inital Call]]="","",IFERROR(MROUND(Table24[[#This Row],[Time of Inital Call]],"1:00"),""))</f>
        <v/>
      </c>
      <c r="AP92" s="19" t="str">
        <f>IF(Table24[[#This Row],[Date of Call]]="","",TEXT(Table24[[#This Row],[Date of Call]],"dddd"))</f>
        <v/>
      </c>
      <c r="AQ92" s="19" t="str">
        <f>IFERROR(VLOOKUP(Table24[[#This Row],[Residence Zip Code]],Table27[],3,FALSE),"")</f>
        <v/>
      </c>
    </row>
    <row r="93" spans="1:43" x14ac:dyDescent="0.25">
      <c r="A93" s="10"/>
      <c r="C93" s="10"/>
      <c r="D93" s="11"/>
      <c r="E93" s="12"/>
      <c r="F93" s="12"/>
      <c r="G93" s="12"/>
      <c r="H93" s="10"/>
      <c r="I93" s="12"/>
      <c r="J93" s="12"/>
      <c r="K93" s="12"/>
      <c r="L93" s="12"/>
      <c r="M93" s="16"/>
      <c r="N93" s="18"/>
      <c r="O93" s="13"/>
      <c r="P93" s="13"/>
      <c r="Q93" s="13"/>
      <c r="R93" s="18"/>
      <c r="S93" s="13"/>
      <c r="T93" s="13"/>
      <c r="U93" s="10"/>
      <c r="V93" s="2"/>
      <c r="X93" s="13"/>
      <c r="Y93" s="3"/>
      <c r="Z93" s="3"/>
      <c r="AA93" s="12"/>
      <c r="AB93" s="10"/>
      <c r="AC93" s="10"/>
      <c r="AD93" s="10"/>
      <c r="AE93" s="10"/>
      <c r="AI93" s="35"/>
      <c r="AJ93"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93" s="19" t="str">
        <f>IFERROR(IF(OR(TRIM(Table24[[#This Row],[DOB]])="",TRIM(Table24[[#This Row],[Date of Call]])=""),"Cannot be calculated",DATEDIF(Table24[[#This Row],[DOB]],Table24[[#This Row],[Date of Call]],"Y")),"Cannot be calculated")</f>
        <v>Cannot be calculated</v>
      </c>
      <c r="AL93"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93" s="19">
        <f>IFERROR(DATEDIF(Table24[[#This Row],[Date of Call]],Table24[[#This Row],[Follow-up Date]],"D"),"Cannot be calculated")</f>
        <v>0</v>
      </c>
      <c r="AN93" s="19" t="str">
        <f>IF(OR(Table24[[#This Row],[Client Age]]&lt;18,Table24[[#This Row],[If client DOB unknown, is client under 18?]]="Yes"),"Yes","No")</f>
        <v>No</v>
      </c>
      <c r="AO93" s="13" t="str">
        <f>IF(Table24[[#This Row],[Time of Inital Call]]="","",IFERROR(MROUND(Table24[[#This Row],[Time of Inital Call]],"1:00"),""))</f>
        <v/>
      </c>
      <c r="AP93" s="19" t="str">
        <f>IF(Table24[[#This Row],[Date of Call]]="","",TEXT(Table24[[#This Row],[Date of Call]],"dddd"))</f>
        <v/>
      </c>
      <c r="AQ93" s="19" t="str">
        <f>IFERROR(VLOOKUP(Table24[[#This Row],[Residence Zip Code]],Table27[],3,FALSE),"")</f>
        <v/>
      </c>
    </row>
    <row r="94" spans="1:43" x14ac:dyDescent="0.25">
      <c r="A94" s="10"/>
      <c r="C94" s="10"/>
      <c r="D94" s="11"/>
      <c r="E94" s="12"/>
      <c r="F94" s="12"/>
      <c r="G94" s="12"/>
      <c r="H94" s="10"/>
      <c r="I94" s="12"/>
      <c r="J94" s="12"/>
      <c r="K94" s="12"/>
      <c r="L94" s="12"/>
      <c r="M94" s="16"/>
      <c r="N94" s="18"/>
      <c r="O94" s="13"/>
      <c r="P94" s="13"/>
      <c r="Q94" s="13"/>
      <c r="R94" s="18"/>
      <c r="S94" s="13"/>
      <c r="T94" s="13"/>
      <c r="U94" s="10"/>
      <c r="V94" s="2"/>
      <c r="X94" s="13"/>
      <c r="Y94" s="3"/>
      <c r="Z94" s="3"/>
      <c r="AA94" s="12"/>
      <c r="AB94" s="10"/>
      <c r="AC94" s="10"/>
      <c r="AD94" s="10"/>
      <c r="AE94" s="10"/>
      <c r="AI94" s="35"/>
      <c r="AJ94"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94" s="19" t="str">
        <f>IFERROR(IF(OR(TRIM(Table24[[#This Row],[DOB]])="",TRIM(Table24[[#This Row],[Date of Call]])=""),"Cannot be calculated",DATEDIF(Table24[[#This Row],[DOB]],Table24[[#This Row],[Date of Call]],"Y")),"Cannot be calculated")</f>
        <v>Cannot be calculated</v>
      </c>
      <c r="AL94"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94" s="19">
        <f>IFERROR(DATEDIF(Table24[[#This Row],[Date of Call]],Table24[[#This Row],[Follow-up Date]],"D"),"Cannot be calculated")</f>
        <v>0</v>
      </c>
      <c r="AN94" s="19" t="str">
        <f>IF(OR(Table24[[#This Row],[Client Age]]&lt;18,Table24[[#This Row],[If client DOB unknown, is client under 18?]]="Yes"),"Yes","No")</f>
        <v>No</v>
      </c>
      <c r="AO94" s="13" t="str">
        <f>IF(Table24[[#This Row],[Time of Inital Call]]="","",IFERROR(MROUND(Table24[[#This Row],[Time of Inital Call]],"1:00"),""))</f>
        <v/>
      </c>
      <c r="AP94" s="19" t="str">
        <f>IF(Table24[[#This Row],[Date of Call]]="","",TEXT(Table24[[#This Row],[Date of Call]],"dddd"))</f>
        <v/>
      </c>
      <c r="AQ94" s="19" t="str">
        <f>IFERROR(VLOOKUP(Table24[[#This Row],[Residence Zip Code]],Table27[],3,FALSE),"")</f>
        <v/>
      </c>
    </row>
    <row r="95" spans="1:43" x14ac:dyDescent="0.25">
      <c r="A95" s="10"/>
      <c r="C95" s="10"/>
      <c r="D95" s="11"/>
      <c r="E95" s="12"/>
      <c r="F95" s="12"/>
      <c r="G95" s="12"/>
      <c r="H95" s="10"/>
      <c r="I95" s="12"/>
      <c r="J95" s="12"/>
      <c r="K95" s="12"/>
      <c r="L95" s="12"/>
      <c r="M95" s="16"/>
      <c r="N95" s="18"/>
      <c r="O95" s="13"/>
      <c r="P95" s="13"/>
      <c r="Q95" s="13"/>
      <c r="R95" s="18"/>
      <c r="S95" s="13"/>
      <c r="T95" s="13"/>
      <c r="U95" s="10"/>
      <c r="V95" s="2"/>
      <c r="X95" s="13"/>
      <c r="Y95" s="3"/>
      <c r="Z95" s="3"/>
      <c r="AA95" s="12"/>
      <c r="AB95" s="10"/>
      <c r="AC95" s="10"/>
      <c r="AD95" s="10"/>
      <c r="AE95" s="10"/>
      <c r="AI95" s="35"/>
      <c r="AJ95"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95" s="19" t="str">
        <f>IFERROR(IF(OR(TRIM(Table24[[#This Row],[DOB]])="",TRIM(Table24[[#This Row],[Date of Call]])=""),"Cannot be calculated",DATEDIF(Table24[[#This Row],[DOB]],Table24[[#This Row],[Date of Call]],"Y")),"Cannot be calculated")</f>
        <v>Cannot be calculated</v>
      </c>
      <c r="AL95"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95" s="19">
        <f>IFERROR(DATEDIF(Table24[[#This Row],[Date of Call]],Table24[[#This Row],[Follow-up Date]],"D"),"Cannot be calculated")</f>
        <v>0</v>
      </c>
      <c r="AN95" s="19" t="str">
        <f>IF(OR(Table24[[#This Row],[Client Age]]&lt;18,Table24[[#This Row],[If client DOB unknown, is client under 18?]]="Yes"),"Yes","No")</f>
        <v>No</v>
      </c>
      <c r="AO95" s="13" t="str">
        <f>IF(Table24[[#This Row],[Time of Inital Call]]="","",IFERROR(MROUND(Table24[[#This Row],[Time of Inital Call]],"1:00"),""))</f>
        <v/>
      </c>
      <c r="AP95" s="19" t="str">
        <f>IF(Table24[[#This Row],[Date of Call]]="","",TEXT(Table24[[#This Row],[Date of Call]],"dddd"))</f>
        <v/>
      </c>
      <c r="AQ95" s="19" t="str">
        <f>IFERROR(VLOOKUP(Table24[[#This Row],[Residence Zip Code]],Table27[],3,FALSE),"")</f>
        <v/>
      </c>
    </row>
    <row r="96" spans="1:43" x14ac:dyDescent="0.25">
      <c r="A96" s="10"/>
      <c r="C96" s="10"/>
      <c r="D96" s="11"/>
      <c r="E96" s="12"/>
      <c r="F96" s="12"/>
      <c r="G96" s="12"/>
      <c r="H96" s="10"/>
      <c r="I96" s="12"/>
      <c r="J96" s="12"/>
      <c r="K96" s="10"/>
      <c r="L96" s="12"/>
      <c r="M96" s="16"/>
      <c r="N96" s="18"/>
      <c r="O96" s="13"/>
      <c r="P96" s="13"/>
      <c r="Q96" s="13"/>
      <c r="R96" s="18"/>
      <c r="S96" s="13"/>
      <c r="T96" s="13"/>
      <c r="U96" s="10"/>
      <c r="V96" s="2"/>
      <c r="X96" s="13"/>
      <c r="Y96" s="3"/>
      <c r="Z96" s="3"/>
      <c r="AA96" s="12"/>
      <c r="AB96" s="10"/>
      <c r="AC96" s="10"/>
      <c r="AD96" s="10"/>
      <c r="AE96" s="10"/>
      <c r="AI96" s="35"/>
      <c r="AJ96"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96" s="19" t="str">
        <f>IFERROR(IF(OR(TRIM(Table24[[#This Row],[DOB]])="",TRIM(Table24[[#This Row],[Date of Call]])=""),"Cannot be calculated",DATEDIF(Table24[[#This Row],[DOB]],Table24[[#This Row],[Date of Call]],"Y")),"Cannot be calculated")</f>
        <v>Cannot be calculated</v>
      </c>
      <c r="AL96"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96" s="19">
        <f>IFERROR(DATEDIF(Table24[[#This Row],[Date of Call]],Table24[[#This Row],[Follow-up Date]],"D"),"Cannot be calculated")</f>
        <v>0</v>
      </c>
      <c r="AN96" s="19" t="str">
        <f>IF(OR(Table24[[#This Row],[Client Age]]&lt;18,Table24[[#This Row],[If client DOB unknown, is client under 18?]]="Yes"),"Yes","No")</f>
        <v>No</v>
      </c>
      <c r="AO96" s="13" t="str">
        <f>IF(Table24[[#This Row],[Time of Inital Call]]="","",IFERROR(MROUND(Table24[[#This Row],[Time of Inital Call]],"1:00"),""))</f>
        <v/>
      </c>
      <c r="AP96" s="19" t="str">
        <f>IF(Table24[[#This Row],[Date of Call]]="","",TEXT(Table24[[#This Row],[Date of Call]],"dddd"))</f>
        <v/>
      </c>
      <c r="AQ96" s="19" t="str">
        <f>IFERROR(VLOOKUP(Table24[[#This Row],[Residence Zip Code]],Table27[],3,FALSE),"")</f>
        <v/>
      </c>
    </row>
    <row r="97" spans="1:43" x14ac:dyDescent="0.25">
      <c r="A97" s="10"/>
      <c r="C97" s="10"/>
      <c r="D97" s="11"/>
      <c r="E97" s="12"/>
      <c r="F97" s="12"/>
      <c r="G97" s="12"/>
      <c r="H97" s="10"/>
      <c r="I97" s="12"/>
      <c r="J97" s="12"/>
      <c r="K97" s="12"/>
      <c r="L97" s="12"/>
      <c r="M97" s="16"/>
      <c r="N97" s="18"/>
      <c r="O97" s="13"/>
      <c r="P97" s="13"/>
      <c r="Q97" s="13"/>
      <c r="R97" s="18"/>
      <c r="S97" s="13"/>
      <c r="T97" s="13"/>
      <c r="U97" s="10"/>
      <c r="V97" s="2"/>
      <c r="X97" s="13"/>
      <c r="Y97" s="3"/>
      <c r="Z97" s="3"/>
      <c r="AA97" s="12"/>
      <c r="AB97" s="10"/>
      <c r="AC97" s="10"/>
      <c r="AD97" s="10"/>
      <c r="AE97" s="10"/>
      <c r="AI97" s="35"/>
      <c r="AJ97"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97" s="19" t="str">
        <f>IFERROR(IF(OR(TRIM(Table24[[#This Row],[DOB]])="",TRIM(Table24[[#This Row],[Date of Call]])=""),"Cannot be calculated",DATEDIF(Table24[[#This Row],[DOB]],Table24[[#This Row],[Date of Call]],"Y")),"Cannot be calculated")</f>
        <v>Cannot be calculated</v>
      </c>
      <c r="AL97"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97" s="19">
        <f>IFERROR(DATEDIF(Table24[[#This Row],[Date of Call]],Table24[[#This Row],[Follow-up Date]],"D"),"Cannot be calculated")</f>
        <v>0</v>
      </c>
      <c r="AN97" s="19" t="str">
        <f>IF(OR(Table24[[#This Row],[Client Age]]&lt;18,Table24[[#This Row],[If client DOB unknown, is client under 18?]]="Yes"),"Yes","No")</f>
        <v>No</v>
      </c>
      <c r="AO97" s="13" t="str">
        <f>IF(Table24[[#This Row],[Time of Inital Call]]="","",IFERROR(MROUND(Table24[[#This Row],[Time of Inital Call]],"1:00"),""))</f>
        <v/>
      </c>
      <c r="AP97" s="19" t="str">
        <f>IF(Table24[[#This Row],[Date of Call]]="","",TEXT(Table24[[#This Row],[Date of Call]],"dddd"))</f>
        <v/>
      </c>
      <c r="AQ97" s="19" t="str">
        <f>IFERROR(VLOOKUP(Table24[[#This Row],[Residence Zip Code]],Table27[],3,FALSE),"")</f>
        <v/>
      </c>
    </row>
    <row r="98" spans="1:43" x14ac:dyDescent="0.25">
      <c r="A98" s="10"/>
      <c r="C98" s="10"/>
      <c r="D98" s="11"/>
      <c r="E98" s="12"/>
      <c r="F98" s="12"/>
      <c r="G98" s="12"/>
      <c r="H98" s="10"/>
      <c r="I98" s="12"/>
      <c r="J98" s="12"/>
      <c r="K98" s="12"/>
      <c r="L98" s="12"/>
      <c r="M98" s="16"/>
      <c r="N98" s="18"/>
      <c r="O98" s="13"/>
      <c r="P98" s="13"/>
      <c r="Q98" s="13"/>
      <c r="R98" s="18"/>
      <c r="S98" s="13"/>
      <c r="T98" s="13"/>
      <c r="U98" s="10"/>
      <c r="V98" s="2"/>
      <c r="X98" s="13"/>
      <c r="Y98" s="3"/>
      <c r="Z98" s="3"/>
      <c r="AA98" s="12"/>
      <c r="AB98" s="10"/>
      <c r="AC98" s="10"/>
      <c r="AD98" s="10"/>
      <c r="AE98" s="10"/>
      <c r="AI98" s="35"/>
      <c r="AJ98"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98" s="19" t="str">
        <f>IFERROR(IF(OR(TRIM(Table24[[#This Row],[DOB]])="",TRIM(Table24[[#This Row],[Date of Call]])=""),"Cannot be calculated",DATEDIF(Table24[[#This Row],[DOB]],Table24[[#This Row],[Date of Call]],"Y")),"Cannot be calculated")</f>
        <v>Cannot be calculated</v>
      </c>
      <c r="AL98"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98" s="19">
        <f>IFERROR(DATEDIF(Table24[[#This Row],[Date of Call]],Table24[[#This Row],[Follow-up Date]],"D"),"Cannot be calculated")</f>
        <v>0</v>
      </c>
      <c r="AN98" s="19" t="str">
        <f>IF(OR(Table24[[#This Row],[Client Age]]&lt;18,Table24[[#This Row],[If client DOB unknown, is client under 18?]]="Yes"),"Yes","No")</f>
        <v>No</v>
      </c>
      <c r="AO98" s="13" t="str">
        <f>IF(Table24[[#This Row],[Time of Inital Call]]="","",IFERROR(MROUND(Table24[[#This Row],[Time of Inital Call]],"1:00"),""))</f>
        <v/>
      </c>
      <c r="AP98" s="19" t="str">
        <f>IF(Table24[[#This Row],[Date of Call]]="","",TEXT(Table24[[#This Row],[Date of Call]],"dddd"))</f>
        <v/>
      </c>
      <c r="AQ98" s="19" t="str">
        <f>IFERROR(VLOOKUP(Table24[[#This Row],[Residence Zip Code]],Table27[],3,FALSE),"")</f>
        <v/>
      </c>
    </row>
    <row r="99" spans="1:43" x14ac:dyDescent="0.25">
      <c r="A99" s="10"/>
      <c r="C99" s="10"/>
      <c r="D99" s="11"/>
      <c r="E99" s="12"/>
      <c r="F99" s="12"/>
      <c r="G99" s="12"/>
      <c r="H99" s="10"/>
      <c r="I99" s="12"/>
      <c r="J99" s="12"/>
      <c r="K99" s="12"/>
      <c r="L99" s="12"/>
      <c r="M99" s="16"/>
      <c r="N99" s="18"/>
      <c r="O99" s="13"/>
      <c r="P99" s="13"/>
      <c r="Q99" s="13"/>
      <c r="R99" s="18"/>
      <c r="S99" s="13"/>
      <c r="T99" s="13"/>
      <c r="U99" s="10"/>
      <c r="V99" s="2"/>
      <c r="X99" s="13"/>
      <c r="Y99" s="3"/>
      <c r="Z99" s="3"/>
      <c r="AA99" s="12"/>
      <c r="AB99" s="10"/>
      <c r="AC99" s="10"/>
      <c r="AD99" s="10"/>
      <c r="AE99" s="10"/>
      <c r="AI99" s="35"/>
      <c r="AJ99"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99" s="19" t="str">
        <f>IFERROR(IF(OR(TRIM(Table24[[#This Row],[DOB]])="",TRIM(Table24[[#This Row],[Date of Call]])=""),"Cannot be calculated",DATEDIF(Table24[[#This Row],[DOB]],Table24[[#This Row],[Date of Call]],"Y")),"Cannot be calculated")</f>
        <v>Cannot be calculated</v>
      </c>
      <c r="AL99"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99" s="19">
        <f>IFERROR(DATEDIF(Table24[[#This Row],[Date of Call]],Table24[[#This Row],[Follow-up Date]],"D"),"Cannot be calculated")</f>
        <v>0</v>
      </c>
      <c r="AN99" s="19" t="str">
        <f>IF(OR(Table24[[#This Row],[Client Age]]&lt;18,Table24[[#This Row],[If client DOB unknown, is client under 18?]]="Yes"),"Yes","No")</f>
        <v>No</v>
      </c>
      <c r="AO99" s="13" t="str">
        <f>IF(Table24[[#This Row],[Time of Inital Call]]="","",IFERROR(MROUND(Table24[[#This Row],[Time of Inital Call]],"1:00"),""))</f>
        <v/>
      </c>
      <c r="AP99" s="19" t="str">
        <f>IF(Table24[[#This Row],[Date of Call]]="","",TEXT(Table24[[#This Row],[Date of Call]],"dddd"))</f>
        <v/>
      </c>
      <c r="AQ99" s="19" t="str">
        <f>IFERROR(VLOOKUP(Table24[[#This Row],[Residence Zip Code]],Table27[],3,FALSE),"")</f>
        <v/>
      </c>
    </row>
    <row r="100" spans="1:43" x14ac:dyDescent="0.25">
      <c r="A100" s="10"/>
      <c r="C100" s="10"/>
      <c r="D100" s="11"/>
      <c r="E100" s="12"/>
      <c r="F100" s="12"/>
      <c r="G100" s="12"/>
      <c r="H100" s="10"/>
      <c r="I100" s="12"/>
      <c r="J100" s="12"/>
      <c r="K100" s="12"/>
      <c r="L100" s="12"/>
      <c r="M100" s="16"/>
      <c r="N100" s="18"/>
      <c r="O100" s="13"/>
      <c r="P100" s="13"/>
      <c r="Q100" s="13"/>
      <c r="R100" s="18"/>
      <c r="S100" s="13"/>
      <c r="T100" s="13"/>
      <c r="U100" s="10"/>
      <c r="V100" s="2"/>
      <c r="X100" s="13"/>
      <c r="Y100" s="3"/>
      <c r="Z100" s="3"/>
      <c r="AA100" s="12"/>
      <c r="AB100" s="10"/>
      <c r="AC100" s="10"/>
      <c r="AD100" s="10"/>
      <c r="AE100" s="10"/>
      <c r="AI100" s="35"/>
      <c r="AJ100"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00" s="19" t="str">
        <f>IFERROR(IF(OR(TRIM(Table24[[#This Row],[DOB]])="",TRIM(Table24[[#This Row],[Date of Call]])=""),"Cannot be calculated",DATEDIF(Table24[[#This Row],[DOB]],Table24[[#This Row],[Date of Call]],"Y")),"Cannot be calculated")</f>
        <v>Cannot be calculated</v>
      </c>
      <c r="AL100"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00" s="19">
        <f>IFERROR(DATEDIF(Table24[[#This Row],[Date of Call]],Table24[[#This Row],[Follow-up Date]],"D"),"Cannot be calculated")</f>
        <v>0</v>
      </c>
      <c r="AN100" s="19" t="str">
        <f>IF(OR(Table24[[#This Row],[Client Age]]&lt;18,Table24[[#This Row],[If client DOB unknown, is client under 18?]]="Yes"),"Yes","No")</f>
        <v>No</v>
      </c>
      <c r="AO100" s="13" t="str">
        <f>IF(Table24[[#This Row],[Time of Inital Call]]="","",IFERROR(MROUND(Table24[[#This Row],[Time of Inital Call]],"1:00"),""))</f>
        <v/>
      </c>
      <c r="AP100" s="19" t="str">
        <f>IF(Table24[[#This Row],[Date of Call]]="","",TEXT(Table24[[#This Row],[Date of Call]],"dddd"))</f>
        <v/>
      </c>
      <c r="AQ100" s="19" t="str">
        <f>IFERROR(VLOOKUP(Table24[[#This Row],[Residence Zip Code]],Table27[],3,FALSE),"")</f>
        <v/>
      </c>
    </row>
    <row r="101" spans="1:43" x14ac:dyDescent="0.25">
      <c r="A101" s="10"/>
      <c r="C101" s="10"/>
      <c r="D101" s="11"/>
      <c r="E101" s="12"/>
      <c r="F101" s="12"/>
      <c r="G101" s="12"/>
      <c r="H101" s="10"/>
      <c r="I101" s="12"/>
      <c r="J101" s="12"/>
      <c r="K101" s="12"/>
      <c r="L101" s="12"/>
      <c r="M101" s="16"/>
      <c r="N101" s="18"/>
      <c r="O101" s="13"/>
      <c r="P101" s="13"/>
      <c r="Q101" s="13"/>
      <c r="R101" s="18"/>
      <c r="S101" s="13"/>
      <c r="T101" s="13"/>
      <c r="U101" s="10"/>
      <c r="V101" s="2"/>
      <c r="X101" s="13"/>
      <c r="Y101" s="3"/>
      <c r="Z101" s="3"/>
      <c r="AA101" s="12"/>
      <c r="AB101" s="10"/>
      <c r="AC101" s="10"/>
      <c r="AD101" s="10"/>
      <c r="AE101" s="10"/>
      <c r="AI101" s="35"/>
      <c r="AJ101"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01" s="19" t="str">
        <f>IFERROR(IF(OR(TRIM(Table24[[#This Row],[DOB]])="",TRIM(Table24[[#This Row],[Date of Call]])=""),"Cannot be calculated",DATEDIF(Table24[[#This Row],[DOB]],Table24[[#This Row],[Date of Call]],"Y")),"Cannot be calculated")</f>
        <v>Cannot be calculated</v>
      </c>
      <c r="AL101"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01" s="19">
        <f>IFERROR(DATEDIF(Table24[[#This Row],[Date of Call]],Table24[[#This Row],[Follow-up Date]],"D"),"Cannot be calculated")</f>
        <v>0</v>
      </c>
      <c r="AN101" s="19" t="str">
        <f>IF(OR(Table24[[#This Row],[Client Age]]&lt;18,Table24[[#This Row],[If client DOB unknown, is client under 18?]]="Yes"),"Yes","No")</f>
        <v>No</v>
      </c>
      <c r="AO101" s="13" t="str">
        <f>IF(Table24[[#This Row],[Time of Inital Call]]="","",IFERROR(MROUND(Table24[[#This Row],[Time of Inital Call]],"1:00"),""))</f>
        <v/>
      </c>
      <c r="AP101" s="19" t="str">
        <f>IF(Table24[[#This Row],[Date of Call]]="","",TEXT(Table24[[#This Row],[Date of Call]],"dddd"))</f>
        <v/>
      </c>
      <c r="AQ101" s="19" t="str">
        <f>IFERROR(VLOOKUP(Table24[[#This Row],[Residence Zip Code]],Table27[],3,FALSE),"")</f>
        <v/>
      </c>
    </row>
    <row r="102" spans="1:43" x14ac:dyDescent="0.25">
      <c r="A102" s="10"/>
      <c r="C102" s="10"/>
      <c r="D102" s="11"/>
      <c r="E102" s="12"/>
      <c r="F102" s="12"/>
      <c r="G102" s="12"/>
      <c r="H102" s="10"/>
      <c r="I102" s="12"/>
      <c r="J102" s="12"/>
      <c r="K102" s="12"/>
      <c r="L102" s="12"/>
      <c r="M102" s="16"/>
      <c r="N102" s="18"/>
      <c r="O102" s="13"/>
      <c r="P102" s="13"/>
      <c r="Q102" s="13"/>
      <c r="R102" s="18"/>
      <c r="S102" s="13"/>
      <c r="T102" s="13"/>
      <c r="U102" s="10"/>
      <c r="V102" s="2"/>
      <c r="X102" s="13"/>
      <c r="Y102" s="3"/>
      <c r="Z102" s="3"/>
      <c r="AA102" s="12"/>
      <c r="AB102" s="10"/>
      <c r="AC102" s="10"/>
      <c r="AD102" s="10"/>
      <c r="AE102" s="10"/>
      <c r="AI102" s="35"/>
      <c r="AJ102"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02" s="19" t="str">
        <f>IFERROR(IF(OR(TRIM(Table24[[#This Row],[DOB]])="",TRIM(Table24[[#This Row],[Date of Call]])=""),"Cannot be calculated",DATEDIF(Table24[[#This Row],[DOB]],Table24[[#This Row],[Date of Call]],"Y")),"Cannot be calculated")</f>
        <v>Cannot be calculated</v>
      </c>
      <c r="AL102"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02" s="19">
        <f>IFERROR(DATEDIF(Table24[[#This Row],[Date of Call]],Table24[[#This Row],[Follow-up Date]],"D"),"Cannot be calculated")</f>
        <v>0</v>
      </c>
      <c r="AN102" s="19" t="str">
        <f>IF(OR(Table24[[#This Row],[Client Age]]&lt;18,Table24[[#This Row],[If client DOB unknown, is client under 18?]]="Yes"),"Yes","No")</f>
        <v>No</v>
      </c>
      <c r="AO102" s="13" t="str">
        <f>IF(Table24[[#This Row],[Time of Inital Call]]="","",IFERROR(MROUND(Table24[[#This Row],[Time of Inital Call]],"1:00"),""))</f>
        <v/>
      </c>
      <c r="AP102" s="19" t="str">
        <f>IF(Table24[[#This Row],[Date of Call]]="","",TEXT(Table24[[#This Row],[Date of Call]],"dddd"))</f>
        <v/>
      </c>
      <c r="AQ102" s="19" t="str">
        <f>IFERROR(VLOOKUP(Table24[[#This Row],[Residence Zip Code]],Table27[],3,FALSE),"")</f>
        <v/>
      </c>
    </row>
    <row r="103" spans="1:43" x14ac:dyDescent="0.25">
      <c r="A103" s="10"/>
      <c r="C103" s="10"/>
      <c r="D103" s="11"/>
      <c r="E103" s="12"/>
      <c r="F103" s="12"/>
      <c r="G103" s="12"/>
      <c r="H103" s="10"/>
      <c r="I103" s="12"/>
      <c r="J103" s="12"/>
      <c r="K103" s="12"/>
      <c r="L103" s="12"/>
      <c r="M103" s="16"/>
      <c r="N103" s="18"/>
      <c r="O103" s="13"/>
      <c r="P103" s="13"/>
      <c r="Q103" s="13"/>
      <c r="R103" s="18"/>
      <c r="S103" s="13"/>
      <c r="T103" s="13"/>
      <c r="U103" s="10"/>
      <c r="V103" s="2"/>
      <c r="X103" s="13"/>
      <c r="Y103" s="3"/>
      <c r="Z103" s="3"/>
      <c r="AA103" s="12"/>
      <c r="AB103" s="10"/>
      <c r="AC103" s="10"/>
      <c r="AD103" s="10"/>
      <c r="AE103" s="10"/>
      <c r="AI103" s="35"/>
      <c r="AJ103"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03" s="19" t="str">
        <f>IFERROR(IF(OR(TRIM(Table24[[#This Row],[DOB]])="",TRIM(Table24[[#This Row],[Date of Call]])=""),"Cannot be calculated",DATEDIF(Table24[[#This Row],[DOB]],Table24[[#This Row],[Date of Call]],"Y")),"Cannot be calculated")</f>
        <v>Cannot be calculated</v>
      </c>
      <c r="AL103"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03" s="19">
        <f>IFERROR(DATEDIF(Table24[[#This Row],[Date of Call]],Table24[[#This Row],[Follow-up Date]],"D"),"Cannot be calculated")</f>
        <v>0</v>
      </c>
      <c r="AN103" s="19" t="str">
        <f>IF(OR(Table24[[#This Row],[Client Age]]&lt;18,Table24[[#This Row],[If client DOB unknown, is client under 18?]]="Yes"),"Yes","No")</f>
        <v>No</v>
      </c>
      <c r="AO103" s="13" t="str">
        <f>IF(Table24[[#This Row],[Time of Inital Call]]="","",IFERROR(MROUND(Table24[[#This Row],[Time of Inital Call]],"1:00"),""))</f>
        <v/>
      </c>
      <c r="AP103" s="19" t="str">
        <f>IF(Table24[[#This Row],[Date of Call]]="","",TEXT(Table24[[#This Row],[Date of Call]],"dddd"))</f>
        <v/>
      </c>
      <c r="AQ103" s="19" t="str">
        <f>IFERROR(VLOOKUP(Table24[[#This Row],[Residence Zip Code]],Table27[],3,FALSE),"")</f>
        <v/>
      </c>
    </row>
    <row r="104" spans="1:43" x14ac:dyDescent="0.25">
      <c r="A104" s="10"/>
      <c r="C104" s="10"/>
      <c r="D104" s="11"/>
      <c r="E104" s="12"/>
      <c r="F104" s="12"/>
      <c r="G104" s="12"/>
      <c r="H104" s="10"/>
      <c r="I104" s="12"/>
      <c r="J104" s="12"/>
      <c r="K104" s="12"/>
      <c r="L104" s="12"/>
      <c r="M104" s="16"/>
      <c r="N104" s="18"/>
      <c r="O104" s="13"/>
      <c r="P104" s="13"/>
      <c r="Q104" s="13"/>
      <c r="R104" s="18"/>
      <c r="S104" s="13"/>
      <c r="T104" s="13"/>
      <c r="U104" s="10"/>
      <c r="V104" s="2"/>
      <c r="X104" s="13"/>
      <c r="Y104" s="3"/>
      <c r="Z104" s="3"/>
      <c r="AA104" s="12"/>
      <c r="AB104" s="10"/>
      <c r="AC104" s="10"/>
      <c r="AD104" s="10"/>
      <c r="AE104" s="10"/>
      <c r="AI104" s="35"/>
      <c r="AJ104"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04" s="19" t="str">
        <f>IFERROR(IF(OR(TRIM(Table24[[#This Row],[DOB]])="",TRIM(Table24[[#This Row],[Date of Call]])=""),"Cannot be calculated",DATEDIF(Table24[[#This Row],[DOB]],Table24[[#This Row],[Date of Call]],"Y")),"Cannot be calculated")</f>
        <v>Cannot be calculated</v>
      </c>
      <c r="AL104"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04" s="19">
        <f>IFERROR(DATEDIF(Table24[[#This Row],[Date of Call]],Table24[[#This Row],[Follow-up Date]],"D"),"Cannot be calculated")</f>
        <v>0</v>
      </c>
      <c r="AN104" s="19" t="str">
        <f>IF(OR(Table24[[#This Row],[Client Age]]&lt;18,Table24[[#This Row],[If client DOB unknown, is client under 18?]]="Yes"),"Yes","No")</f>
        <v>No</v>
      </c>
      <c r="AO104" s="13" t="str">
        <f>IF(Table24[[#This Row],[Time of Inital Call]]="","",IFERROR(MROUND(Table24[[#This Row],[Time of Inital Call]],"1:00"),""))</f>
        <v/>
      </c>
      <c r="AP104" s="19" t="str">
        <f>IF(Table24[[#This Row],[Date of Call]]="","",TEXT(Table24[[#This Row],[Date of Call]],"dddd"))</f>
        <v/>
      </c>
      <c r="AQ104" s="19" t="str">
        <f>IFERROR(VLOOKUP(Table24[[#This Row],[Residence Zip Code]],Table27[],3,FALSE),"")</f>
        <v/>
      </c>
    </row>
    <row r="105" spans="1:43" x14ac:dyDescent="0.25">
      <c r="A105" s="10"/>
      <c r="C105" s="10"/>
      <c r="D105" s="11"/>
      <c r="E105" s="12"/>
      <c r="F105" s="12"/>
      <c r="G105" s="12"/>
      <c r="H105" s="10"/>
      <c r="I105" s="12"/>
      <c r="J105" s="12"/>
      <c r="K105" s="12"/>
      <c r="L105" s="12"/>
      <c r="M105" s="16"/>
      <c r="N105" s="18"/>
      <c r="O105" s="13"/>
      <c r="P105" s="13"/>
      <c r="Q105" s="13"/>
      <c r="R105" s="18"/>
      <c r="S105" s="13"/>
      <c r="T105" s="13"/>
      <c r="U105" s="10"/>
      <c r="V105" s="2"/>
      <c r="X105" s="13"/>
      <c r="Y105" s="3"/>
      <c r="Z105" s="3"/>
      <c r="AA105" s="12"/>
      <c r="AB105" s="10"/>
      <c r="AC105" s="10"/>
      <c r="AD105" s="10"/>
      <c r="AE105" s="10"/>
      <c r="AI105" s="35"/>
      <c r="AJ105"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05" s="19" t="str">
        <f>IFERROR(IF(OR(TRIM(Table24[[#This Row],[DOB]])="",TRIM(Table24[[#This Row],[Date of Call]])=""),"Cannot be calculated",DATEDIF(Table24[[#This Row],[DOB]],Table24[[#This Row],[Date of Call]],"Y")),"Cannot be calculated")</f>
        <v>Cannot be calculated</v>
      </c>
      <c r="AL105"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05" s="19">
        <f>IFERROR(DATEDIF(Table24[[#This Row],[Date of Call]],Table24[[#This Row],[Follow-up Date]],"D"),"Cannot be calculated")</f>
        <v>0</v>
      </c>
      <c r="AN105" s="19" t="str">
        <f>IF(OR(Table24[[#This Row],[Client Age]]&lt;18,Table24[[#This Row],[If client DOB unknown, is client under 18?]]="Yes"),"Yes","No")</f>
        <v>No</v>
      </c>
      <c r="AO105" s="13" t="str">
        <f>IF(Table24[[#This Row],[Time of Inital Call]]="","",IFERROR(MROUND(Table24[[#This Row],[Time of Inital Call]],"1:00"),""))</f>
        <v/>
      </c>
      <c r="AP105" s="19" t="str">
        <f>IF(Table24[[#This Row],[Date of Call]]="","",TEXT(Table24[[#This Row],[Date of Call]],"dddd"))</f>
        <v/>
      </c>
      <c r="AQ105" s="19" t="str">
        <f>IFERROR(VLOOKUP(Table24[[#This Row],[Residence Zip Code]],Table27[],3,FALSE),"")</f>
        <v/>
      </c>
    </row>
    <row r="106" spans="1:43" x14ac:dyDescent="0.25">
      <c r="A106" s="10"/>
      <c r="C106" s="10"/>
      <c r="D106" s="11"/>
      <c r="E106" s="12"/>
      <c r="F106" s="12"/>
      <c r="G106" s="12"/>
      <c r="H106" s="10"/>
      <c r="I106" s="12"/>
      <c r="J106" s="12"/>
      <c r="K106" s="12"/>
      <c r="L106" s="12"/>
      <c r="M106" s="16"/>
      <c r="N106" s="18"/>
      <c r="O106" s="13"/>
      <c r="P106" s="13"/>
      <c r="Q106" s="13"/>
      <c r="R106" s="18"/>
      <c r="S106" s="13"/>
      <c r="T106" s="13"/>
      <c r="U106" s="10"/>
      <c r="V106" s="2"/>
      <c r="X106" s="13"/>
      <c r="Y106" s="3"/>
      <c r="Z106" s="3"/>
      <c r="AA106" s="12"/>
      <c r="AB106" s="10"/>
      <c r="AC106" s="10"/>
      <c r="AD106" s="10"/>
      <c r="AE106" s="10"/>
      <c r="AI106" s="35"/>
      <c r="AJ106"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06" s="19" t="str">
        <f>IFERROR(IF(OR(TRIM(Table24[[#This Row],[DOB]])="",TRIM(Table24[[#This Row],[Date of Call]])=""),"Cannot be calculated",DATEDIF(Table24[[#This Row],[DOB]],Table24[[#This Row],[Date of Call]],"Y")),"Cannot be calculated")</f>
        <v>Cannot be calculated</v>
      </c>
      <c r="AL106"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06" s="19">
        <f>IFERROR(DATEDIF(Table24[[#This Row],[Date of Call]],Table24[[#This Row],[Follow-up Date]],"D"),"Cannot be calculated")</f>
        <v>0</v>
      </c>
      <c r="AN106" s="19" t="str">
        <f>IF(OR(Table24[[#This Row],[Client Age]]&lt;18,Table24[[#This Row],[If client DOB unknown, is client under 18?]]="Yes"),"Yes","No")</f>
        <v>No</v>
      </c>
      <c r="AO106" s="13" t="str">
        <f>IF(Table24[[#This Row],[Time of Inital Call]]="","",IFERROR(MROUND(Table24[[#This Row],[Time of Inital Call]],"1:00"),""))</f>
        <v/>
      </c>
      <c r="AP106" s="19" t="str">
        <f>IF(Table24[[#This Row],[Date of Call]]="","",TEXT(Table24[[#This Row],[Date of Call]],"dddd"))</f>
        <v/>
      </c>
      <c r="AQ106" s="19" t="str">
        <f>IFERROR(VLOOKUP(Table24[[#This Row],[Residence Zip Code]],Table27[],3,FALSE),"")</f>
        <v/>
      </c>
    </row>
    <row r="107" spans="1:43" x14ac:dyDescent="0.25">
      <c r="A107" s="10"/>
      <c r="C107" s="10"/>
      <c r="D107" s="11"/>
      <c r="E107" s="12"/>
      <c r="F107" s="12"/>
      <c r="G107" s="12"/>
      <c r="H107" s="10"/>
      <c r="I107" s="12"/>
      <c r="J107" s="12"/>
      <c r="K107" s="12"/>
      <c r="L107" s="12"/>
      <c r="M107" s="16"/>
      <c r="N107" s="18"/>
      <c r="O107" s="13"/>
      <c r="P107" s="13"/>
      <c r="Q107" s="13"/>
      <c r="R107" s="18"/>
      <c r="S107" s="13"/>
      <c r="T107" s="13"/>
      <c r="U107" s="10"/>
      <c r="V107" s="2"/>
      <c r="X107" s="13"/>
      <c r="Y107" s="3"/>
      <c r="Z107" s="3"/>
      <c r="AA107" s="12"/>
      <c r="AB107" s="10"/>
      <c r="AC107" s="10"/>
      <c r="AD107" s="10"/>
      <c r="AE107" s="10"/>
      <c r="AI107" s="35"/>
      <c r="AJ107"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07" s="19" t="str">
        <f>IFERROR(IF(OR(TRIM(Table24[[#This Row],[DOB]])="",TRIM(Table24[[#This Row],[Date of Call]])=""),"Cannot be calculated",DATEDIF(Table24[[#This Row],[DOB]],Table24[[#This Row],[Date of Call]],"Y")),"Cannot be calculated")</f>
        <v>Cannot be calculated</v>
      </c>
      <c r="AL107"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07" s="19">
        <f>IFERROR(DATEDIF(Table24[[#This Row],[Date of Call]],Table24[[#This Row],[Follow-up Date]],"D"),"Cannot be calculated")</f>
        <v>0</v>
      </c>
      <c r="AN107" s="19" t="str">
        <f>IF(OR(Table24[[#This Row],[Client Age]]&lt;18,Table24[[#This Row],[If client DOB unknown, is client under 18?]]="Yes"),"Yes","No")</f>
        <v>No</v>
      </c>
      <c r="AO107" s="13" t="str">
        <f>IF(Table24[[#This Row],[Time of Inital Call]]="","",IFERROR(MROUND(Table24[[#This Row],[Time of Inital Call]],"1:00"),""))</f>
        <v/>
      </c>
      <c r="AP107" s="19" t="str">
        <f>IF(Table24[[#This Row],[Date of Call]]="","",TEXT(Table24[[#This Row],[Date of Call]],"dddd"))</f>
        <v/>
      </c>
      <c r="AQ107" s="19" t="str">
        <f>IFERROR(VLOOKUP(Table24[[#This Row],[Residence Zip Code]],Table27[],3,FALSE),"")</f>
        <v/>
      </c>
    </row>
    <row r="108" spans="1:43" x14ac:dyDescent="0.25">
      <c r="A108" s="10"/>
      <c r="C108" s="10"/>
      <c r="D108" s="11"/>
      <c r="E108" s="12"/>
      <c r="F108" s="12"/>
      <c r="G108" s="12"/>
      <c r="H108" s="10"/>
      <c r="I108" s="12"/>
      <c r="J108" s="12"/>
      <c r="K108" s="12"/>
      <c r="L108" s="12"/>
      <c r="M108" s="16"/>
      <c r="N108" s="18"/>
      <c r="O108" s="13"/>
      <c r="P108" s="13"/>
      <c r="Q108" s="13"/>
      <c r="R108" s="18"/>
      <c r="S108" s="13"/>
      <c r="T108" s="13"/>
      <c r="U108" s="10"/>
      <c r="V108" s="2"/>
      <c r="X108" s="13"/>
      <c r="Y108" s="3"/>
      <c r="Z108" s="3"/>
      <c r="AA108" s="12"/>
      <c r="AB108" s="10"/>
      <c r="AC108" s="10"/>
      <c r="AD108" s="10"/>
      <c r="AE108" s="10"/>
      <c r="AI108" s="35"/>
      <c r="AJ108"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08" s="19" t="str">
        <f>IFERROR(IF(OR(TRIM(Table24[[#This Row],[DOB]])="",TRIM(Table24[[#This Row],[Date of Call]])=""),"Cannot be calculated",DATEDIF(Table24[[#This Row],[DOB]],Table24[[#This Row],[Date of Call]],"Y")),"Cannot be calculated")</f>
        <v>Cannot be calculated</v>
      </c>
      <c r="AL108"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08" s="19">
        <f>IFERROR(DATEDIF(Table24[[#This Row],[Date of Call]],Table24[[#This Row],[Follow-up Date]],"D"),"Cannot be calculated")</f>
        <v>0</v>
      </c>
      <c r="AN108" s="19" t="str">
        <f>IF(OR(Table24[[#This Row],[Client Age]]&lt;18,Table24[[#This Row],[If client DOB unknown, is client under 18?]]="Yes"),"Yes","No")</f>
        <v>No</v>
      </c>
      <c r="AO108" s="13" t="str">
        <f>IF(Table24[[#This Row],[Time of Inital Call]]="","",IFERROR(MROUND(Table24[[#This Row],[Time of Inital Call]],"1:00"),""))</f>
        <v/>
      </c>
      <c r="AP108" s="19" t="str">
        <f>IF(Table24[[#This Row],[Date of Call]]="","",TEXT(Table24[[#This Row],[Date of Call]],"dddd"))</f>
        <v/>
      </c>
      <c r="AQ108" s="19" t="str">
        <f>IFERROR(VLOOKUP(Table24[[#This Row],[Residence Zip Code]],Table27[],3,FALSE),"")</f>
        <v/>
      </c>
    </row>
    <row r="109" spans="1:43" x14ac:dyDescent="0.25">
      <c r="A109" s="10"/>
      <c r="C109" s="10"/>
      <c r="D109" s="11"/>
      <c r="E109" s="12"/>
      <c r="F109" s="12"/>
      <c r="G109" s="12"/>
      <c r="H109" s="10"/>
      <c r="I109" s="12"/>
      <c r="J109" s="12"/>
      <c r="K109" s="12"/>
      <c r="L109" s="12"/>
      <c r="M109" s="16"/>
      <c r="N109" s="18"/>
      <c r="O109" s="13"/>
      <c r="P109" s="13"/>
      <c r="Q109" s="13"/>
      <c r="R109" s="18"/>
      <c r="S109" s="13"/>
      <c r="T109" s="13"/>
      <c r="U109" s="10"/>
      <c r="V109" s="2"/>
      <c r="X109" s="13"/>
      <c r="Y109" s="3"/>
      <c r="Z109" s="3"/>
      <c r="AA109" s="12"/>
      <c r="AB109" s="10"/>
      <c r="AC109" s="10"/>
      <c r="AD109" s="10"/>
      <c r="AE109" s="10"/>
      <c r="AI109" s="35"/>
      <c r="AJ109"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09" s="19" t="str">
        <f>IFERROR(IF(OR(TRIM(Table24[[#This Row],[DOB]])="",TRIM(Table24[[#This Row],[Date of Call]])=""),"Cannot be calculated",DATEDIF(Table24[[#This Row],[DOB]],Table24[[#This Row],[Date of Call]],"Y")),"Cannot be calculated")</f>
        <v>Cannot be calculated</v>
      </c>
      <c r="AL109"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09" s="19">
        <f>IFERROR(DATEDIF(Table24[[#This Row],[Date of Call]],Table24[[#This Row],[Follow-up Date]],"D"),"Cannot be calculated")</f>
        <v>0</v>
      </c>
      <c r="AN109" s="19" t="str">
        <f>IF(OR(Table24[[#This Row],[Client Age]]&lt;18,Table24[[#This Row],[If client DOB unknown, is client under 18?]]="Yes"),"Yes","No")</f>
        <v>No</v>
      </c>
      <c r="AO109" s="13" t="str">
        <f>IF(Table24[[#This Row],[Time of Inital Call]]="","",IFERROR(MROUND(Table24[[#This Row],[Time of Inital Call]],"1:00"),""))</f>
        <v/>
      </c>
      <c r="AP109" s="19" t="str">
        <f>IF(Table24[[#This Row],[Date of Call]]="","",TEXT(Table24[[#This Row],[Date of Call]],"dddd"))</f>
        <v/>
      </c>
      <c r="AQ109" s="19" t="str">
        <f>IFERROR(VLOOKUP(Table24[[#This Row],[Residence Zip Code]],Table27[],3,FALSE),"")</f>
        <v/>
      </c>
    </row>
    <row r="110" spans="1:43" x14ac:dyDescent="0.25">
      <c r="A110" s="10"/>
      <c r="C110" s="10"/>
      <c r="D110" s="11"/>
      <c r="E110" s="12"/>
      <c r="F110" s="12"/>
      <c r="G110" s="12"/>
      <c r="H110" s="10"/>
      <c r="I110" s="12"/>
      <c r="J110" s="12"/>
      <c r="K110" s="12"/>
      <c r="L110" s="12"/>
      <c r="M110" s="16"/>
      <c r="N110" s="18"/>
      <c r="O110" s="13"/>
      <c r="P110" s="13"/>
      <c r="Q110" s="13"/>
      <c r="R110" s="18"/>
      <c r="S110" s="13"/>
      <c r="T110" s="13"/>
      <c r="U110" s="10"/>
      <c r="V110" s="2"/>
      <c r="X110" s="13"/>
      <c r="Y110" s="3"/>
      <c r="Z110" s="3"/>
      <c r="AA110" s="12"/>
      <c r="AB110" s="10"/>
      <c r="AC110" s="10"/>
      <c r="AD110" s="10"/>
      <c r="AE110" s="10"/>
      <c r="AI110" s="35"/>
      <c r="AJ110"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10" s="19" t="str">
        <f>IFERROR(IF(OR(TRIM(Table24[[#This Row],[DOB]])="",TRIM(Table24[[#This Row],[Date of Call]])=""),"Cannot be calculated",DATEDIF(Table24[[#This Row],[DOB]],Table24[[#This Row],[Date of Call]],"Y")),"Cannot be calculated")</f>
        <v>Cannot be calculated</v>
      </c>
      <c r="AL110"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10" s="19">
        <f>IFERROR(DATEDIF(Table24[[#This Row],[Date of Call]],Table24[[#This Row],[Follow-up Date]],"D"),"Cannot be calculated")</f>
        <v>0</v>
      </c>
      <c r="AN110" s="19" t="str">
        <f>IF(OR(Table24[[#This Row],[Client Age]]&lt;18,Table24[[#This Row],[If client DOB unknown, is client under 18?]]="Yes"),"Yes","No")</f>
        <v>No</v>
      </c>
      <c r="AO110" s="13" t="str">
        <f>IF(Table24[[#This Row],[Time of Inital Call]]="","",IFERROR(MROUND(Table24[[#This Row],[Time of Inital Call]],"1:00"),""))</f>
        <v/>
      </c>
      <c r="AP110" s="19" t="str">
        <f>IF(Table24[[#This Row],[Date of Call]]="","",TEXT(Table24[[#This Row],[Date of Call]],"dddd"))</f>
        <v/>
      </c>
      <c r="AQ110" s="19" t="str">
        <f>IFERROR(VLOOKUP(Table24[[#This Row],[Residence Zip Code]],Table27[],3,FALSE),"")</f>
        <v/>
      </c>
    </row>
    <row r="111" spans="1:43" x14ac:dyDescent="0.25">
      <c r="A111" s="10"/>
      <c r="C111" s="10"/>
      <c r="D111" s="11"/>
      <c r="E111" s="12"/>
      <c r="F111" s="12"/>
      <c r="G111" s="12"/>
      <c r="H111" s="10"/>
      <c r="I111" s="12"/>
      <c r="J111" s="12"/>
      <c r="K111" s="12"/>
      <c r="L111" s="12"/>
      <c r="M111" s="16"/>
      <c r="N111" s="18"/>
      <c r="O111" s="13"/>
      <c r="P111" s="13"/>
      <c r="Q111" s="13"/>
      <c r="R111" s="18"/>
      <c r="S111" s="13"/>
      <c r="T111" s="13"/>
      <c r="U111" s="10"/>
      <c r="V111" s="2"/>
      <c r="X111" s="13"/>
      <c r="Y111" s="3"/>
      <c r="Z111" s="3"/>
      <c r="AA111" s="12"/>
      <c r="AB111" s="10"/>
      <c r="AC111" s="10"/>
      <c r="AD111" s="10"/>
      <c r="AE111" s="10"/>
      <c r="AI111" s="35"/>
      <c r="AJ111"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11" s="19" t="str">
        <f>IFERROR(IF(OR(TRIM(Table24[[#This Row],[DOB]])="",TRIM(Table24[[#This Row],[Date of Call]])=""),"Cannot be calculated",DATEDIF(Table24[[#This Row],[DOB]],Table24[[#This Row],[Date of Call]],"Y")),"Cannot be calculated")</f>
        <v>Cannot be calculated</v>
      </c>
      <c r="AL111"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11" s="19">
        <f>IFERROR(DATEDIF(Table24[[#This Row],[Date of Call]],Table24[[#This Row],[Follow-up Date]],"D"),"Cannot be calculated")</f>
        <v>0</v>
      </c>
      <c r="AN111" s="19" t="str">
        <f>IF(OR(Table24[[#This Row],[Client Age]]&lt;18,Table24[[#This Row],[If client DOB unknown, is client under 18?]]="Yes"),"Yes","No")</f>
        <v>No</v>
      </c>
      <c r="AO111" s="13" t="str">
        <f>IF(Table24[[#This Row],[Time of Inital Call]]="","",IFERROR(MROUND(Table24[[#This Row],[Time of Inital Call]],"1:00"),""))</f>
        <v/>
      </c>
      <c r="AP111" s="19" t="str">
        <f>IF(Table24[[#This Row],[Date of Call]]="","",TEXT(Table24[[#This Row],[Date of Call]],"dddd"))</f>
        <v/>
      </c>
      <c r="AQ111" s="19" t="str">
        <f>IFERROR(VLOOKUP(Table24[[#This Row],[Residence Zip Code]],Table27[],3,FALSE),"")</f>
        <v/>
      </c>
    </row>
    <row r="112" spans="1:43" x14ac:dyDescent="0.25">
      <c r="A112" s="10"/>
      <c r="C112" s="10"/>
      <c r="D112" s="11"/>
      <c r="E112" s="12"/>
      <c r="F112" s="12"/>
      <c r="G112" s="12"/>
      <c r="H112" s="10"/>
      <c r="I112" s="12"/>
      <c r="J112" s="12"/>
      <c r="K112" s="12"/>
      <c r="L112" s="12"/>
      <c r="M112" s="16"/>
      <c r="N112" s="18"/>
      <c r="O112" s="13"/>
      <c r="P112" s="13"/>
      <c r="Q112" s="13"/>
      <c r="R112" s="18"/>
      <c r="S112" s="13"/>
      <c r="T112" s="13"/>
      <c r="U112" s="10"/>
      <c r="V112" s="2"/>
      <c r="X112" s="13"/>
      <c r="Y112" s="3"/>
      <c r="Z112" s="3"/>
      <c r="AA112" s="12"/>
      <c r="AB112" s="10"/>
      <c r="AC112" s="10"/>
      <c r="AD112" s="10"/>
      <c r="AE112" s="10"/>
      <c r="AI112" s="35"/>
      <c r="AJ112"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12" s="19" t="str">
        <f>IFERROR(IF(OR(TRIM(Table24[[#This Row],[DOB]])="",TRIM(Table24[[#This Row],[Date of Call]])=""),"Cannot be calculated",DATEDIF(Table24[[#This Row],[DOB]],Table24[[#This Row],[Date of Call]],"Y")),"Cannot be calculated")</f>
        <v>Cannot be calculated</v>
      </c>
      <c r="AL112"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12" s="19">
        <f>IFERROR(DATEDIF(Table24[[#This Row],[Date of Call]],Table24[[#This Row],[Follow-up Date]],"D"),"Cannot be calculated")</f>
        <v>0</v>
      </c>
      <c r="AN112" s="19" t="str">
        <f>IF(OR(Table24[[#This Row],[Client Age]]&lt;18,Table24[[#This Row],[If client DOB unknown, is client under 18?]]="Yes"),"Yes","No")</f>
        <v>No</v>
      </c>
      <c r="AO112" s="13" t="str">
        <f>IF(Table24[[#This Row],[Time of Inital Call]]="","",IFERROR(MROUND(Table24[[#This Row],[Time of Inital Call]],"1:00"),""))</f>
        <v/>
      </c>
      <c r="AP112" s="19" t="str">
        <f>IF(Table24[[#This Row],[Date of Call]]="","",TEXT(Table24[[#This Row],[Date of Call]],"dddd"))</f>
        <v/>
      </c>
      <c r="AQ112" s="19" t="str">
        <f>IFERROR(VLOOKUP(Table24[[#This Row],[Residence Zip Code]],Table27[],3,FALSE),"")</f>
        <v/>
      </c>
    </row>
    <row r="113" spans="1:43" x14ac:dyDescent="0.25">
      <c r="A113" s="10"/>
      <c r="C113" s="10"/>
      <c r="D113" s="11"/>
      <c r="E113" s="12"/>
      <c r="F113" s="12"/>
      <c r="G113" s="12"/>
      <c r="H113" s="10"/>
      <c r="I113" s="12"/>
      <c r="J113" s="12"/>
      <c r="K113" s="12"/>
      <c r="L113" s="12"/>
      <c r="M113" s="16"/>
      <c r="N113" s="18"/>
      <c r="O113" s="13"/>
      <c r="P113" s="13"/>
      <c r="Q113" s="13"/>
      <c r="R113" s="18"/>
      <c r="S113" s="13"/>
      <c r="T113" s="13"/>
      <c r="U113" s="10"/>
      <c r="V113" s="2"/>
      <c r="X113" s="13"/>
      <c r="Y113" s="3"/>
      <c r="Z113" s="3"/>
      <c r="AA113" s="12"/>
      <c r="AB113" s="10"/>
      <c r="AC113" s="10"/>
      <c r="AD113" s="10"/>
      <c r="AE113" s="10"/>
      <c r="AI113" s="35"/>
      <c r="AJ113"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13" s="19" t="str">
        <f>IFERROR(IF(OR(TRIM(Table24[[#This Row],[DOB]])="",TRIM(Table24[[#This Row],[Date of Call]])=""),"Cannot be calculated",DATEDIF(Table24[[#This Row],[DOB]],Table24[[#This Row],[Date of Call]],"Y")),"Cannot be calculated")</f>
        <v>Cannot be calculated</v>
      </c>
      <c r="AL113"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13" s="19">
        <f>IFERROR(DATEDIF(Table24[[#This Row],[Date of Call]],Table24[[#This Row],[Follow-up Date]],"D"),"Cannot be calculated")</f>
        <v>0</v>
      </c>
      <c r="AN113" s="19" t="str">
        <f>IF(OR(Table24[[#This Row],[Client Age]]&lt;18,Table24[[#This Row],[If client DOB unknown, is client under 18?]]="Yes"),"Yes","No")</f>
        <v>No</v>
      </c>
      <c r="AO113" s="13" t="str">
        <f>IF(Table24[[#This Row],[Time of Inital Call]]="","",IFERROR(MROUND(Table24[[#This Row],[Time of Inital Call]],"1:00"),""))</f>
        <v/>
      </c>
      <c r="AP113" s="19" t="str">
        <f>IF(Table24[[#This Row],[Date of Call]]="","",TEXT(Table24[[#This Row],[Date of Call]],"dddd"))</f>
        <v/>
      </c>
      <c r="AQ113" s="19" t="str">
        <f>IFERROR(VLOOKUP(Table24[[#This Row],[Residence Zip Code]],Table27[],3,FALSE),"")</f>
        <v/>
      </c>
    </row>
    <row r="114" spans="1:43" x14ac:dyDescent="0.25">
      <c r="A114" s="10"/>
      <c r="C114" s="10"/>
      <c r="D114" s="11"/>
      <c r="E114" s="12"/>
      <c r="F114" s="12"/>
      <c r="G114" s="12"/>
      <c r="H114" s="10"/>
      <c r="I114" s="12"/>
      <c r="J114" s="12"/>
      <c r="K114" s="12"/>
      <c r="L114" s="12"/>
      <c r="M114" s="16"/>
      <c r="N114" s="18"/>
      <c r="O114" s="13"/>
      <c r="P114" s="13"/>
      <c r="Q114" s="13"/>
      <c r="R114" s="18"/>
      <c r="S114" s="13"/>
      <c r="T114" s="13"/>
      <c r="U114" s="10"/>
      <c r="V114" s="2"/>
      <c r="X114" s="13"/>
      <c r="Y114" s="3"/>
      <c r="Z114" s="3"/>
      <c r="AA114" s="12"/>
      <c r="AB114" s="10"/>
      <c r="AC114" s="10"/>
      <c r="AD114" s="10"/>
      <c r="AE114" s="10"/>
      <c r="AI114" s="35"/>
      <c r="AJ114"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14" s="19" t="str">
        <f>IFERROR(IF(OR(TRIM(Table24[[#This Row],[DOB]])="",TRIM(Table24[[#This Row],[Date of Call]])=""),"Cannot be calculated",DATEDIF(Table24[[#This Row],[DOB]],Table24[[#This Row],[Date of Call]],"Y")),"Cannot be calculated")</f>
        <v>Cannot be calculated</v>
      </c>
      <c r="AL114"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14" s="19">
        <f>IFERROR(DATEDIF(Table24[[#This Row],[Date of Call]],Table24[[#This Row],[Follow-up Date]],"D"),"Cannot be calculated")</f>
        <v>0</v>
      </c>
      <c r="AN114" s="19" t="str">
        <f>IF(OR(Table24[[#This Row],[Client Age]]&lt;18,Table24[[#This Row],[If client DOB unknown, is client under 18?]]="Yes"),"Yes","No")</f>
        <v>No</v>
      </c>
      <c r="AO114" s="13" t="str">
        <f>IF(Table24[[#This Row],[Time of Inital Call]]="","",IFERROR(MROUND(Table24[[#This Row],[Time of Inital Call]],"1:00"),""))</f>
        <v/>
      </c>
      <c r="AP114" s="19" t="str">
        <f>IF(Table24[[#This Row],[Date of Call]]="","",TEXT(Table24[[#This Row],[Date of Call]],"dddd"))</f>
        <v/>
      </c>
      <c r="AQ114" s="19" t="str">
        <f>IFERROR(VLOOKUP(Table24[[#This Row],[Residence Zip Code]],Table27[],3,FALSE),"")</f>
        <v/>
      </c>
    </row>
    <row r="115" spans="1:43" x14ac:dyDescent="0.25">
      <c r="A115" s="10"/>
      <c r="C115" s="10"/>
      <c r="D115" s="11"/>
      <c r="E115" s="12"/>
      <c r="F115" s="12"/>
      <c r="G115" s="12"/>
      <c r="H115" s="10"/>
      <c r="I115" s="12"/>
      <c r="J115" s="12"/>
      <c r="K115" s="12"/>
      <c r="L115" s="12"/>
      <c r="M115" s="16"/>
      <c r="N115" s="18"/>
      <c r="O115" s="13"/>
      <c r="P115" s="13"/>
      <c r="Q115" s="13"/>
      <c r="R115" s="18"/>
      <c r="S115" s="13"/>
      <c r="T115" s="13"/>
      <c r="U115" s="10"/>
      <c r="V115" s="2"/>
      <c r="X115" s="13"/>
      <c r="Y115" s="3"/>
      <c r="Z115" s="3"/>
      <c r="AA115" s="12"/>
      <c r="AB115" s="10"/>
      <c r="AC115" s="10"/>
      <c r="AD115" s="10"/>
      <c r="AE115" s="10"/>
      <c r="AI115" s="35"/>
      <c r="AJ115"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15" s="19" t="str">
        <f>IFERROR(IF(OR(TRIM(Table24[[#This Row],[DOB]])="",TRIM(Table24[[#This Row],[Date of Call]])=""),"Cannot be calculated",DATEDIF(Table24[[#This Row],[DOB]],Table24[[#This Row],[Date of Call]],"Y")),"Cannot be calculated")</f>
        <v>Cannot be calculated</v>
      </c>
      <c r="AL115"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15" s="19">
        <f>IFERROR(DATEDIF(Table24[[#This Row],[Date of Call]],Table24[[#This Row],[Follow-up Date]],"D"),"Cannot be calculated")</f>
        <v>0</v>
      </c>
      <c r="AN115" s="19" t="str">
        <f>IF(OR(Table24[[#This Row],[Client Age]]&lt;18,Table24[[#This Row],[If client DOB unknown, is client under 18?]]="Yes"),"Yes","No")</f>
        <v>No</v>
      </c>
      <c r="AO115" s="13" t="str">
        <f>IF(Table24[[#This Row],[Time of Inital Call]]="","",IFERROR(MROUND(Table24[[#This Row],[Time of Inital Call]],"1:00"),""))</f>
        <v/>
      </c>
      <c r="AP115" s="19" t="str">
        <f>IF(Table24[[#This Row],[Date of Call]]="","",TEXT(Table24[[#This Row],[Date of Call]],"dddd"))</f>
        <v/>
      </c>
      <c r="AQ115" s="19" t="str">
        <f>IFERROR(VLOOKUP(Table24[[#This Row],[Residence Zip Code]],Table27[],3,FALSE),"")</f>
        <v/>
      </c>
    </row>
    <row r="116" spans="1:43" x14ac:dyDescent="0.25">
      <c r="A116" s="10"/>
      <c r="C116" s="10"/>
      <c r="D116" s="11"/>
      <c r="E116" s="12"/>
      <c r="F116" s="12"/>
      <c r="G116" s="12"/>
      <c r="H116" s="10"/>
      <c r="I116" s="12"/>
      <c r="J116" s="12"/>
      <c r="K116" s="12"/>
      <c r="L116" s="12"/>
      <c r="M116" s="16"/>
      <c r="N116" s="18"/>
      <c r="O116" s="13"/>
      <c r="P116" s="13"/>
      <c r="Q116" s="13"/>
      <c r="R116" s="18"/>
      <c r="S116" s="13"/>
      <c r="T116" s="13"/>
      <c r="U116" s="10"/>
      <c r="V116" s="2"/>
      <c r="X116" s="13"/>
      <c r="Y116" s="3"/>
      <c r="Z116" s="3"/>
      <c r="AA116" s="12"/>
      <c r="AB116" s="10"/>
      <c r="AC116" s="10"/>
      <c r="AD116" s="10"/>
      <c r="AE116" s="10"/>
      <c r="AI116" s="35"/>
      <c r="AJ116"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16" s="19" t="str">
        <f>IFERROR(IF(OR(TRIM(Table24[[#This Row],[DOB]])="",TRIM(Table24[[#This Row],[Date of Call]])=""),"Cannot be calculated",DATEDIF(Table24[[#This Row],[DOB]],Table24[[#This Row],[Date of Call]],"Y")),"Cannot be calculated")</f>
        <v>Cannot be calculated</v>
      </c>
      <c r="AL116"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16" s="19">
        <f>IFERROR(DATEDIF(Table24[[#This Row],[Date of Call]],Table24[[#This Row],[Follow-up Date]],"D"),"Cannot be calculated")</f>
        <v>0</v>
      </c>
      <c r="AN116" s="19" t="str">
        <f>IF(OR(Table24[[#This Row],[Client Age]]&lt;18,Table24[[#This Row],[If client DOB unknown, is client under 18?]]="Yes"),"Yes","No")</f>
        <v>No</v>
      </c>
      <c r="AO116" s="13" t="str">
        <f>IF(Table24[[#This Row],[Time of Inital Call]]="","",IFERROR(MROUND(Table24[[#This Row],[Time of Inital Call]],"1:00"),""))</f>
        <v/>
      </c>
      <c r="AP116" s="19" t="str">
        <f>IF(Table24[[#This Row],[Date of Call]]="","",TEXT(Table24[[#This Row],[Date of Call]],"dddd"))</f>
        <v/>
      </c>
      <c r="AQ116" s="19" t="str">
        <f>IFERROR(VLOOKUP(Table24[[#This Row],[Residence Zip Code]],Table27[],3,FALSE),"")</f>
        <v/>
      </c>
    </row>
    <row r="117" spans="1:43" x14ac:dyDescent="0.25">
      <c r="A117" s="10"/>
      <c r="C117" s="10"/>
      <c r="D117" s="11"/>
      <c r="E117" s="12"/>
      <c r="F117" s="12"/>
      <c r="G117" s="12"/>
      <c r="H117" s="10"/>
      <c r="I117" s="12"/>
      <c r="J117" s="12"/>
      <c r="K117" s="12"/>
      <c r="L117" s="12"/>
      <c r="M117" s="16"/>
      <c r="N117" s="18"/>
      <c r="O117" s="13"/>
      <c r="P117" s="13"/>
      <c r="Q117" s="13"/>
      <c r="R117" s="18"/>
      <c r="S117" s="13"/>
      <c r="T117" s="13"/>
      <c r="U117" s="10"/>
      <c r="V117" s="2"/>
      <c r="X117" s="13"/>
      <c r="Y117" s="3"/>
      <c r="Z117" s="3"/>
      <c r="AA117" s="12"/>
      <c r="AB117" s="10"/>
      <c r="AC117" s="10"/>
      <c r="AD117" s="10"/>
      <c r="AE117" s="10"/>
      <c r="AI117" s="35"/>
      <c r="AJ117"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17" s="19" t="str">
        <f>IFERROR(IF(OR(TRIM(Table24[[#This Row],[DOB]])="",TRIM(Table24[[#This Row],[Date of Call]])=""),"Cannot be calculated",DATEDIF(Table24[[#This Row],[DOB]],Table24[[#This Row],[Date of Call]],"Y")),"Cannot be calculated")</f>
        <v>Cannot be calculated</v>
      </c>
      <c r="AL117"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17" s="19">
        <f>IFERROR(DATEDIF(Table24[[#This Row],[Date of Call]],Table24[[#This Row],[Follow-up Date]],"D"),"Cannot be calculated")</f>
        <v>0</v>
      </c>
      <c r="AN117" s="19" t="str">
        <f>IF(OR(Table24[[#This Row],[Client Age]]&lt;18,Table24[[#This Row],[If client DOB unknown, is client under 18?]]="Yes"),"Yes","No")</f>
        <v>No</v>
      </c>
      <c r="AO117" s="13" t="str">
        <f>IF(Table24[[#This Row],[Time of Inital Call]]="","",IFERROR(MROUND(Table24[[#This Row],[Time of Inital Call]],"1:00"),""))</f>
        <v/>
      </c>
      <c r="AP117" s="19" t="str">
        <f>IF(Table24[[#This Row],[Date of Call]]="","",TEXT(Table24[[#This Row],[Date of Call]],"dddd"))</f>
        <v/>
      </c>
      <c r="AQ117" s="19" t="str">
        <f>IFERROR(VLOOKUP(Table24[[#This Row],[Residence Zip Code]],Table27[],3,FALSE),"")</f>
        <v/>
      </c>
    </row>
    <row r="118" spans="1:43" x14ac:dyDescent="0.25">
      <c r="A118" s="10"/>
      <c r="C118" s="10"/>
      <c r="D118" s="11"/>
      <c r="E118" s="12"/>
      <c r="F118" s="12"/>
      <c r="G118" s="12"/>
      <c r="H118" s="10"/>
      <c r="I118" s="12"/>
      <c r="J118" s="12"/>
      <c r="K118" s="12"/>
      <c r="L118" s="12"/>
      <c r="M118" s="16"/>
      <c r="N118" s="18"/>
      <c r="O118" s="13"/>
      <c r="P118" s="13"/>
      <c r="Q118" s="13"/>
      <c r="R118" s="18"/>
      <c r="S118" s="13"/>
      <c r="T118" s="13"/>
      <c r="U118" s="10"/>
      <c r="V118" s="2"/>
      <c r="X118" s="13"/>
      <c r="Y118" s="3"/>
      <c r="Z118" s="3"/>
      <c r="AA118" s="12"/>
      <c r="AB118" s="10"/>
      <c r="AC118" s="10"/>
      <c r="AD118" s="10"/>
      <c r="AE118" s="10"/>
      <c r="AI118" s="35"/>
      <c r="AJ118"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18" s="19" t="str">
        <f>IFERROR(IF(OR(TRIM(Table24[[#This Row],[DOB]])="",TRIM(Table24[[#This Row],[Date of Call]])=""),"Cannot be calculated",DATEDIF(Table24[[#This Row],[DOB]],Table24[[#This Row],[Date of Call]],"Y")),"Cannot be calculated")</f>
        <v>Cannot be calculated</v>
      </c>
      <c r="AL118"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18" s="19">
        <f>IFERROR(DATEDIF(Table24[[#This Row],[Date of Call]],Table24[[#This Row],[Follow-up Date]],"D"),"Cannot be calculated")</f>
        <v>0</v>
      </c>
      <c r="AN118" s="19" t="str">
        <f>IF(OR(Table24[[#This Row],[Client Age]]&lt;18,Table24[[#This Row],[If client DOB unknown, is client under 18?]]="Yes"),"Yes","No")</f>
        <v>No</v>
      </c>
      <c r="AO118" s="13" t="str">
        <f>IF(Table24[[#This Row],[Time of Inital Call]]="","",IFERROR(MROUND(Table24[[#This Row],[Time of Inital Call]],"1:00"),""))</f>
        <v/>
      </c>
      <c r="AP118" s="19" t="str">
        <f>IF(Table24[[#This Row],[Date of Call]]="","",TEXT(Table24[[#This Row],[Date of Call]],"dddd"))</f>
        <v/>
      </c>
      <c r="AQ118" s="19" t="str">
        <f>IFERROR(VLOOKUP(Table24[[#This Row],[Residence Zip Code]],Table27[],3,FALSE),"")</f>
        <v/>
      </c>
    </row>
    <row r="119" spans="1:43" x14ac:dyDescent="0.25">
      <c r="A119" s="10"/>
      <c r="C119" s="10"/>
      <c r="D119" s="11"/>
      <c r="E119" s="12"/>
      <c r="F119" s="12"/>
      <c r="G119" s="12"/>
      <c r="H119" s="10"/>
      <c r="I119" s="12"/>
      <c r="J119" s="12"/>
      <c r="K119" s="12"/>
      <c r="L119" s="12"/>
      <c r="M119" s="16"/>
      <c r="N119" s="18"/>
      <c r="O119" s="13"/>
      <c r="P119" s="13"/>
      <c r="Q119" s="13"/>
      <c r="R119" s="18"/>
      <c r="S119" s="13"/>
      <c r="T119" s="13"/>
      <c r="U119" s="10"/>
      <c r="V119" s="2"/>
      <c r="X119" s="13"/>
      <c r="Y119" s="3"/>
      <c r="Z119" s="3"/>
      <c r="AA119" s="12"/>
      <c r="AB119" s="10"/>
      <c r="AC119" s="10"/>
      <c r="AD119" s="10"/>
      <c r="AE119" s="10"/>
      <c r="AI119" s="35"/>
      <c r="AJ119"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19" s="19" t="str">
        <f>IFERROR(IF(OR(TRIM(Table24[[#This Row],[DOB]])="",TRIM(Table24[[#This Row],[Date of Call]])=""),"Cannot be calculated",DATEDIF(Table24[[#This Row],[DOB]],Table24[[#This Row],[Date of Call]],"Y")),"Cannot be calculated")</f>
        <v>Cannot be calculated</v>
      </c>
      <c r="AL119"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19" s="19">
        <f>IFERROR(DATEDIF(Table24[[#This Row],[Date of Call]],Table24[[#This Row],[Follow-up Date]],"D"),"Cannot be calculated")</f>
        <v>0</v>
      </c>
      <c r="AN119" s="19" t="str">
        <f>IF(OR(Table24[[#This Row],[Client Age]]&lt;18,Table24[[#This Row],[If client DOB unknown, is client under 18?]]="Yes"),"Yes","No")</f>
        <v>No</v>
      </c>
      <c r="AO119" s="13" t="str">
        <f>IF(Table24[[#This Row],[Time of Inital Call]]="","",IFERROR(MROUND(Table24[[#This Row],[Time of Inital Call]],"1:00"),""))</f>
        <v/>
      </c>
      <c r="AP119" s="19" t="str">
        <f>IF(Table24[[#This Row],[Date of Call]]="","",TEXT(Table24[[#This Row],[Date of Call]],"dddd"))</f>
        <v/>
      </c>
      <c r="AQ119" s="19" t="str">
        <f>IFERROR(VLOOKUP(Table24[[#This Row],[Residence Zip Code]],Table27[],3,FALSE),"")</f>
        <v/>
      </c>
    </row>
    <row r="120" spans="1:43" x14ac:dyDescent="0.25">
      <c r="A120" s="10"/>
      <c r="C120" s="10"/>
      <c r="D120" s="11"/>
      <c r="E120" s="12"/>
      <c r="F120" s="12"/>
      <c r="G120" s="12"/>
      <c r="H120" s="10"/>
      <c r="I120" s="12"/>
      <c r="J120" s="12"/>
      <c r="K120" s="12"/>
      <c r="L120" s="12"/>
      <c r="M120" s="16"/>
      <c r="N120" s="18"/>
      <c r="O120" s="13"/>
      <c r="P120" s="13"/>
      <c r="Q120" s="13"/>
      <c r="R120" s="18"/>
      <c r="S120" s="13"/>
      <c r="T120" s="13"/>
      <c r="U120" s="10"/>
      <c r="V120" s="2"/>
      <c r="X120" s="13"/>
      <c r="Y120" s="3"/>
      <c r="Z120" s="3"/>
      <c r="AA120" s="12"/>
      <c r="AB120" s="10"/>
      <c r="AC120" s="10"/>
      <c r="AD120" s="10"/>
      <c r="AE120" s="10"/>
      <c r="AI120" s="35"/>
      <c r="AJ120"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20" s="19" t="str">
        <f>IFERROR(IF(OR(TRIM(Table24[[#This Row],[DOB]])="",TRIM(Table24[[#This Row],[Date of Call]])=""),"Cannot be calculated",DATEDIF(Table24[[#This Row],[DOB]],Table24[[#This Row],[Date of Call]],"Y")),"Cannot be calculated")</f>
        <v>Cannot be calculated</v>
      </c>
      <c r="AL120"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20" s="19">
        <f>IFERROR(DATEDIF(Table24[[#This Row],[Date of Call]],Table24[[#This Row],[Follow-up Date]],"D"),"Cannot be calculated")</f>
        <v>0</v>
      </c>
      <c r="AN120" s="19" t="str">
        <f>IF(OR(Table24[[#This Row],[Client Age]]&lt;18,Table24[[#This Row],[If client DOB unknown, is client under 18?]]="Yes"),"Yes","No")</f>
        <v>No</v>
      </c>
      <c r="AO120" s="13" t="str">
        <f>IF(Table24[[#This Row],[Time of Inital Call]]="","",IFERROR(MROUND(Table24[[#This Row],[Time of Inital Call]],"1:00"),""))</f>
        <v/>
      </c>
      <c r="AP120" s="19" t="str">
        <f>IF(Table24[[#This Row],[Date of Call]]="","",TEXT(Table24[[#This Row],[Date of Call]],"dddd"))</f>
        <v/>
      </c>
      <c r="AQ120" s="19" t="str">
        <f>IFERROR(VLOOKUP(Table24[[#This Row],[Residence Zip Code]],Table27[],3,FALSE),"")</f>
        <v/>
      </c>
    </row>
    <row r="121" spans="1:43" x14ac:dyDescent="0.25">
      <c r="A121" s="10"/>
      <c r="C121" s="10"/>
      <c r="D121" s="11"/>
      <c r="E121" s="12"/>
      <c r="F121" s="12"/>
      <c r="G121" s="12"/>
      <c r="H121" s="10"/>
      <c r="I121" s="12"/>
      <c r="J121" s="12"/>
      <c r="K121" s="12"/>
      <c r="L121" s="12"/>
      <c r="M121" s="16"/>
      <c r="N121" s="18"/>
      <c r="O121" s="13"/>
      <c r="P121" s="13"/>
      <c r="Q121" s="13"/>
      <c r="R121" s="18"/>
      <c r="S121" s="13"/>
      <c r="T121" s="13"/>
      <c r="U121" s="10"/>
      <c r="V121" s="2"/>
      <c r="X121" s="13"/>
      <c r="Y121" s="3"/>
      <c r="Z121" s="3"/>
      <c r="AA121" s="12"/>
      <c r="AB121" s="10"/>
      <c r="AC121" s="10"/>
      <c r="AD121" s="10"/>
      <c r="AE121" s="10"/>
      <c r="AI121" s="35"/>
      <c r="AJ121"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21" s="19" t="str">
        <f>IFERROR(IF(OR(TRIM(Table24[[#This Row],[DOB]])="",TRIM(Table24[[#This Row],[Date of Call]])=""),"Cannot be calculated",DATEDIF(Table24[[#This Row],[DOB]],Table24[[#This Row],[Date of Call]],"Y")),"Cannot be calculated")</f>
        <v>Cannot be calculated</v>
      </c>
      <c r="AL121"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21" s="19">
        <f>IFERROR(DATEDIF(Table24[[#This Row],[Date of Call]],Table24[[#This Row],[Follow-up Date]],"D"),"Cannot be calculated")</f>
        <v>0</v>
      </c>
      <c r="AN121" s="19" t="str">
        <f>IF(OR(Table24[[#This Row],[Client Age]]&lt;18,Table24[[#This Row],[If client DOB unknown, is client under 18?]]="Yes"),"Yes","No")</f>
        <v>No</v>
      </c>
      <c r="AO121" s="13" t="str">
        <f>IF(Table24[[#This Row],[Time of Inital Call]]="","",IFERROR(MROUND(Table24[[#This Row],[Time of Inital Call]],"1:00"),""))</f>
        <v/>
      </c>
      <c r="AP121" s="19" t="str">
        <f>IF(Table24[[#This Row],[Date of Call]]="","",TEXT(Table24[[#This Row],[Date of Call]],"dddd"))</f>
        <v/>
      </c>
      <c r="AQ121" s="19" t="str">
        <f>IFERROR(VLOOKUP(Table24[[#This Row],[Residence Zip Code]],Table27[],3,FALSE),"")</f>
        <v/>
      </c>
    </row>
    <row r="122" spans="1:43" x14ac:dyDescent="0.25">
      <c r="A122" s="10"/>
      <c r="C122" s="10"/>
      <c r="D122" s="11"/>
      <c r="E122" s="12"/>
      <c r="F122" s="12"/>
      <c r="G122" s="12"/>
      <c r="H122" s="10"/>
      <c r="I122" s="12"/>
      <c r="J122" s="12"/>
      <c r="K122" s="12"/>
      <c r="L122" s="12"/>
      <c r="M122" s="16"/>
      <c r="N122" s="18"/>
      <c r="O122" s="13"/>
      <c r="P122" s="13"/>
      <c r="Q122" s="13"/>
      <c r="R122" s="18"/>
      <c r="S122" s="13"/>
      <c r="T122" s="13"/>
      <c r="U122" s="10"/>
      <c r="V122" s="2"/>
      <c r="X122" s="13"/>
      <c r="Y122" s="3"/>
      <c r="Z122" s="3"/>
      <c r="AA122" s="12"/>
      <c r="AB122" s="10"/>
      <c r="AC122" s="10"/>
      <c r="AD122" s="10"/>
      <c r="AE122" s="10"/>
      <c r="AI122" s="35"/>
      <c r="AJ122"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22" s="19" t="str">
        <f>IFERROR(IF(OR(TRIM(Table24[[#This Row],[DOB]])="",TRIM(Table24[[#This Row],[Date of Call]])=""),"Cannot be calculated",DATEDIF(Table24[[#This Row],[DOB]],Table24[[#This Row],[Date of Call]],"Y")),"Cannot be calculated")</f>
        <v>Cannot be calculated</v>
      </c>
      <c r="AL122"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22" s="19">
        <f>IFERROR(DATEDIF(Table24[[#This Row],[Date of Call]],Table24[[#This Row],[Follow-up Date]],"D"),"Cannot be calculated")</f>
        <v>0</v>
      </c>
      <c r="AN122" s="19" t="str">
        <f>IF(OR(Table24[[#This Row],[Client Age]]&lt;18,Table24[[#This Row],[If client DOB unknown, is client under 18?]]="Yes"),"Yes","No")</f>
        <v>No</v>
      </c>
      <c r="AO122" s="13" t="str">
        <f>IF(Table24[[#This Row],[Time of Inital Call]]="","",IFERROR(MROUND(Table24[[#This Row],[Time of Inital Call]],"1:00"),""))</f>
        <v/>
      </c>
      <c r="AP122" s="19" t="str">
        <f>IF(Table24[[#This Row],[Date of Call]]="","",TEXT(Table24[[#This Row],[Date of Call]],"dddd"))</f>
        <v/>
      </c>
      <c r="AQ122" s="19" t="str">
        <f>IFERROR(VLOOKUP(Table24[[#This Row],[Residence Zip Code]],Table27[],3,FALSE),"")</f>
        <v/>
      </c>
    </row>
    <row r="123" spans="1:43" x14ac:dyDescent="0.25">
      <c r="A123" s="10"/>
      <c r="C123" s="10"/>
      <c r="D123" s="11"/>
      <c r="E123" s="12"/>
      <c r="F123" s="12"/>
      <c r="G123" s="12"/>
      <c r="H123" s="10"/>
      <c r="I123" s="12"/>
      <c r="J123" s="12"/>
      <c r="K123" s="12"/>
      <c r="L123" s="12"/>
      <c r="M123" s="16"/>
      <c r="N123" s="18"/>
      <c r="O123" s="13"/>
      <c r="P123" s="13"/>
      <c r="Q123" s="13"/>
      <c r="R123" s="18"/>
      <c r="S123" s="13"/>
      <c r="T123" s="13"/>
      <c r="U123" s="10"/>
      <c r="V123" s="2"/>
      <c r="X123" s="13"/>
      <c r="Y123" s="3"/>
      <c r="Z123" s="3"/>
      <c r="AA123" s="12"/>
      <c r="AB123" s="10"/>
      <c r="AC123" s="10"/>
      <c r="AD123" s="10"/>
      <c r="AE123" s="10"/>
      <c r="AI123" s="35"/>
      <c r="AJ123"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23" s="19" t="str">
        <f>IFERROR(IF(OR(TRIM(Table24[[#This Row],[DOB]])="",TRIM(Table24[[#This Row],[Date of Call]])=""),"Cannot be calculated",DATEDIF(Table24[[#This Row],[DOB]],Table24[[#This Row],[Date of Call]],"Y")),"Cannot be calculated")</f>
        <v>Cannot be calculated</v>
      </c>
      <c r="AL123"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23" s="19">
        <f>IFERROR(DATEDIF(Table24[[#This Row],[Date of Call]],Table24[[#This Row],[Follow-up Date]],"D"),"Cannot be calculated")</f>
        <v>0</v>
      </c>
      <c r="AN123" s="19" t="str">
        <f>IF(OR(Table24[[#This Row],[Client Age]]&lt;18,Table24[[#This Row],[If client DOB unknown, is client under 18?]]="Yes"),"Yes","No")</f>
        <v>No</v>
      </c>
      <c r="AO123" s="13" t="str">
        <f>IF(Table24[[#This Row],[Time of Inital Call]]="","",IFERROR(MROUND(Table24[[#This Row],[Time of Inital Call]],"1:00"),""))</f>
        <v/>
      </c>
      <c r="AP123" s="19" t="str">
        <f>IF(Table24[[#This Row],[Date of Call]]="","",TEXT(Table24[[#This Row],[Date of Call]],"dddd"))</f>
        <v/>
      </c>
      <c r="AQ123" s="19" t="str">
        <f>IFERROR(VLOOKUP(Table24[[#This Row],[Residence Zip Code]],Table27[],3,FALSE),"")</f>
        <v/>
      </c>
    </row>
    <row r="124" spans="1:43" x14ac:dyDescent="0.25">
      <c r="A124" s="10"/>
      <c r="C124" s="10"/>
      <c r="D124" s="11"/>
      <c r="E124" s="12"/>
      <c r="F124" s="12"/>
      <c r="G124" s="12"/>
      <c r="H124" s="10"/>
      <c r="I124" s="12"/>
      <c r="J124" s="12"/>
      <c r="K124" s="12"/>
      <c r="L124" s="12"/>
      <c r="M124" s="16"/>
      <c r="N124" s="18"/>
      <c r="O124" s="13"/>
      <c r="P124" s="13"/>
      <c r="Q124" s="13"/>
      <c r="R124" s="18"/>
      <c r="S124" s="13"/>
      <c r="T124" s="13"/>
      <c r="U124" s="10"/>
      <c r="V124" s="2"/>
      <c r="X124" s="13"/>
      <c r="Y124" s="3"/>
      <c r="Z124" s="3"/>
      <c r="AA124" s="12"/>
      <c r="AB124" s="10"/>
      <c r="AC124" s="10"/>
      <c r="AD124" s="10"/>
      <c r="AE124" s="10"/>
      <c r="AI124" s="35"/>
      <c r="AJ124"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24" s="19" t="str">
        <f>IFERROR(IF(OR(TRIM(Table24[[#This Row],[DOB]])="",TRIM(Table24[[#This Row],[Date of Call]])=""),"Cannot be calculated",DATEDIF(Table24[[#This Row],[DOB]],Table24[[#This Row],[Date of Call]],"Y")),"Cannot be calculated")</f>
        <v>Cannot be calculated</v>
      </c>
      <c r="AL124"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24" s="19">
        <f>IFERROR(DATEDIF(Table24[[#This Row],[Date of Call]],Table24[[#This Row],[Follow-up Date]],"D"),"Cannot be calculated")</f>
        <v>0</v>
      </c>
      <c r="AN124" s="19" t="str">
        <f>IF(OR(Table24[[#This Row],[Client Age]]&lt;18,Table24[[#This Row],[If client DOB unknown, is client under 18?]]="Yes"),"Yes","No")</f>
        <v>No</v>
      </c>
      <c r="AO124" s="13" t="str">
        <f>IF(Table24[[#This Row],[Time of Inital Call]]="","",IFERROR(MROUND(Table24[[#This Row],[Time of Inital Call]],"1:00"),""))</f>
        <v/>
      </c>
      <c r="AP124" s="19" t="str">
        <f>IF(Table24[[#This Row],[Date of Call]]="","",TEXT(Table24[[#This Row],[Date of Call]],"dddd"))</f>
        <v/>
      </c>
      <c r="AQ124" s="19" t="str">
        <f>IFERROR(VLOOKUP(Table24[[#This Row],[Residence Zip Code]],Table27[],3,FALSE),"")</f>
        <v/>
      </c>
    </row>
    <row r="125" spans="1:43" x14ac:dyDescent="0.25">
      <c r="A125" s="10"/>
      <c r="C125" s="10"/>
      <c r="D125" s="11"/>
      <c r="E125" s="12"/>
      <c r="F125" s="12"/>
      <c r="G125" s="12"/>
      <c r="H125" s="10"/>
      <c r="I125" s="12"/>
      <c r="J125" s="12"/>
      <c r="K125" s="12"/>
      <c r="L125" s="12"/>
      <c r="M125" s="16"/>
      <c r="N125" s="18"/>
      <c r="O125" s="13"/>
      <c r="P125" s="13"/>
      <c r="Q125" s="13"/>
      <c r="R125" s="18"/>
      <c r="S125" s="13"/>
      <c r="T125" s="13"/>
      <c r="U125" s="10"/>
      <c r="V125" s="2"/>
      <c r="X125" s="13"/>
      <c r="Y125" s="3"/>
      <c r="Z125" s="3"/>
      <c r="AA125" s="12"/>
      <c r="AB125" s="10"/>
      <c r="AC125" s="10"/>
      <c r="AD125" s="10"/>
      <c r="AE125" s="10"/>
      <c r="AI125" s="35"/>
      <c r="AJ125"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25" s="19" t="str">
        <f>IFERROR(IF(OR(TRIM(Table24[[#This Row],[DOB]])="",TRIM(Table24[[#This Row],[Date of Call]])=""),"Cannot be calculated",DATEDIF(Table24[[#This Row],[DOB]],Table24[[#This Row],[Date of Call]],"Y")),"Cannot be calculated")</f>
        <v>Cannot be calculated</v>
      </c>
      <c r="AL125"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25" s="19">
        <f>IFERROR(DATEDIF(Table24[[#This Row],[Date of Call]],Table24[[#This Row],[Follow-up Date]],"D"),"Cannot be calculated")</f>
        <v>0</v>
      </c>
      <c r="AN125" s="19" t="str">
        <f>IF(OR(Table24[[#This Row],[Client Age]]&lt;18,Table24[[#This Row],[If client DOB unknown, is client under 18?]]="Yes"),"Yes","No")</f>
        <v>No</v>
      </c>
      <c r="AO125" s="13" t="str">
        <f>IF(Table24[[#This Row],[Time of Inital Call]]="","",IFERROR(MROUND(Table24[[#This Row],[Time of Inital Call]],"1:00"),""))</f>
        <v/>
      </c>
      <c r="AP125" s="19" t="str">
        <f>IF(Table24[[#This Row],[Date of Call]]="","",TEXT(Table24[[#This Row],[Date of Call]],"dddd"))</f>
        <v/>
      </c>
      <c r="AQ125" s="19" t="str">
        <f>IFERROR(VLOOKUP(Table24[[#This Row],[Residence Zip Code]],Table27[],3,FALSE),"")</f>
        <v/>
      </c>
    </row>
    <row r="126" spans="1:43" x14ac:dyDescent="0.25">
      <c r="A126" s="10"/>
      <c r="C126" s="10"/>
      <c r="D126" s="11"/>
      <c r="E126" s="12"/>
      <c r="F126" s="12"/>
      <c r="G126" s="12"/>
      <c r="H126" s="10"/>
      <c r="I126" s="12"/>
      <c r="J126" s="12"/>
      <c r="K126" s="12"/>
      <c r="L126" s="12"/>
      <c r="M126" s="16"/>
      <c r="N126" s="18"/>
      <c r="O126" s="13"/>
      <c r="P126" s="13"/>
      <c r="Q126" s="13"/>
      <c r="R126" s="18"/>
      <c r="S126" s="13"/>
      <c r="T126" s="13"/>
      <c r="U126" s="10"/>
      <c r="V126" s="2"/>
      <c r="X126" s="13"/>
      <c r="Y126" s="3"/>
      <c r="Z126" s="3"/>
      <c r="AA126" s="12"/>
      <c r="AB126" s="10"/>
      <c r="AC126" s="10"/>
      <c r="AD126" s="10"/>
      <c r="AE126" s="10"/>
      <c r="AI126" s="35"/>
      <c r="AJ126"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26" s="19" t="str">
        <f>IFERROR(IF(OR(TRIM(Table24[[#This Row],[DOB]])="",TRIM(Table24[[#This Row],[Date of Call]])=""),"Cannot be calculated",DATEDIF(Table24[[#This Row],[DOB]],Table24[[#This Row],[Date of Call]],"Y")),"Cannot be calculated")</f>
        <v>Cannot be calculated</v>
      </c>
      <c r="AL126"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26" s="19">
        <f>IFERROR(DATEDIF(Table24[[#This Row],[Date of Call]],Table24[[#This Row],[Follow-up Date]],"D"),"Cannot be calculated")</f>
        <v>0</v>
      </c>
      <c r="AN126" s="19" t="str">
        <f>IF(OR(Table24[[#This Row],[Client Age]]&lt;18,Table24[[#This Row],[If client DOB unknown, is client under 18?]]="Yes"),"Yes","No")</f>
        <v>No</v>
      </c>
      <c r="AO126" s="13" t="str">
        <f>IF(Table24[[#This Row],[Time of Inital Call]]="","",IFERROR(MROUND(Table24[[#This Row],[Time of Inital Call]],"1:00"),""))</f>
        <v/>
      </c>
      <c r="AP126" s="19" t="str">
        <f>IF(Table24[[#This Row],[Date of Call]]="","",TEXT(Table24[[#This Row],[Date of Call]],"dddd"))</f>
        <v/>
      </c>
      <c r="AQ126" s="19" t="str">
        <f>IFERROR(VLOOKUP(Table24[[#This Row],[Residence Zip Code]],Table27[],3,FALSE),"")</f>
        <v/>
      </c>
    </row>
    <row r="127" spans="1:43" x14ac:dyDescent="0.25">
      <c r="A127" s="10"/>
      <c r="C127" s="10"/>
      <c r="D127" s="11"/>
      <c r="E127" s="12"/>
      <c r="F127" s="12"/>
      <c r="G127" s="12"/>
      <c r="H127" s="10"/>
      <c r="I127" s="12"/>
      <c r="J127" s="12"/>
      <c r="K127" s="12"/>
      <c r="L127" s="12"/>
      <c r="M127" s="16"/>
      <c r="N127" s="18"/>
      <c r="O127" s="13"/>
      <c r="P127" s="13"/>
      <c r="Q127" s="13"/>
      <c r="R127" s="18"/>
      <c r="S127" s="13"/>
      <c r="T127" s="13"/>
      <c r="U127" s="10"/>
      <c r="V127" s="2"/>
      <c r="X127" s="13"/>
      <c r="Y127" s="3"/>
      <c r="Z127" s="3"/>
      <c r="AA127" s="12"/>
      <c r="AB127" s="10"/>
      <c r="AC127" s="10"/>
      <c r="AD127" s="10"/>
      <c r="AE127" s="10"/>
      <c r="AI127" s="35"/>
      <c r="AJ127"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27" s="19" t="str">
        <f>IFERROR(IF(OR(TRIM(Table24[[#This Row],[DOB]])="",TRIM(Table24[[#This Row],[Date of Call]])=""),"Cannot be calculated",DATEDIF(Table24[[#This Row],[DOB]],Table24[[#This Row],[Date of Call]],"Y")),"Cannot be calculated")</f>
        <v>Cannot be calculated</v>
      </c>
      <c r="AL127"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27" s="19">
        <f>IFERROR(DATEDIF(Table24[[#This Row],[Date of Call]],Table24[[#This Row],[Follow-up Date]],"D"),"Cannot be calculated")</f>
        <v>0</v>
      </c>
      <c r="AN127" s="19" t="str">
        <f>IF(OR(Table24[[#This Row],[Client Age]]&lt;18,Table24[[#This Row],[If client DOB unknown, is client under 18?]]="Yes"),"Yes","No")</f>
        <v>No</v>
      </c>
      <c r="AO127" s="13" t="str">
        <f>IF(Table24[[#This Row],[Time of Inital Call]]="","",IFERROR(MROUND(Table24[[#This Row],[Time of Inital Call]],"1:00"),""))</f>
        <v/>
      </c>
      <c r="AP127" s="19" t="str">
        <f>IF(Table24[[#This Row],[Date of Call]]="","",TEXT(Table24[[#This Row],[Date of Call]],"dddd"))</f>
        <v/>
      </c>
      <c r="AQ127" s="19" t="str">
        <f>IFERROR(VLOOKUP(Table24[[#This Row],[Residence Zip Code]],Table27[],3,FALSE),"")</f>
        <v/>
      </c>
    </row>
    <row r="128" spans="1:43" x14ac:dyDescent="0.25">
      <c r="A128" s="10"/>
      <c r="C128" s="10"/>
      <c r="D128" s="11"/>
      <c r="E128" s="12"/>
      <c r="F128" s="12"/>
      <c r="G128" s="12"/>
      <c r="H128" s="10"/>
      <c r="I128" s="12"/>
      <c r="J128" s="12"/>
      <c r="K128" s="12"/>
      <c r="L128" s="12"/>
      <c r="M128" s="16"/>
      <c r="N128" s="18"/>
      <c r="O128" s="13"/>
      <c r="P128" s="13"/>
      <c r="Q128" s="13"/>
      <c r="R128" s="18"/>
      <c r="S128" s="13"/>
      <c r="T128" s="13"/>
      <c r="U128" s="10"/>
      <c r="V128" s="2"/>
      <c r="X128" s="13"/>
      <c r="Y128" s="3"/>
      <c r="Z128" s="3"/>
      <c r="AA128" s="12"/>
      <c r="AB128" s="10"/>
      <c r="AC128" s="10"/>
      <c r="AD128" s="10"/>
      <c r="AE128" s="10"/>
      <c r="AI128" s="35"/>
      <c r="AJ128"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28" s="19" t="str">
        <f>IFERROR(IF(OR(TRIM(Table24[[#This Row],[DOB]])="",TRIM(Table24[[#This Row],[Date of Call]])=""),"Cannot be calculated",DATEDIF(Table24[[#This Row],[DOB]],Table24[[#This Row],[Date of Call]],"Y")),"Cannot be calculated")</f>
        <v>Cannot be calculated</v>
      </c>
      <c r="AL128"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28" s="19">
        <f>IFERROR(DATEDIF(Table24[[#This Row],[Date of Call]],Table24[[#This Row],[Follow-up Date]],"D"),"Cannot be calculated")</f>
        <v>0</v>
      </c>
      <c r="AN128" s="19" t="str">
        <f>IF(OR(Table24[[#This Row],[Client Age]]&lt;18,Table24[[#This Row],[If client DOB unknown, is client under 18?]]="Yes"),"Yes","No")</f>
        <v>No</v>
      </c>
      <c r="AO128" s="13" t="str">
        <f>IF(Table24[[#This Row],[Time of Inital Call]]="","",IFERROR(MROUND(Table24[[#This Row],[Time of Inital Call]],"1:00"),""))</f>
        <v/>
      </c>
      <c r="AP128" s="19" t="str">
        <f>IF(Table24[[#This Row],[Date of Call]]="","",TEXT(Table24[[#This Row],[Date of Call]],"dddd"))</f>
        <v/>
      </c>
      <c r="AQ128" s="19" t="str">
        <f>IFERROR(VLOOKUP(Table24[[#This Row],[Residence Zip Code]],Table27[],3,FALSE),"")</f>
        <v/>
      </c>
    </row>
    <row r="129" spans="1:43" x14ac:dyDescent="0.25">
      <c r="A129" s="10"/>
      <c r="C129" s="10"/>
      <c r="D129" s="11"/>
      <c r="E129" s="12"/>
      <c r="F129" s="12"/>
      <c r="G129" s="12"/>
      <c r="H129" s="10"/>
      <c r="I129" s="12"/>
      <c r="J129" s="12"/>
      <c r="K129" s="12"/>
      <c r="L129" s="12"/>
      <c r="M129" s="16"/>
      <c r="N129" s="18"/>
      <c r="O129" s="13"/>
      <c r="P129" s="13"/>
      <c r="Q129" s="13"/>
      <c r="R129" s="18"/>
      <c r="S129" s="13"/>
      <c r="T129" s="13"/>
      <c r="U129" s="10"/>
      <c r="V129" s="2"/>
      <c r="X129" s="13"/>
      <c r="Y129" s="3"/>
      <c r="Z129" s="3"/>
      <c r="AA129" s="12"/>
      <c r="AB129" s="10"/>
      <c r="AC129" s="10"/>
      <c r="AD129" s="10"/>
      <c r="AE129" s="10"/>
      <c r="AI129" s="35"/>
      <c r="AJ129"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29" s="19" t="str">
        <f>IFERROR(IF(OR(TRIM(Table24[[#This Row],[DOB]])="",TRIM(Table24[[#This Row],[Date of Call]])=""),"Cannot be calculated",DATEDIF(Table24[[#This Row],[DOB]],Table24[[#This Row],[Date of Call]],"Y")),"Cannot be calculated")</f>
        <v>Cannot be calculated</v>
      </c>
      <c r="AL129"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29" s="19">
        <f>IFERROR(DATEDIF(Table24[[#This Row],[Date of Call]],Table24[[#This Row],[Follow-up Date]],"D"),"Cannot be calculated")</f>
        <v>0</v>
      </c>
      <c r="AN129" s="19" t="str">
        <f>IF(OR(Table24[[#This Row],[Client Age]]&lt;18,Table24[[#This Row],[If client DOB unknown, is client under 18?]]="Yes"),"Yes","No")</f>
        <v>No</v>
      </c>
      <c r="AO129" s="13" t="str">
        <f>IF(Table24[[#This Row],[Time of Inital Call]]="","",IFERROR(MROUND(Table24[[#This Row],[Time of Inital Call]],"1:00"),""))</f>
        <v/>
      </c>
      <c r="AP129" s="19" t="str">
        <f>IF(Table24[[#This Row],[Date of Call]]="","",TEXT(Table24[[#This Row],[Date of Call]],"dddd"))</f>
        <v/>
      </c>
      <c r="AQ129" s="19" t="str">
        <f>IFERROR(VLOOKUP(Table24[[#This Row],[Residence Zip Code]],Table27[],3,FALSE),"")</f>
        <v/>
      </c>
    </row>
    <row r="130" spans="1:43" x14ac:dyDescent="0.25">
      <c r="A130" s="10"/>
      <c r="C130" s="10"/>
      <c r="D130" s="11"/>
      <c r="E130" s="12"/>
      <c r="F130" s="12"/>
      <c r="G130" s="12"/>
      <c r="H130" s="10"/>
      <c r="I130" s="12"/>
      <c r="J130" s="12"/>
      <c r="K130" s="12"/>
      <c r="L130" s="12"/>
      <c r="M130" s="16"/>
      <c r="N130" s="18"/>
      <c r="O130" s="13"/>
      <c r="P130" s="13"/>
      <c r="Q130" s="13"/>
      <c r="R130" s="18"/>
      <c r="S130" s="13"/>
      <c r="T130" s="13"/>
      <c r="U130" s="10"/>
      <c r="V130" s="2"/>
      <c r="X130" s="13"/>
      <c r="Y130" s="3"/>
      <c r="Z130" s="3"/>
      <c r="AA130" s="12"/>
      <c r="AB130" s="10"/>
      <c r="AC130" s="10"/>
      <c r="AD130" s="10"/>
      <c r="AE130" s="10"/>
      <c r="AI130" s="35"/>
      <c r="AJ130"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30" s="19" t="str">
        <f>IFERROR(IF(OR(TRIM(Table24[[#This Row],[DOB]])="",TRIM(Table24[[#This Row],[Date of Call]])=""),"Cannot be calculated",DATEDIF(Table24[[#This Row],[DOB]],Table24[[#This Row],[Date of Call]],"Y")),"Cannot be calculated")</f>
        <v>Cannot be calculated</v>
      </c>
      <c r="AL130"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30" s="19">
        <f>IFERROR(DATEDIF(Table24[[#This Row],[Date of Call]],Table24[[#This Row],[Follow-up Date]],"D"),"Cannot be calculated")</f>
        <v>0</v>
      </c>
      <c r="AN130" s="19" t="str">
        <f>IF(OR(Table24[[#This Row],[Client Age]]&lt;18,Table24[[#This Row],[If client DOB unknown, is client under 18?]]="Yes"),"Yes","No")</f>
        <v>No</v>
      </c>
      <c r="AO130" s="13" t="str">
        <f>IF(Table24[[#This Row],[Time of Inital Call]]="","",IFERROR(MROUND(Table24[[#This Row],[Time of Inital Call]],"1:00"),""))</f>
        <v/>
      </c>
      <c r="AP130" s="19" t="str">
        <f>IF(Table24[[#This Row],[Date of Call]]="","",TEXT(Table24[[#This Row],[Date of Call]],"dddd"))</f>
        <v/>
      </c>
      <c r="AQ130" s="19" t="str">
        <f>IFERROR(VLOOKUP(Table24[[#This Row],[Residence Zip Code]],Table27[],3,FALSE),"")</f>
        <v/>
      </c>
    </row>
    <row r="131" spans="1:43" x14ac:dyDescent="0.25">
      <c r="A131" s="10"/>
      <c r="C131" s="10"/>
      <c r="D131" s="11"/>
      <c r="E131" s="12"/>
      <c r="F131" s="12"/>
      <c r="G131" s="12"/>
      <c r="H131" s="10"/>
      <c r="I131" s="12"/>
      <c r="J131" s="12"/>
      <c r="K131" s="12"/>
      <c r="L131" s="12"/>
      <c r="M131" s="16"/>
      <c r="N131" s="18"/>
      <c r="O131" s="13"/>
      <c r="P131" s="13"/>
      <c r="Q131" s="13"/>
      <c r="R131" s="18"/>
      <c r="S131" s="13"/>
      <c r="T131" s="13"/>
      <c r="U131" s="10"/>
      <c r="V131" s="2"/>
      <c r="X131" s="13"/>
      <c r="Y131" s="3"/>
      <c r="Z131" s="3"/>
      <c r="AA131" s="12"/>
      <c r="AB131" s="10"/>
      <c r="AC131" s="10"/>
      <c r="AD131" s="10"/>
      <c r="AE131" s="10"/>
      <c r="AI131" s="35"/>
      <c r="AJ131"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31" s="19" t="str">
        <f>IFERROR(IF(OR(TRIM(Table24[[#This Row],[DOB]])="",TRIM(Table24[[#This Row],[Date of Call]])=""),"Cannot be calculated",DATEDIF(Table24[[#This Row],[DOB]],Table24[[#This Row],[Date of Call]],"Y")),"Cannot be calculated")</f>
        <v>Cannot be calculated</v>
      </c>
      <c r="AL131"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31" s="19">
        <f>IFERROR(DATEDIF(Table24[[#This Row],[Date of Call]],Table24[[#This Row],[Follow-up Date]],"D"),"Cannot be calculated")</f>
        <v>0</v>
      </c>
      <c r="AN131" s="19" t="str">
        <f>IF(OR(Table24[[#This Row],[Client Age]]&lt;18,Table24[[#This Row],[If client DOB unknown, is client under 18?]]="Yes"),"Yes","No")</f>
        <v>No</v>
      </c>
      <c r="AO131" s="13" t="str">
        <f>IF(Table24[[#This Row],[Time of Inital Call]]="","",IFERROR(MROUND(Table24[[#This Row],[Time of Inital Call]],"1:00"),""))</f>
        <v/>
      </c>
      <c r="AP131" s="19" t="str">
        <f>IF(Table24[[#This Row],[Date of Call]]="","",TEXT(Table24[[#This Row],[Date of Call]],"dddd"))</f>
        <v/>
      </c>
      <c r="AQ131" s="19" t="str">
        <f>IFERROR(VLOOKUP(Table24[[#This Row],[Residence Zip Code]],Table27[],3,FALSE),"")</f>
        <v/>
      </c>
    </row>
    <row r="132" spans="1:43" x14ac:dyDescent="0.25">
      <c r="A132" s="10"/>
      <c r="C132" s="10"/>
      <c r="D132" s="11"/>
      <c r="E132" s="12"/>
      <c r="F132" s="12"/>
      <c r="G132" s="12"/>
      <c r="H132" s="10"/>
      <c r="I132" s="12"/>
      <c r="J132" s="12"/>
      <c r="K132" s="12"/>
      <c r="L132" s="12"/>
      <c r="M132" s="16"/>
      <c r="N132" s="18"/>
      <c r="O132" s="13"/>
      <c r="P132" s="13"/>
      <c r="Q132" s="13"/>
      <c r="R132" s="18"/>
      <c r="S132" s="13"/>
      <c r="T132" s="13"/>
      <c r="U132" s="10"/>
      <c r="V132" s="2"/>
      <c r="X132" s="13"/>
      <c r="Y132" s="3"/>
      <c r="Z132" s="3"/>
      <c r="AA132" s="12"/>
      <c r="AB132" s="10"/>
      <c r="AC132" s="10"/>
      <c r="AD132" s="10"/>
      <c r="AE132" s="10"/>
      <c r="AI132" s="35"/>
      <c r="AJ132"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32" s="19" t="str">
        <f>IFERROR(IF(OR(TRIM(Table24[[#This Row],[DOB]])="",TRIM(Table24[[#This Row],[Date of Call]])=""),"Cannot be calculated",DATEDIF(Table24[[#This Row],[DOB]],Table24[[#This Row],[Date of Call]],"Y")),"Cannot be calculated")</f>
        <v>Cannot be calculated</v>
      </c>
      <c r="AL132"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32" s="19">
        <f>IFERROR(DATEDIF(Table24[[#This Row],[Date of Call]],Table24[[#This Row],[Follow-up Date]],"D"),"Cannot be calculated")</f>
        <v>0</v>
      </c>
      <c r="AN132" s="19" t="str">
        <f>IF(OR(Table24[[#This Row],[Client Age]]&lt;18,Table24[[#This Row],[If client DOB unknown, is client under 18?]]="Yes"),"Yes","No")</f>
        <v>No</v>
      </c>
      <c r="AO132" s="13" t="str">
        <f>IF(Table24[[#This Row],[Time of Inital Call]]="","",IFERROR(MROUND(Table24[[#This Row],[Time of Inital Call]],"1:00"),""))</f>
        <v/>
      </c>
      <c r="AP132" s="19" t="str">
        <f>IF(Table24[[#This Row],[Date of Call]]="","",TEXT(Table24[[#This Row],[Date of Call]],"dddd"))</f>
        <v/>
      </c>
      <c r="AQ132" s="19" t="str">
        <f>IFERROR(VLOOKUP(Table24[[#This Row],[Residence Zip Code]],Table27[],3,FALSE),"")</f>
        <v/>
      </c>
    </row>
    <row r="133" spans="1:43" x14ac:dyDescent="0.25">
      <c r="A133" s="10"/>
      <c r="C133" s="10"/>
      <c r="D133" s="11"/>
      <c r="E133" s="12"/>
      <c r="F133" s="12"/>
      <c r="G133" s="12"/>
      <c r="H133" s="10"/>
      <c r="I133" s="12"/>
      <c r="J133" s="12"/>
      <c r="K133" s="12"/>
      <c r="L133" s="12"/>
      <c r="M133" s="16"/>
      <c r="N133" s="18"/>
      <c r="O133" s="13"/>
      <c r="P133" s="13"/>
      <c r="Q133" s="13"/>
      <c r="R133" s="18"/>
      <c r="S133" s="13"/>
      <c r="T133" s="13"/>
      <c r="U133" s="10"/>
      <c r="V133" s="2"/>
      <c r="X133" s="13"/>
      <c r="Y133" s="3"/>
      <c r="Z133" s="3"/>
      <c r="AA133" s="12"/>
      <c r="AB133" s="10"/>
      <c r="AC133" s="10"/>
      <c r="AD133" s="10"/>
      <c r="AE133" s="10"/>
      <c r="AI133" s="35"/>
      <c r="AJ133"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33" s="19" t="str">
        <f>IFERROR(IF(OR(TRIM(Table24[[#This Row],[DOB]])="",TRIM(Table24[[#This Row],[Date of Call]])=""),"Cannot be calculated",DATEDIF(Table24[[#This Row],[DOB]],Table24[[#This Row],[Date of Call]],"Y")),"Cannot be calculated")</f>
        <v>Cannot be calculated</v>
      </c>
      <c r="AL133"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33" s="19">
        <f>IFERROR(DATEDIF(Table24[[#This Row],[Date of Call]],Table24[[#This Row],[Follow-up Date]],"D"),"Cannot be calculated")</f>
        <v>0</v>
      </c>
      <c r="AN133" s="19" t="str">
        <f>IF(OR(Table24[[#This Row],[Client Age]]&lt;18,Table24[[#This Row],[If client DOB unknown, is client under 18?]]="Yes"),"Yes","No")</f>
        <v>No</v>
      </c>
      <c r="AO133" s="13" t="str">
        <f>IF(Table24[[#This Row],[Time of Inital Call]]="","",IFERROR(MROUND(Table24[[#This Row],[Time of Inital Call]],"1:00"),""))</f>
        <v/>
      </c>
      <c r="AP133" s="19" t="str">
        <f>IF(Table24[[#This Row],[Date of Call]]="","",TEXT(Table24[[#This Row],[Date of Call]],"dddd"))</f>
        <v/>
      </c>
      <c r="AQ133" s="19" t="str">
        <f>IFERROR(VLOOKUP(Table24[[#This Row],[Residence Zip Code]],Table27[],3,FALSE),"")</f>
        <v/>
      </c>
    </row>
    <row r="134" spans="1:43" x14ac:dyDescent="0.25">
      <c r="A134" s="10"/>
      <c r="C134" s="10"/>
      <c r="D134" s="11"/>
      <c r="E134" s="12"/>
      <c r="F134" s="12"/>
      <c r="G134" s="12"/>
      <c r="H134" s="10"/>
      <c r="I134" s="12"/>
      <c r="J134" s="12"/>
      <c r="K134" s="12"/>
      <c r="L134" s="12"/>
      <c r="M134" s="16"/>
      <c r="N134" s="18"/>
      <c r="O134" s="13"/>
      <c r="P134" s="13"/>
      <c r="Q134" s="13"/>
      <c r="R134" s="18"/>
      <c r="S134" s="13"/>
      <c r="T134" s="13"/>
      <c r="U134" s="10"/>
      <c r="V134" s="2"/>
      <c r="X134" s="13"/>
      <c r="Y134" s="3"/>
      <c r="Z134" s="3"/>
      <c r="AA134" s="12"/>
      <c r="AB134" s="10"/>
      <c r="AC134" s="10"/>
      <c r="AD134" s="10"/>
      <c r="AE134" s="10"/>
      <c r="AI134" s="35"/>
      <c r="AJ134"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34" s="19" t="str">
        <f>IFERROR(IF(OR(TRIM(Table24[[#This Row],[DOB]])="",TRIM(Table24[[#This Row],[Date of Call]])=""),"Cannot be calculated",DATEDIF(Table24[[#This Row],[DOB]],Table24[[#This Row],[Date of Call]],"Y")),"Cannot be calculated")</f>
        <v>Cannot be calculated</v>
      </c>
      <c r="AL134"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34" s="19">
        <f>IFERROR(DATEDIF(Table24[[#This Row],[Date of Call]],Table24[[#This Row],[Follow-up Date]],"D"),"Cannot be calculated")</f>
        <v>0</v>
      </c>
      <c r="AN134" s="19" t="str">
        <f>IF(OR(Table24[[#This Row],[Client Age]]&lt;18,Table24[[#This Row],[If client DOB unknown, is client under 18?]]="Yes"),"Yes","No")</f>
        <v>No</v>
      </c>
      <c r="AO134" s="13" t="str">
        <f>IF(Table24[[#This Row],[Time of Inital Call]]="","",IFERROR(MROUND(Table24[[#This Row],[Time of Inital Call]],"1:00"),""))</f>
        <v/>
      </c>
      <c r="AP134" s="19" t="str">
        <f>IF(Table24[[#This Row],[Date of Call]]="","",TEXT(Table24[[#This Row],[Date of Call]],"dddd"))</f>
        <v/>
      </c>
      <c r="AQ134" s="19" t="str">
        <f>IFERROR(VLOOKUP(Table24[[#This Row],[Residence Zip Code]],Table27[],3,FALSE),"")</f>
        <v/>
      </c>
    </row>
    <row r="135" spans="1:43" x14ac:dyDescent="0.25">
      <c r="A135" s="10"/>
      <c r="C135" s="10"/>
      <c r="D135" s="11"/>
      <c r="E135" s="12"/>
      <c r="F135" s="12"/>
      <c r="G135" s="12"/>
      <c r="H135" s="10"/>
      <c r="I135" s="12"/>
      <c r="J135" s="12"/>
      <c r="K135" s="12"/>
      <c r="L135" s="12"/>
      <c r="M135" s="16"/>
      <c r="N135" s="18"/>
      <c r="O135" s="13"/>
      <c r="P135" s="13"/>
      <c r="Q135" s="13"/>
      <c r="R135" s="18"/>
      <c r="S135" s="13"/>
      <c r="T135" s="13"/>
      <c r="U135" s="10"/>
      <c r="V135" s="2"/>
      <c r="X135" s="13"/>
      <c r="Y135" s="3"/>
      <c r="Z135" s="3"/>
      <c r="AA135" s="12"/>
      <c r="AB135" s="10"/>
      <c r="AC135" s="10"/>
      <c r="AD135" s="10"/>
      <c r="AE135" s="10"/>
      <c r="AI135" s="35"/>
      <c r="AJ135"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35" s="19" t="str">
        <f>IFERROR(IF(OR(TRIM(Table24[[#This Row],[DOB]])="",TRIM(Table24[[#This Row],[Date of Call]])=""),"Cannot be calculated",DATEDIF(Table24[[#This Row],[DOB]],Table24[[#This Row],[Date of Call]],"Y")),"Cannot be calculated")</f>
        <v>Cannot be calculated</v>
      </c>
      <c r="AL135"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35" s="19">
        <f>IFERROR(DATEDIF(Table24[[#This Row],[Date of Call]],Table24[[#This Row],[Follow-up Date]],"D"),"Cannot be calculated")</f>
        <v>0</v>
      </c>
      <c r="AN135" s="19" t="str">
        <f>IF(OR(Table24[[#This Row],[Client Age]]&lt;18,Table24[[#This Row],[If client DOB unknown, is client under 18?]]="Yes"),"Yes","No")</f>
        <v>No</v>
      </c>
      <c r="AO135" s="13" t="str">
        <f>IF(Table24[[#This Row],[Time of Inital Call]]="","",IFERROR(MROUND(Table24[[#This Row],[Time of Inital Call]],"1:00"),""))</f>
        <v/>
      </c>
      <c r="AP135" s="19" t="str">
        <f>IF(Table24[[#This Row],[Date of Call]]="","",TEXT(Table24[[#This Row],[Date of Call]],"dddd"))</f>
        <v/>
      </c>
      <c r="AQ135" s="19" t="str">
        <f>IFERROR(VLOOKUP(Table24[[#This Row],[Residence Zip Code]],Table27[],3,FALSE),"")</f>
        <v/>
      </c>
    </row>
    <row r="136" spans="1:43" x14ac:dyDescent="0.25">
      <c r="A136" s="10"/>
      <c r="C136" s="10"/>
      <c r="D136" s="11"/>
      <c r="E136" s="12"/>
      <c r="F136" s="12"/>
      <c r="G136" s="12"/>
      <c r="H136" s="10"/>
      <c r="I136" s="12"/>
      <c r="J136" s="12"/>
      <c r="K136" s="12"/>
      <c r="L136" s="12"/>
      <c r="M136" s="16"/>
      <c r="N136" s="18"/>
      <c r="O136" s="13"/>
      <c r="P136" s="13"/>
      <c r="Q136" s="13"/>
      <c r="R136" s="18"/>
      <c r="S136" s="13"/>
      <c r="T136" s="13"/>
      <c r="U136" s="10"/>
      <c r="V136" s="2"/>
      <c r="X136" s="13"/>
      <c r="Y136" s="3"/>
      <c r="Z136" s="3"/>
      <c r="AA136" s="12"/>
      <c r="AB136" s="10"/>
      <c r="AC136" s="10"/>
      <c r="AD136" s="10"/>
      <c r="AE136" s="10"/>
      <c r="AI136" s="35"/>
      <c r="AJ136"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36" s="19" t="str">
        <f>IFERROR(IF(OR(TRIM(Table24[[#This Row],[DOB]])="",TRIM(Table24[[#This Row],[Date of Call]])=""),"Cannot be calculated",DATEDIF(Table24[[#This Row],[DOB]],Table24[[#This Row],[Date of Call]],"Y")),"Cannot be calculated")</f>
        <v>Cannot be calculated</v>
      </c>
      <c r="AL136"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36" s="19">
        <f>IFERROR(DATEDIF(Table24[[#This Row],[Date of Call]],Table24[[#This Row],[Follow-up Date]],"D"),"Cannot be calculated")</f>
        <v>0</v>
      </c>
      <c r="AN136" s="19" t="str">
        <f>IF(OR(Table24[[#This Row],[Client Age]]&lt;18,Table24[[#This Row],[If client DOB unknown, is client under 18?]]="Yes"),"Yes","No")</f>
        <v>No</v>
      </c>
      <c r="AO136" s="13" t="str">
        <f>IF(Table24[[#This Row],[Time of Inital Call]]="","",IFERROR(MROUND(Table24[[#This Row],[Time of Inital Call]],"1:00"),""))</f>
        <v/>
      </c>
      <c r="AP136" s="19" t="str">
        <f>IF(Table24[[#This Row],[Date of Call]]="","",TEXT(Table24[[#This Row],[Date of Call]],"dddd"))</f>
        <v/>
      </c>
      <c r="AQ136" s="19" t="str">
        <f>IFERROR(VLOOKUP(Table24[[#This Row],[Residence Zip Code]],Table27[],3,FALSE),"")</f>
        <v/>
      </c>
    </row>
    <row r="137" spans="1:43" x14ac:dyDescent="0.25">
      <c r="A137" s="10"/>
      <c r="C137" s="10"/>
      <c r="D137" s="11"/>
      <c r="E137" s="12"/>
      <c r="F137" s="12"/>
      <c r="G137" s="12"/>
      <c r="H137" s="10"/>
      <c r="I137" s="12"/>
      <c r="J137" s="12"/>
      <c r="K137" s="12"/>
      <c r="L137" s="12"/>
      <c r="M137" s="16"/>
      <c r="N137" s="18"/>
      <c r="O137" s="13"/>
      <c r="P137" s="13"/>
      <c r="Q137" s="13"/>
      <c r="R137" s="18"/>
      <c r="S137" s="13"/>
      <c r="T137" s="13"/>
      <c r="U137" s="10"/>
      <c r="V137" s="2"/>
      <c r="X137" s="13"/>
      <c r="Y137" s="3"/>
      <c r="Z137" s="3"/>
      <c r="AA137" s="12"/>
      <c r="AB137" s="10"/>
      <c r="AC137" s="10"/>
      <c r="AD137" s="10"/>
      <c r="AE137" s="10"/>
      <c r="AI137" s="35"/>
      <c r="AJ137"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37" s="19" t="str">
        <f>IFERROR(IF(OR(TRIM(Table24[[#This Row],[DOB]])="",TRIM(Table24[[#This Row],[Date of Call]])=""),"Cannot be calculated",DATEDIF(Table24[[#This Row],[DOB]],Table24[[#This Row],[Date of Call]],"Y")),"Cannot be calculated")</f>
        <v>Cannot be calculated</v>
      </c>
      <c r="AL137"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37" s="19">
        <f>IFERROR(DATEDIF(Table24[[#This Row],[Date of Call]],Table24[[#This Row],[Follow-up Date]],"D"),"Cannot be calculated")</f>
        <v>0</v>
      </c>
      <c r="AN137" s="19" t="str">
        <f>IF(OR(Table24[[#This Row],[Client Age]]&lt;18,Table24[[#This Row],[If client DOB unknown, is client under 18?]]="Yes"),"Yes","No")</f>
        <v>No</v>
      </c>
      <c r="AO137" s="13" t="str">
        <f>IF(Table24[[#This Row],[Time of Inital Call]]="","",IFERROR(MROUND(Table24[[#This Row],[Time of Inital Call]],"1:00"),""))</f>
        <v/>
      </c>
      <c r="AP137" s="19" t="str">
        <f>IF(Table24[[#This Row],[Date of Call]]="","",TEXT(Table24[[#This Row],[Date of Call]],"dddd"))</f>
        <v/>
      </c>
      <c r="AQ137" s="19" t="str">
        <f>IFERROR(VLOOKUP(Table24[[#This Row],[Residence Zip Code]],Table27[],3,FALSE),"")</f>
        <v/>
      </c>
    </row>
    <row r="138" spans="1:43" x14ac:dyDescent="0.25">
      <c r="A138" s="10"/>
      <c r="C138" s="10"/>
      <c r="D138" s="11"/>
      <c r="E138" s="12"/>
      <c r="F138" s="12"/>
      <c r="G138" s="12"/>
      <c r="H138" s="10"/>
      <c r="I138" s="12"/>
      <c r="J138" s="12"/>
      <c r="K138" s="12"/>
      <c r="L138" s="12"/>
      <c r="M138" s="16"/>
      <c r="N138" s="18"/>
      <c r="O138" s="13"/>
      <c r="P138" s="13"/>
      <c r="Q138" s="13"/>
      <c r="R138" s="18"/>
      <c r="S138" s="13"/>
      <c r="T138" s="13"/>
      <c r="U138" s="10"/>
      <c r="V138" s="2"/>
      <c r="X138" s="13"/>
      <c r="Y138" s="3"/>
      <c r="Z138" s="3"/>
      <c r="AA138" s="12"/>
      <c r="AB138" s="10"/>
      <c r="AC138" s="10"/>
      <c r="AD138" s="10"/>
      <c r="AE138" s="10"/>
      <c r="AI138" s="35"/>
      <c r="AJ138"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38" s="19" t="str">
        <f>IFERROR(IF(OR(TRIM(Table24[[#This Row],[DOB]])="",TRIM(Table24[[#This Row],[Date of Call]])=""),"Cannot be calculated",DATEDIF(Table24[[#This Row],[DOB]],Table24[[#This Row],[Date of Call]],"Y")),"Cannot be calculated")</f>
        <v>Cannot be calculated</v>
      </c>
      <c r="AL138"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38" s="19">
        <f>IFERROR(DATEDIF(Table24[[#This Row],[Date of Call]],Table24[[#This Row],[Follow-up Date]],"D"),"Cannot be calculated")</f>
        <v>0</v>
      </c>
      <c r="AN138" s="19" t="str">
        <f>IF(OR(Table24[[#This Row],[Client Age]]&lt;18,Table24[[#This Row],[If client DOB unknown, is client under 18?]]="Yes"),"Yes","No")</f>
        <v>No</v>
      </c>
      <c r="AO138" s="13" t="str">
        <f>IF(Table24[[#This Row],[Time of Inital Call]]="","",IFERROR(MROUND(Table24[[#This Row],[Time of Inital Call]],"1:00"),""))</f>
        <v/>
      </c>
      <c r="AP138" s="19" t="str">
        <f>IF(Table24[[#This Row],[Date of Call]]="","",TEXT(Table24[[#This Row],[Date of Call]],"dddd"))</f>
        <v/>
      </c>
      <c r="AQ138" s="19" t="str">
        <f>IFERROR(VLOOKUP(Table24[[#This Row],[Residence Zip Code]],Table27[],3,FALSE),"")</f>
        <v/>
      </c>
    </row>
    <row r="139" spans="1:43" x14ac:dyDescent="0.25">
      <c r="A139" s="10"/>
      <c r="C139" s="10"/>
      <c r="D139" s="11"/>
      <c r="E139" s="12"/>
      <c r="F139" s="12"/>
      <c r="G139" s="12"/>
      <c r="H139" s="10"/>
      <c r="I139" s="12"/>
      <c r="J139" s="12"/>
      <c r="K139" s="12"/>
      <c r="L139" s="12"/>
      <c r="M139" s="16"/>
      <c r="N139" s="18"/>
      <c r="O139" s="13"/>
      <c r="P139" s="13"/>
      <c r="Q139" s="13"/>
      <c r="R139" s="18"/>
      <c r="S139" s="13"/>
      <c r="T139" s="13"/>
      <c r="U139" s="10"/>
      <c r="V139" s="2"/>
      <c r="X139" s="13"/>
      <c r="Y139" s="3"/>
      <c r="Z139" s="3"/>
      <c r="AA139" s="12"/>
      <c r="AB139" s="10"/>
      <c r="AC139" s="10"/>
      <c r="AD139" s="10"/>
      <c r="AE139" s="10"/>
      <c r="AI139" s="35"/>
      <c r="AJ139"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39" s="19" t="str">
        <f>IFERROR(IF(OR(TRIM(Table24[[#This Row],[DOB]])="",TRIM(Table24[[#This Row],[Date of Call]])=""),"Cannot be calculated",DATEDIF(Table24[[#This Row],[DOB]],Table24[[#This Row],[Date of Call]],"Y")),"Cannot be calculated")</f>
        <v>Cannot be calculated</v>
      </c>
      <c r="AL139"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39" s="19">
        <f>IFERROR(DATEDIF(Table24[[#This Row],[Date of Call]],Table24[[#This Row],[Follow-up Date]],"D"),"Cannot be calculated")</f>
        <v>0</v>
      </c>
      <c r="AN139" s="19" t="str">
        <f>IF(OR(Table24[[#This Row],[Client Age]]&lt;18,Table24[[#This Row],[If client DOB unknown, is client under 18?]]="Yes"),"Yes","No")</f>
        <v>No</v>
      </c>
      <c r="AO139" s="13" t="str">
        <f>IF(Table24[[#This Row],[Time of Inital Call]]="","",IFERROR(MROUND(Table24[[#This Row],[Time of Inital Call]],"1:00"),""))</f>
        <v/>
      </c>
      <c r="AP139" s="19" t="str">
        <f>IF(Table24[[#This Row],[Date of Call]]="","",TEXT(Table24[[#This Row],[Date of Call]],"dddd"))</f>
        <v/>
      </c>
      <c r="AQ139" s="19" t="str">
        <f>IFERROR(VLOOKUP(Table24[[#This Row],[Residence Zip Code]],Table27[],3,FALSE),"")</f>
        <v/>
      </c>
    </row>
    <row r="140" spans="1:43" x14ac:dyDescent="0.25">
      <c r="A140" s="10"/>
      <c r="C140" s="10"/>
      <c r="D140" s="11"/>
      <c r="E140" s="12"/>
      <c r="F140" s="12"/>
      <c r="G140" s="12"/>
      <c r="H140" s="10"/>
      <c r="I140" s="12"/>
      <c r="J140" s="12"/>
      <c r="K140" s="12"/>
      <c r="L140" s="12"/>
      <c r="M140" s="16"/>
      <c r="N140" s="18"/>
      <c r="O140" s="13"/>
      <c r="P140" s="13"/>
      <c r="Q140" s="13"/>
      <c r="R140" s="18"/>
      <c r="S140" s="13"/>
      <c r="T140" s="13"/>
      <c r="U140" s="10"/>
      <c r="V140" s="2"/>
      <c r="X140" s="13"/>
      <c r="Y140" s="3"/>
      <c r="Z140" s="3"/>
      <c r="AA140" s="12"/>
      <c r="AB140" s="10"/>
      <c r="AC140" s="10"/>
      <c r="AD140" s="10"/>
      <c r="AE140" s="10"/>
      <c r="AI140" s="35"/>
      <c r="AJ140"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40" s="19" t="str">
        <f>IFERROR(IF(OR(TRIM(Table24[[#This Row],[DOB]])="",TRIM(Table24[[#This Row],[Date of Call]])=""),"Cannot be calculated",DATEDIF(Table24[[#This Row],[DOB]],Table24[[#This Row],[Date of Call]],"Y")),"Cannot be calculated")</f>
        <v>Cannot be calculated</v>
      </c>
      <c r="AL140"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40" s="19">
        <f>IFERROR(DATEDIF(Table24[[#This Row],[Date of Call]],Table24[[#This Row],[Follow-up Date]],"D"),"Cannot be calculated")</f>
        <v>0</v>
      </c>
      <c r="AN140" s="19" t="str">
        <f>IF(OR(Table24[[#This Row],[Client Age]]&lt;18,Table24[[#This Row],[If client DOB unknown, is client under 18?]]="Yes"),"Yes","No")</f>
        <v>No</v>
      </c>
      <c r="AO140" s="13" t="str">
        <f>IF(Table24[[#This Row],[Time of Inital Call]]="","",IFERROR(MROUND(Table24[[#This Row],[Time of Inital Call]],"1:00"),""))</f>
        <v/>
      </c>
      <c r="AP140" s="19" t="str">
        <f>IF(Table24[[#This Row],[Date of Call]]="","",TEXT(Table24[[#This Row],[Date of Call]],"dddd"))</f>
        <v/>
      </c>
      <c r="AQ140" s="19" t="str">
        <f>IFERROR(VLOOKUP(Table24[[#This Row],[Residence Zip Code]],Table27[],3,FALSE),"")</f>
        <v/>
      </c>
    </row>
    <row r="141" spans="1:43" x14ac:dyDescent="0.25">
      <c r="A141" s="10"/>
      <c r="C141" s="10"/>
      <c r="D141" s="11"/>
      <c r="E141" s="12"/>
      <c r="F141" s="12"/>
      <c r="G141" s="12"/>
      <c r="H141" s="10"/>
      <c r="I141" s="12"/>
      <c r="J141" s="12"/>
      <c r="K141" s="12"/>
      <c r="L141" s="12"/>
      <c r="M141" s="16"/>
      <c r="N141" s="18"/>
      <c r="O141" s="13"/>
      <c r="P141" s="13"/>
      <c r="Q141" s="13"/>
      <c r="R141" s="18"/>
      <c r="S141" s="13"/>
      <c r="T141" s="13"/>
      <c r="U141" s="10"/>
      <c r="V141" s="2"/>
      <c r="X141" s="13"/>
      <c r="Y141" s="3"/>
      <c r="Z141" s="3"/>
      <c r="AA141" s="12"/>
      <c r="AB141" s="10"/>
      <c r="AC141" s="10"/>
      <c r="AD141" s="10"/>
      <c r="AE141" s="10"/>
      <c r="AI141" s="35"/>
      <c r="AJ141"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41" s="19" t="str">
        <f>IFERROR(IF(OR(TRIM(Table24[[#This Row],[DOB]])="",TRIM(Table24[[#This Row],[Date of Call]])=""),"Cannot be calculated",DATEDIF(Table24[[#This Row],[DOB]],Table24[[#This Row],[Date of Call]],"Y")),"Cannot be calculated")</f>
        <v>Cannot be calculated</v>
      </c>
      <c r="AL141"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41" s="19">
        <f>IFERROR(DATEDIF(Table24[[#This Row],[Date of Call]],Table24[[#This Row],[Follow-up Date]],"D"),"Cannot be calculated")</f>
        <v>0</v>
      </c>
      <c r="AN141" s="19" t="str">
        <f>IF(OR(Table24[[#This Row],[Client Age]]&lt;18,Table24[[#This Row],[If client DOB unknown, is client under 18?]]="Yes"),"Yes","No")</f>
        <v>No</v>
      </c>
      <c r="AO141" s="13" t="str">
        <f>IF(Table24[[#This Row],[Time of Inital Call]]="","",IFERROR(MROUND(Table24[[#This Row],[Time of Inital Call]],"1:00"),""))</f>
        <v/>
      </c>
      <c r="AP141" s="19" t="str">
        <f>IF(Table24[[#This Row],[Date of Call]]="","",TEXT(Table24[[#This Row],[Date of Call]],"dddd"))</f>
        <v/>
      </c>
      <c r="AQ141" s="19" t="str">
        <f>IFERROR(VLOOKUP(Table24[[#This Row],[Residence Zip Code]],Table27[],3,FALSE),"")</f>
        <v/>
      </c>
    </row>
    <row r="142" spans="1:43" x14ac:dyDescent="0.25">
      <c r="A142" s="10"/>
      <c r="C142" s="10"/>
      <c r="D142" s="11"/>
      <c r="E142" s="12"/>
      <c r="F142" s="12"/>
      <c r="G142" s="12"/>
      <c r="H142" s="10"/>
      <c r="I142" s="12"/>
      <c r="J142" s="12"/>
      <c r="K142" s="12"/>
      <c r="L142" s="12"/>
      <c r="M142" s="16"/>
      <c r="N142" s="18"/>
      <c r="O142" s="13"/>
      <c r="P142" s="13"/>
      <c r="Q142" s="13"/>
      <c r="R142" s="18"/>
      <c r="S142" s="13"/>
      <c r="T142" s="13"/>
      <c r="U142" s="10"/>
      <c r="V142" s="2"/>
      <c r="X142" s="13"/>
      <c r="Y142" s="3"/>
      <c r="Z142" s="3"/>
      <c r="AA142" s="12"/>
      <c r="AB142" s="10"/>
      <c r="AC142" s="10"/>
      <c r="AD142" s="10"/>
      <c r="AE142" s="10"/>
      <c r="AI142" s="35"/>
      <c r="AJ142"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42" s="19" t="str">
        <f>IFERROR(IF(OR(TRIM(Table24[[#This Row],[DOB]])="",TRIM(Table24[[#This Row],[Date of Call]])=""),"Cannot be calculated",DATEDIF(Table24[[#This Row],[DOB]],Table24[[#This Row],[Date of Call]],"Y")),"Cannot be calculated")</f>
        <v>Cannot be calculated</v>
      </c>
      <c r="AL142"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42" s="19">
        <f>IFERROR(DATEDIF(Table24[[#This Row],[Date of Call]],Table24[[#This Row],[Follow-up Date]],"D"),"Cannot be calculated")</f>
        <v>0</v>
      </c>
      <c r="AN142" s="19" t="str">
        <f>IF(OR(Table24[[#This Row],[Client Age]]&lt;18,Table24[[#This Row],[If client DOB unknown, is client under 18?]]="Yes"),"Yes","No")</f>
        <v>No</v>
      </c>
      <c r="AO142" s="13" t="str">
        <f>IF(Table24[[#This Row],[Time of Inital Call]]="","",IFERROR(MROUND(Table24[[#This Row],[Time of Inital Call]],"1:00"),""))</f>
        <v/>
      </c>
      <c r="AP142" s="19" t="str">
        <f>IF(Table24[[#This Row],[Date of Call]]="","",TEXT(Table24[[#This Row],[Date of Call]],"dddd"))</f>
        <v/>
      </c>
      <c r="AQ142" s="19" t="str">
        <f>IFERROR(VLOOKUP(Table24[[#This Row],[Residence Zip Code]],Table27[],3,FALSE),"")</f>
        <v/>
      </c>
    </row>
    <row r="143" spans="1:43" x14ac:dyDescent="0.25">
      <c r="A143" s="10"/>
      <c r="C143" s="10"/>
      <c r="D143" s="11"/>
      <c r="E143" s="12"/>
      <c r="F143" s="12"/>
      <c r="G143" s="12"/>
      <c r="H143" s="10"/>
      <c r="I143" s="12"/>
      <c r="J143" s="12"/>
      <c r="K143" s="12"/>
      <c r="L143" s="12"/>
      <c r="M143" s="16"/>
      <c r="N143" s="18"/>
      <c r="O143" s="13"/>
      <c r="P143" s="13"/>
      <c r="Q143" s="13"/>
      <c r="R143" s="18"/>
      <c r="S143" s="13"/>
      <c r="T143" s="13"/>
      <c r="U143" s="10"/>
      <c r="V143" s="2"/>
      <c r="X143" s="13"/>
      <c r="Y143" s="3"/>
      <c r="Z143" s="3"/>
      <c r="AA143" s="12"/>
      <c r="AB143" s="10"/>
      <c r="AC143" s="10"/>
      <c r="AD143" s="10"/>
      <c r="AE143" s="10"/>
      <c r="AI143" s="35"/>
      <c r="AJ143"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43" s="19" t="str">
        <f>IFERROR(IF(OR(TRIM(Table24[[#This Row],[DOB]])="",TRIM(Table24[[#This Row],[Date of Call]])=""),"Cannot be calculated",DATEDIF(Table24[[#This Row],[DOB]],Table24[[#This Row],[Date of Call]],"Y")),"Cannot be calculated")</f>
        <v>Cannot be calculated</v>
      </c>
      <c r="AL143"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43" s="19">
        <f>IFERROR(DATEDIF(Table24[[#This Row],[Date of Call]],Table24[[#This Row],[Follow-up Date]],"D"),"Cannot be calculated")</f>
        <v>0</v>
      </c>
      <c r="AN143" s="19" t="str">
        <f>IF(OR(Table24[[#This Row],[Client Age]]&lt;18,Table24[[#This Row],[If client DOB unknown, is client under 18?]]="Yes"),"Yes","No")</f>
        <v>No</v>
      </c>
      <c r="AO143" s="13" t="str">
        <f>IF(Table24[[#This Row],[Time of Inital Call]]="","",IFERROR(MROUND(Table24[[#This Row],[Time of Inital Call]],"1:00"),""))</f>
        <v/>
      </c>
      <c r="AP143" s="19" t="str">
        <f>IF(Table24[[#This Row],[Date of Call]]="","",TEXT(Table24[[#This Row],[Date of Call]],"dddd"))</f>
        <v/>
      </c>
      <c r="AQ143" s="19" t="str">
        <f>IFERROR(VLOOKUP(Table24[[#This Row],[Residence Zip Code]],Table27[],3,FALSE),"")</f>
        <v/>
      </c>
    </row>
    <row r="144" spans="1:43" x14ac:dyDescent="0.25">
      <c r="A144" s="10"/>
      <c r="C144" s="10"/>
      <c r="D144" s="11"/>
      <c r="E144" s="12"/>
      <c r="F144" s="12"/>
      <c r="G144" s="12"/>
      <c r="H144" s="10"/>
      <c r="I144" s="12"/>
      <c r="J144" s="12"/>
      <c r="K144" s="12"/>
      <c r="L144" s="12"/>
      <c r="M144" s="16"/>
      <c r="N144" s="18"/>
      <c r="O144" s="13"/>
      <c r="P144" s="13"/>
      <c r="Q144" s="13"/>
      <c r="R144" s="18"/>
      <c r="S144" s="13"/>
      <c r="T144" s="13"/>
      <c r="U144" s="10"/>
      <c r="V144" s="2"/>
      <c r="X144" s="13"/>
      <c r="Y144" s="3"/>
      <c r="Z144" s="3"/>
      <c r="AA144" s="12"/>
      <c r="AB144" s="10"/>
      <c r="AC144" s="10"/>
      <c r="AD144" s="10"/>
      <c r="AE144" s="10"/>
      <c r="AI144" s="35"/>
      <c r="AJ144"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44" s="19" t="str">
        <f>IFERROR(IF(OR(TRIM(Table24[[#This Row],[DOB]])="",TRIM(Table24[[#This Row],[Date of Call]])=""),"Cannot be calculated",DATEDIF(Table24[[#This Row],[DOB]],Table24[[#This Row],[Date of Call]],"Y")),"Cannot be calculated")</f>
        <v>Cannot be calculated</v>
      </c>
      <c r="AL144"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44" s="19">
        <f>IFERROR(DATEDIF(Table24[[#This Row],[Date of Call]],Table24[[#This Row],[Follow-up Date]],"D"),"Cannot be calculated")</f>
        <v>0</v>
      </c>
      <c r="AN144" s="19" t="str">
        <f>IF(OR(Table24[[#This Row],[Client Age]]&lt;18,Table24[[#This Row],[If client DOB unknown, is client under 18?]]="Yes"),"Yes","No")</f>
        <v>No</v>
      </c>
      <c r="AO144" s="13" t="str">
        <f>IF(Table24[[#This Row],[Time of Inital Call]]="","",IFERROR(MROUND(Table24[[#This Row],[Time of Inital Call]],"1:00"),""))</f>
        <v/>
      </c>
      <c r="AP144" s="19" t="str">
        <f>IF(Table24[[#This Row],[Date of Call]]="","",TEXT(Table24[[#This Row],[Date of Call]],"dddd"))</f>
        <v/>
      </c>
      <c r="AQ144" s="19" t="str">
        <f>IFERROR(VLOOKUP(Table24[[#This Row],[Residence Zip Code]],Table27[],3,FALSE),"")</f>
        <v/>
      </c>
    </row>
    <row r="145" spans="1:43" x14ac:dyDescent="0.25">
      <c r="A145" s="10"/>
      <c r="C145" s="10"/>
      <c r="D145" s="11"/>
      <c r="E145" s="12"/>
      <c r="F145" s="12"/>
      <c r="G145" s="12"/>
      <c r="H145" s="10"/>
      <c r="I145" s="12"/>
      <c r="J145" s="12"/>
      <c r="K145" s="12"/>
      <c r="L145" s="12"/>
      <c r="M145" s="16"/>
      <c r="N145" s="18"/>
      <c r="O145" s="13"/>
      <c r="P145" s="13"/>
      <c r="Q145" s="13"/>
      <c r="R145" s="18"/>
      <c r="S145" s="13"/>
      <c r="T145" s="13"/>
      <c r="U145" s="10"/>
      <c r="V145" s="2"/>
      <c r="X145" s="13"/>
      <c r="Y145" s="3"/>
      <c r="Z145" s="3"/>
      <c r="AA145" s="12"/>
      <c r="AB145" s="10"/>
      <c r="AC145" s="10"/>
      <c r="AD145" s="10"/>
      <c r="AE145" s="10"/>
      <c r="AI145" s="35"/>
      <c r="AJ145"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45" s="19" t="str">
        <f>IFERROR(IF(OR(TRIM(Table24[[#This Row],[DOB]])="",TRIM(Table24[[#This Row],[Date of Call]])=""),"Cannot be calculated",DATEDIF(Table24[[#This Row],[DOB]],Table24[[#This Row],[Date of Call]],"Y")),"Cannot be calculated")</f>
        <v>Cannot be calculated</v>
      </c>
      <c r="AL145"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45" s="19">
        <f>IFERROR(DATEDIF(Table24[[#This Row],[Date of Call]],Table24[[#This Row],[Follow-up Date]],"D"),"Cannot be calculated")</f>
        <v>0</v>
      </c>
      <c r="AN145" s="19" t="str">
        <f>IF(OR(Table24[[#This Row],[Client Age]]&lt;18,Table24[[#This Row],[If client DOB unknown, is client under 18?]]="Yes"),"Yes","No")</f>
        <v>No</v>
      </c>
      <c r="AO145" s="13" t="str">
        <f>IF(Table24[[#This Row],[Time of Inital Call]]="","",IFERROR(MROUND(Table24[[#This Row],[Time of Inital Call]],"1:00"),""))</f>
        <v/>
      </c>
      <c r="AP145" s="19" t="str">
        <f>IF(Table24[[#This Row],[Date of Call]]="","",TEXT(Table24[[#This Row],[Date of Call]],"dddd"))</f>
        <v/>
      </c>
      <c r="AQ145" s="19" t="str">
        <f>IFERROR(VLOOKUP(Table24[[#This Row],[Residence Zip Code]],Table27[],3,FALSE),"")</f>
        <v/>
      </c>
    </row>
    <row r="146" spans="1:43" x14ac:dyDescent="0.25">
      <c r="A146" s="10"/>
      <c r="C146" s="10"/>
      <c r="D146" s="11"/>
      <c r="E146" s="12"/>
      <c r="F146" s="12"/>
      <c r="G146" s="12"/>
      <c r="H146" s="10"/>
      <c r="I146" s="12"/>
      <c r="J146" s="12"/>
      <c r="K146" s="12"/>
      <c r="L146" s="12"/>
      <c r="M146" s="16"/>
      <c r="N146" s="18"/>
      <c r="O146" s="13"/>
      <c r="P146" s="13"/>
      <c r="Q146" s="13"/>
      <c r="R146" s="18"/>
      <c r="S146" s="13"/>
      <c r="T146" s="13"/>
      <c r="U146" s="10"/>
      <c r="V146" s="2"/>
      <c r="X146" s="13"/>
      <c r="Y146" s="3"/>
      <c r="Z146" s="3"/>
      <c r="AA146" s="12"/>
      <c r="AB146" s="10"/>
      <c r="AC146" s="10"/>
      <c r="AD146" s="10"/>
      <c r="AE146" s="10"/>
      <c r="AI146" s="35"/>
      <c r="AJ146"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46" s="19" t="str">
        <f>IFERROR(IF(OR(TRIM(Table24[[#This Row],[DOB]])="",TRIM(Table24[[#This Row],[Date of Call]])=""),"Cannot be calculated",DATEDIF(Table24[[#This Row],[DOB]],Table24[[#This Row],[Date of Call]],"Y")),"Cannot be calculated")</f>
        <v>Cannot be calculated</v>
      </c>
      <c r="AL146"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46" s="19">
        <f>IFERROR(DATEDIF(Table24[[#This Row],[Date of Call]],Table24[[#This Row],[Follow-up Date]],"D"),"Cannot be calculated")</f>
        <v>0</v>
      </c>
      <c r="AN146" s="19" t="str">
        <f>IF(OR(Table24[[#This Row],[Client Age]]&lt;18,Table24[[#This Row],[If client DOB unknown, is client under 18?]]="Yes"),"Yes","No")</f>
        <v>No</v>
      </c>
      <c r="AO146" s="13" t="str">
        <f>IF(Table24[[#This Row],[Time of Inital Call]]="","",IFERROR(MROUND(Table24[[#This Row],[Time of Inital Call]],"1:00"),""))</f>
        <v/>
      </c>
      <c r="AP146" s="19" t="str">
        <f>IF(Table24[[#This Row],[Date of Call]]="","",TEXT(Table24[[#This Row],[Date of Call]],"dddd"))</f>
        <v/>
      </c>
      <c r="AQ146" s="19" t="str">
        <f>IFERROR(VLOOKUP(Table24[[#This Row],[Residence Zip Code]],Table27[],3,FALSE),"")</f>
        <v/>
      </c>
    </row>
    <row r="147" spans="1:43" x14ac:dyDescent="0.25">
      <c r="A147" s="10"/>
      <c r="C147" s="10"/>
      <c r="D147" s="11"/>
      <c r="E147" s="12"/>
      <c r="F147" s="12"/>
      <c r="G147" s="12"/>
      <c r="H147" s="10"/>
      <c r="I147" s="12"/>
      <c r="J147" s="12"/>
      <c r="K147" s="12"/>
      <c r="L147" s="12"/>
      <c r="M147" s="16"/>
      <c r="N147" s="18"/>
      <c r="O147" s="13"/>
      <c r="P147" s="13"/>
      <c r="Q147" s="13"/>
      <c r="R147" s="18"/>
      <c r="S147" s="13"/>
      <c r="T147" s="13"/>
      <c r="U147" s="10"/>
      <c r="V147" s="2"/>
      <c r="X147" s="13"/>
      <c r="Y147" s="3"/>
      <c r="Z147" s="3"/>
      <c r="AA147" s="12"/>
      <c r="AB147" s="10"/>
      <c r="AC147" s="10"/>
      <c r="AD147" s="10"/>
      <c r="AE147" s="10"/>
      <c r="AI147" s="35"/>
      <c r="AJ147"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47" s="19" t="str">
        <f>IFERROR(IF(OR(TRIM(Table24[[#This Row],[DOB]])="",TRIM(Table24[[#This Row],[Date of Call]])=""),"Cannot be calculated",DATEDIF(Table24[[#This Row],[DOB]],Table24[[#This Row],[Date of Call]],"Y")),"Cannot be calculated")</f>
        <v>Cannot be calculated</v>
      </c>
      <c r="AL147"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47" s="19">
        <f>IFERROR(DATEDIF(Table24[[#This Row],[Date of Call]],Table24[[#This Row],[Follow-up Date]],"D"),"Cannot be calculated")</f>
        <v>0</v>
      </c>
      <c r="AN147" s="19" t="str">
        <f>IF(OR(Table24[[#This Row],[Client Age]]&lt;18,Table24[[#This Row],[If client DOB unknown, is client under 18?]]="Yes"),"Yes","No")</f>
        <v>No</v>
      </c>
      <c r="AO147" s="13" t="str">
        <f>IF(Table24[[#This Row],[Time of Inital Call]]="","",IFERROR(MROUND(Table24[[#This Row],[Time of Inital Call]],"1:00"),""))</f>
        <v/>
      </c>
      <c r="AP147" s="19" t="str">
        <f>IF(Table24[[#This Row],[Date of Call]]="","",TEXT(Table24[[#This Row],[Date of Call]],"dddd"))</f>
        <v/>
      </c>
      <c r="AQ147" s="19" t="str">
        <f>IFERROR(VLOOKUP(Table24[[#This Row],[Residence Zip Code]],Table27[],3,FALSE),"")</f>
        <v/>
      </c>
    </row>
    <row r="148" spans="1:43" x14ac:dyDescent="0.25">
      <c r="A148" s="10"/>
      <c r="C148" s="10"/>
      <c r="D148" s="11"/>
      <c r="E148" s="12"/>
      <c r="F148" s="12"/>
      <c r="G148" s="12"/>
      <c r="H148" s="10"/>
      <c r="I148" s="12"/>
      <c r="J148" s="12"/>
      <c r="K148" s="12"/>
      <c r="L148" s="12"/>
      <c r="M148" s="16"/>
      <c r="N148" s="18"/>
      <c r="O148" s="13"/>
      <c r="P148" s="13"/>
      <c r="Q148" s="13"/>
      <c r="R148" s="18"/>
      <c r="S148" s="13"/>
      <c r="T148" s="13"/>
      <c r="U148" s="10"/>
      <c r="V148" s="2"/>
      <c r="X148" s="13"/>
      <c r="Y148" s="3"/>
      <c r="Z148" s="3"/>
      <c r="AA148" s="12"/>
      <c r="AB148" s="10"/>
      <c r="AC148" s="10"/>
      <c r="AD148" s="10"/>
      <c r="AE148" s="10"/>
      <c r="AI148" s="35"/>
      <c r="AJ148"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48" s="19" t="str">
        <f>IFERROR(IF(OR(TRIM(Table24[[#This Row],[DOB]])="",TRIM(Table24[[#This Row],[Date of Call]])=""),"Cannot be calculated",DATEDIF(Table24[[#This Row],[DOB]],Table24[[#This Row],[Date of Call]],"Y")),"Cannot be calculated")</f>
        <v>Cannot be calculated</v>
      </c>
      <c r="AL148"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48" s="19">
        <f>IFERROR(DATEDIF(Table24[[#This Row],[Date of Call]],Table24[[#This Row],[Follow-up Date]],"D"),"Cannot be calculated")</f>
        <v>0</v>
      </c>
      <c r="AN148" s="19" t="str">
        <f>IF(OR(Table24[[#This Row],[Client Age]]&lt;18,Table24[[#This Row],[If client DOB unknown, is client under 18?]]="Yes"),"Yes","No")</f>
        <v>No</v>
      </c>
      <c r="AO148" s="13" t="str">
        <f>IF(Table24[[#This Row],[Time of Inital Call]]="","",IFERROR(MROUND(Table24[[#This Row],[Time of Inital Call]],"1:00"),""))</f>
        <v/>
      </c>
      <c r="AP148" s="19" t="str">
        <f>IF(Table24[[#This Row],[Date of Call]]="","",TEXT(Table24[[#This Row],[Date of Call]],"dddd"))</f>
        <v/>
      </c>
      <c r="AQ148" s="19" t="str">
        <f>IFERROR(VLOOKUP(Table24[[#This Row],[Residence Zip Code]],Table27[],3,FALSE),"")</f>
        <v/>
      </c>
    </row>
    <row r="149" spans="1:43" x14ac:dyDescent="0.25">
      <c r="A149" s="10"/>
      <c r="C149" s="10"/>
      <c r="D149" s="11"/>
      <c r="E149" s="12"/>
      <c r="F149" s="12"/>
      <c r="G149" s="12"/>
      <c r="H149" s="10"/>
      <c r="I149" s="12"/>
      <c r="J149" s="12"/>
      <c r="K149" s="12"/>
      <c r="L149" s="12"/>
      <c r="M149" s="16"/>
      <c r="N149" s="18"/>
      <c r="O149" s="13"/>
      <c r="P149" s="13"/>
      <c r="Q149" s="13"/>
      <c r="R149" s="18"/>
      <c r="S149" s="13"/>
      <c r="T149" s="13"/>
      <c r="U149" s="10"/>
      <c r="V149" s="2"/>
      <c r="X149" s="13"/>
      <c r="Y149" s="3"/>
      <c r="Z149" s="3"/>
      <c r="AA149" s="12"/>
      <c r="AB149" s="10"/>
      <c r="AC149" s="10"/>
      <c r="AD149" s="10"/>
      <c r="AE149" s="10"/>
      <c r="AI149" s="35"/>
      <c r="AJ149"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49" s="19" t="str">
        <f>IFERROR(IF(OR(TRIM(Table24[[#This Row],[DOB]])="",TRIM(Table24[[#This Row],[Date of Call]])=""),"Cannot be calculated",DATEDIF(Table24[[#This Row],[DOB]],Table24[[#This Row],[Date of Call]],"Y")),"Cannot be calculated")</f>
        <v>Cannot be calculated</v>
      </c>
      <c r="AL149"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49" s="19">
        <f>IFERROR(DATEDIF(Table24[[#This Row],[Date of Call]],Table24[[#This Row],[Follow-up Date]],"D"),"Cannot be calculated")</f>
        <v>0</v>
      </c>
      <c r="AN149" s="19" t="str">
        <f>IF(OR(Table24[[#This Row],[Client Age]]&lt;18,Table24[[#This Row],[If client DOB unknown, is client under 18?]]="Yes"),"Yes","No")</f>
        <v>No</v>
      </c>
      <c r="AO149" s="13" t="str">
        <f>IF(Table24[[#This Row],[Time of Inital Call]]="","",IFERROR(MROUND(Table24[[#This Row],[Time of Inital Call]],"1:00"),""))</f>
        <v/>
      </c>
      <c r="AP149" s="19" t="str">
        <f>IF(Table24[[#This Row],[Date of Call]]="","",TEXT(Table24[[#This Row],[Date of Call]],"dddd"))</f>
        <v/>
      </c>
      <c r="AQ149" s="19" t="str">
        <f>IFERROR(VLOOKUP(Table24[[#This Row],[Residence Zip Code]],Table27[],3,FALSE),"")</f>
        <v/>
      </c>
    </row>
    <row r="150" spans="1:43" x14ac:dyDescent="0.25">
      <c r="A150" s="10"/>
      <c r="C150" s="10"/>
      <c r="D150" s="11"/>
      <c r="E150" s="12"/>
      <c r="F150" s="12"/>
      <c r="G150" s="12"/>
      <c r="H150" s="10"/>
      <c r="I150" s="12"/>
      <c r="J150" s="12"/>
      <c r="K150" s="12"/>
      <c r="L150" s="12"/>
      <c r="M150" s="16"/>
      <c r="N150" s="18"/>
      <c r="O150" s="13"/>
      <c r="P150" s="13"/>
      <c r="Q150" s="13"/>
      <c r="R150" s="18"/>
      <c r="S150" s="13"/>
      <c r="T150" s="13"/>
      <c r="U150" s="10"/>
      <c r="V150" s="2"/>
      <c r="X150" s="13"/>
      <c r="Y150" s="3"/>
      <c r="Z150" s="3"/>
      <c r="AA150" s="12"/>
      <c r="AB150" s="10"/>
      <c r="AC150" s="10"/>
      <c r="AD150" s="10"/>
      <c r="AE150" s="10"/>
      <c r="AI150" s="35"/>
      <c r="AJ150"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50" s="19" t="str">
        <f>IFERROR(IF(OR(TRIM(Table24[[#This Row],[DOB]])="",TRIM(Table24[[#This Row],[Date of Call]])=""),"Cannot be calculated",DATEDIF(Table24[[#This Row],[DOB]],Table24[[#This Row],[Date of Call]],"Y")),"Cannot be calculated")</f>
        <v>Cannot be calculated</v>
      </c>
      <c r="AL150"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50" s="19">
        <f>IFERROR(DATEDIF(Table24[[#This Row],[Date of Call]],Table24[[#This Row],[Follow-up Date]],"D"),"Cannot be calculated")</f>
        <v>0</v>
      </c>
      <c r="AN150" s="19" t="str">
        <f>IF(OR(Table24[[#This Row],[Client Age]]&lt;18,Table24[[#This Row],[If client DOB unknown, is client under 18?]]="Yes"),"Yes","No")</f>
        <v>No</v>
      </c>
      <c r="AO150" s="13" t="str">
        <f>IF(Table24[[#This Row],[Time of Inital Call]]="","",IFERROR(MROUND(Table24[[#This Row],[Time of Inital Call]],"1:00"),""))</f>
        <v/>
      </c>
      <c r="AP150" s="19" t="str">
        <f>IF(Table24[[#This Row],[Date of Call]]="","",TEXT(Table24[[#This Row],[Date of Call]],"dddd"))</f>
        <v/>
      </c>
      <c r="AQ150" s="19" t="str">
        <f>IFERROR(VLOOKUP(Table24[[#This Row],[Residence Zip Code]],Table27[],3,FALSE),"")</f>
        <v/>
      </c>
    </row>
    <row r="151" spans="1:43" x14ac:dyDescent="0.25">
      <c r="A151" s="10"/>
      <c r="C151" s="10"/>
      <c r="D151" s="11"/>
      <c r="E151" s="12"/>
      <c r="F151" s="12"/>
      <c r="G151" s="12"/>
      <c r="H151" s="10"/>
      <c r="I151" s="12"/>
      <c r="J151" s="12"/>
      <c r="K151" s="12"/>
      <c r="L151" s="12"/>
      <c r="M151" s="16"/>
      <c r="N151" s="18"/>
      <c r="O151" s="13"/>
      <c r="P151" s="13"/>
      <c r="Q151" s="13"/>
      <c r="R151" s="18"/>
      <c r="S151" s="13"/>
      <c r="T151" s="13"/>
      <c r="U151" s="10"/>
      <c r="V151" s="2"/>
      <c r="X151" s="13"/>
      <c r="Y151" s="3"/>
      <c r="Z151" s="3"/>
      <c r="AA151" s="12"/>
      <c r="AB151" s="10"/>
      <c r="AC151" s="10"/>
      <c r="AD151" s="10"/>
      <c r="AE151" s="10"/>
      <c r="AI151" s="35"/>
      <c r="AJ151"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51" s="19" t="str">
        <f>IFERROR(IF(OR(TRIM(Table24[[#This Row],[DOB]])="",TRIM(Table24[[#This Row],[Date of Call]])=""),"Cannot be calculated",DATEDIF(Table24[[#This Row],[DOB]],Table24[[#This Row],[Date of Call]],"Y")),"Cannot be calculated")</f>
        <v>Cannot be calculated</v>
      </c>
      <c r="AL151"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51" s="19">
        <f>IFERROR(DATEDIF(Table24[[#This Row],[Date of Call]],Table24[[#This Row],[Follow-up Date]],"D"),"Cannot be calculated")</f>
        <v>0</v>
      </c>
      <c r="AN151" s="19" t="str">
        <f>IF(OR(Table24[[#This Row],[Client Age]]&lt;18,Table24[[#This Row],[If client DOB unknown, is client under 18?]]="Yes"),"Yes","No")</f>
        <v>No</v>
      </c>
      <c r="AO151" s="13" t="str">
        <f>IF(Table24[[#This Row],[Time of Inital Call]]="","",IFERROR(MROUND(Table24[[#This Row],[Time of Inital Call]],"1:00"),""))</f>
        <v/>
      </c>
      <c r="AP151" s="19" t="str">
        <f>IF(Table24[[#This Row],[Date of Call]]="","",TEXT(Table24[[#This Row],[Date of Call]],"dddd"))</f>
        <v/>
      </c>
      <c r="AQ151" s="19" t="str">
        <f>IFERROR(VLOOKUP(Table24[[#This Row],[Residence Zip Code]],Table27[],3,FALSE),"")</f>
        <v/>
      </c>
    </row>
    <row r="152" spans="1:43" x14ac:dyDescent="0.25">
      <c r="A152" s="10"/>
      <c r="C152" s="10"/>
      <c r="D152" s="11"/>
      <c r="E152" s="12"/>
      <c r="F152" s="12"/>
      <c r="G152" s="12"/>
      <c r="H152" s="10"/>
      <c r="I152" s="12"/>
      <c r="J152" s="12"/>
      <c r="K152" s="12"/>
      <c r="L152" s="12"/>
      <c r="M152" s="16"/>
      <c r="N152" s="18"/>
      <c r="O152" s="13"/>
      <c r="P152" s="13"/>
      <c r="Q152" s="13"/>
      <c r="R152" s="18"/>
      <c r="S152" s="13"/>
      <c r="T152" s="13"/>
      <c r="U152" s="10"/>
      <c r="V152" s="2"/>
      <c r="X152" s="13"/>
      <c r="Y152" s="3"/>
      <c r="Z152" s="3"/>
      <c r="AA152" s="12"/>
      <c r="AB152" s="10"/>
      <c r="AC152" s="10"/>
      <c r="AD152" s="10"/>
      <c r="AE152" s="10"/>
      <c r="AI152" s="35"/>
      <c r="AJ152"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52" s="19" t="str">
        <f>IFERROR(IF(OR(TRIM(Table24[[#This Row],[DOB]])="",TRIM(Table24[[#This Row],[Date of Call]])=""),"Cannot be calculated",DATEDIF(Table24[[#This Row],[DOB]],Table24[[#This Row],[Date of Call]],"Y")),"Cannot be calculated")</f>
        <v>Cannot be calculated</v>
      </c>
      <c r="AL152"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52" s="19">
        <f>IFERROR(DATEDIF(Table24[[#This Row],[Date of Call]],Table24[[#This Row],[Follow-up Date]],"D"),"Cannot be calculated")</f>
        <v>0</v>
      </c>
      <c r="AN152" s="19" t="str">
        <f>IF(OR(Table24[[#This Row],[Client Age]]&lt;18,Table24[[#This Row],[If client DOB unknown, is client under 18?]]="Yes"),"Yes","No")</f>
        <v>No</v>
      </c>
      <c r="AO152" s="13" t="str">
        <f>IF(Table24[[#This Row],[Time of Inital Call]]="","",IFERROR(MROUND(Table24[[#This Row],[Time of Inital Call]],"1:00"),""))</f>
        <v/>
      </c>
      <c r="AP152" s="19" t="str">
        <f>IF(Table24[[#This Row],[Date of Call]]="","",TEXT(Table24[[#This Row],[Date of Call]],"dddd"))</f>
        <v/>
      </c>
      <c r="AQ152" s="19" t="str">
        <f>IFERROR(VLOOKUP(Table24[[#This Row],[Residence Zip Code]],Table27[],3,FALSE),"")</f>
        <v/>
      </c>
    </row>
    <row r="153" spans="1:43" x14ac:dyDescent="0.25">
      <c r="A153" s="10"/>
      <c r="C153" s="10"/>
      <c r="D153" s="11"/>
      <c r="E153" s="12"/>
      <c r="F153" s="12"/>
      <c r="G153" s="12"/>
      <c r="H153" s="10"/>
      <c r="I153" s="12"/>
      <c r="J153" s="12"/>
      <c r="K153" s="12"/>
      <c r="L153" s="12"/>
      <c r="M153" s="16"/>
      <c r="N153" s="18"/>
      <c r="O153" s="13"/>
      <c r="P153" s="13"/>
      <c r="Q153" s="13"/>
      <c r="R153" s="18"/>
      <c r="S153" s="13"/>
      <c r="T153" s="13"/>
      <c r="U153" s="10"/>
      <c r="V153" s="2"/>
      <c r="X153" s="13"/>
      <c r="Y153" s="3"/>
      <c r="Z153" s="3"/>
      <c r="AA153" s="12"/>
      <c r="AB153" s="10"/>
      <c r="AC153" s="10"/>
      <c r="AD153" s="10"/>
      <c r="AE153" s="10"/>
      <c r="AI153" s="35"/>
      <c r="AJ153"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53" s="19" t="str">
        <f>IFERROR(IF(OR(TRIM(Table24[[#This Row],[DOB]])="",TRIM(Table24[[#This Row],[Date of Call]])=""),"Cannot be calculated",DATEDIF(Table24[[#This Row],[DOB]],Table24[[#This Row],[Date of Call]],"Y")),"Cannot be calculated")</f>
        <v>Cannot be calculated</v>
      </c>
      <c r="AL153"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53" s="19">
        <f>IFERROR(DATEDIF(Table24[[#This Row],[Date of Call]],Table24[[#This Row],[Follow-up Date]],"D"),"Cannot be calculated")</f>
        <v>0</v>
      </c>
      <c r="AN153" s="19" t="str">
        <f>IF(OR(Table24[[#This Row],[Client Age]]&lt;18,Table24[[#This Row],[If client DOB unknown, is client under 18?]]="Yes"),"Yes","No")</f>
        <v>No</v>
      </c>
      <c r="AO153" s="13" t="str">
        <f>IF(Table24[[#This Row],[Time of Inital Call]]="","",IFERROR(MROUND(Table24[[#This Row],[Time of Inital Call]],"1:00"),""))</f>
        <v/>
      </c>
      <c r="AP153" s="19" t="str">
        <f>IF(Table24[[#This Row],[Date of Call]]="","",TEXT(Table24[[#This Row],[Date of Call]],"dddd"))</f>
        <v/>
      </c>
      <c r="AQ153" s="19" t="str">
        <f>IFERROR(VLOOKUP(Table24[[#This Row],[Residence Zip Code]],Table27[],3,FALSE),"")</f>
        <v/>
      </c>
    </row>
    <row r="154" spans="1:43" x14ac:dyDescent="0.25">
      <c r="A154" s="10"/>
      <c r="C154" s="10"/>
      <c r="D154" s="11"/>
      <c r="E154" s="12"/>
      <c r="F154" s="12"/>
      <c r="G154" s="12"/>
      <c r="H154" s="10"/>
      <c r="I154" s="12"/>
      <c r="J154" s="12"/>
      <c r="K154" s="12"/>
      <c r="L154" s="12"/>
      <c r="M154" s="16"/>
      <c r="N154" s="18"/>
      <c r="O154" s="13"/>
      <c r="P154" s="13"/>
      <c r="Q154" s="13"/>
      <c r="R154" s="18"/>
      <c r="S154" s="13"/>
      <c r="T154" s="13"/>
      <c r="U154" s="10"/>
      <c r="V154" s="2"/>
      <c r="X154" s="13"/>
      <c r="Y154" s="3"/>
      <c r="Z154" s="3"/>
      <c r="AA154" s="12"/>
      <c r="AB154" s="10"/>
      <c r="AC154" s="10"/>
      <c r="AD154" s="10"/>
      <c r="AE154" s="10"/>
      <c r="AI154" s="35"/>
      <c r="AJ154"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54" s="19" t="str">
        <f>IFERROR(IF(OR(TRIM(Table24[[#This Row],[DOB]])="",TRIM(Table24[[#This Row],[Date of Call]])=""),"Cannot be calculated",DATEDIF(Table24[[#This Row],[DOB]],Table24[[#This Row],[Date of Call]],"Y")),"Cannot be calculated")</f>
        <v>Cannot be calculated</v>
      </c>
      <c r="AL154"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54" s="19">
        <f>IFERROR(DATEDIF(Table24[[#This Row],[Date of Call]],Table24[[#This Row],[Follow-up Date]],"D"),"Cannot be calculated")</f>
        <v>0</v>
      </c>
      <c r="AN154" s="19" t="str">
        <f>IF(OR(Table24[[#This Row],[Client Age]]&lt;18,Table24[[#This Row],[If client DOB unknown, is client under 18?]]="Yes"),"Yes","No")</f>
        <v>No</v>
      </c>
      <c r="AO154" s="13" t="str">
        <f>IF(Table24[[#This Row],[Time of Inital Call]]="","",IFERROR(MROUND(Table24[[#This Row],[Time of Inital Call]],"1:00"),""))</f>
        <v/>
      </c>
      <c r="AP154" s="19" t="str">
        <f>IF(Table24[[#This Row],[Date of Call]]="","",TEXT(Table24[[#This Row],[Date of Call]],"dddd"))</f>
        <v/>
      </c>
      <c r="AQ154" s="19" t="str">
        <f>IFERROR(VLOOKUP(Table24[[#This Row],[Residence Zip Code]],Table27[],3,FALSE),"")</f>
        <v/>
      </c>
    </row>
    <row r="155" spans="1:43" x14ac:dyDescent="0.25">
      <c r="A155" s="10"/>
      <c r="C155" s="10"/>
      <c r="D155" s="11"/>
      <c r="E155" s="12"/>
      <c r="F155" s="12"/>
      <c r="G155" s="12"/>
      <c r="H155" s="10"/>
      <c r="I155" s="12"/>
      <c r="J155" s="12"/>
      <c r="K155" s="12"/>
      <c r="L155" s="12"/>
      <c r="M155" s="16"/>
      <c r="N155" s="18"/>
      <c r="O155" s="13"/>
      <c r="P155" s="13"/>
      <c r="Q155" s="13"/>
      <c r="R155" s="18"/>
      <c r="S155" s="13"/>
      <c r="T155" s="13"/>
      <c r="U155" s="10"/>
      <c r="V155" s="2"/>
      <c r="X155" s="13"/>
      <c r="Y155" s="3"/>
      <c r="Z155" s="3"/>
      <c r="AA155" s="12"/>
      <c r="AB155" s="10"/>
      <c r="AC155" s="10"/>
      <c r="AD155" s="10"/>
      <c r="AE155" s="10"/>
      <c r="AI155" s="35"/>
      <c r="AJ155"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55" s="19" t="str">
        <f>IFERROR(IF(OR(TRIM(Table24[[#This Row],[DOB]])="",TRIM(Table24[[#This Row],[Date of Call]])=""),"Cannot be calculated",DATEDIF(Table24[[#This Row],[DOB]],Table24[[#This Row],[Date of Call]],"Y")),"Cannot be calculated")</f>
        <v>Cannot be calculated</v>
      </c>
      <c r="AL155"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55" s="19">
        <f>IFERROR(DATEDIF(Table24[[#This Row],[Date of Call]],Table24[[#This Row],[Follow-up Date]],"D"),"Cannot be calculated")</f>
        <v>0</v>
      </c>
      <c r="AN155" s="19" t="str">
        <f>IF(OR(Table24[[#This Row],[Client Age]]&lt;18,Table24[[#This Row],[If client DOB unknown, is client under 18?]]="Yes"),"Yes","No")</f>
        <v>No</v>
      </c>
      <c r="AO155" s="13" t="str">
        <f>IF(Table24[[#This Row],[Time of Inital Call]]="","",IFERROR(MROUND(Table24[[#This Row],[Time of Inital Call]],"1:00"),""))</f>
        <v/>
      </c>
      <c r="AP155" s="19" t="str">
        <f>IF(Table24[[#This Row],[Date of Call]]="","",TEXT(Table24[[#This Row],[Date of Call]],"dddd"))</f>
        <v/>
      </c>
      <c r="AQ155" s="19" t="str">
        <f>IFERROR(VLOOKUP(Table24[[#This Row],[Residence Zip Code]],Table27[],3,FALSE),"")</f>
        <v/>
      </c>
    </row>
    <row r="156" spans="1:43" x14ac:dyDescent="0.25">
      <c r="A156" s="10"/>
      <c r="C156" s="10"/>
      <c r="D156" s="11"/>
      <c r="E156" s="12"/>
      <c r="F156" s="12"/>
      <c r="G156" s="12"/>
      <c r="H156" s="10"/>
      <c r="I156" s="12"/>
      <c r="J156" s="12"/>
      <c r="K156" s="12"/>
      <c r="L156" s="12"/>
      <c r="M156" s="16"/>
      <c r="N156" s="18"/>
      <c r="O156" s="13"/>
      <c r="P156" s="13"/>
      <c r="Q156" s="13"/>
      <c r="R156" s="18"/>
      <c r="S156" s="13"/>
      <c r="T156" s="13"/>
      <c r="U156" s="10"/>
      <c r="V156" s="2"/>
      <c r="X156" s="13"/>
      <c r="Y156" s="3"/>
      <c r="Z156" s="3"/>
      <c r="AA156" s="12"/>
      <c r="AB156" s="10"/>
      <c r="AC156" s="10"/>
      <c r="AD156" s="10"/>
      <c r="AE156" s="10"/>
      <c r="AI156" s="35"/>
      <c r="AJ156"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56" s="19" t="str">
        <f>IFERROR(IF(OR(TRIM(Table24[[#This Row],[DOB]])="",TRIM(Table24[[#This Row],[Date of Call]])=""),"Cannot be calculated",DATEDIF(Table24[[#This Row],[DOB]],Table24[[#This Row],[Date of Call]],"Y")),"Cannot be calculated")</f>
        <v>Cannot be calculated</v>
      </c>
      <c r="AL156"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56" s="19">
        <f>IFERROR(DATEDIF(Table24[[#This Row],[Date of Call]],Table24[[#This Row],[Follow-up Date]],"D"),"Cannot be calculated")</f>
        <v>0</v>
      </c>
      <c r="AN156" s="19" t="str">
        <f>IF(OR(Table24[[#This Row],[Client Age]]&lt;18,Table24[[#This Row],[If client DOB unknown, is client under 18?]]="Yes"),"Yes","No")</f>
        <v>No</v>
      </c>
      <c r="AO156" s="13" t="str">
        <f>IF(Table24[[#This Row],[Time of Inital Call]]="","",IFERROR(MROUND(Table24[[#This Row],[Time of Inital Call]],"1:00"),""))</f>
        <v/>
      </c>
      <c r="AP156" s="19" t="str">
        <f>IF(Table24[[#This Row],[Date of Call]]="","",TEXT(Table24[[#This Row],[Date of Call]],"dddd"))</f>
        <v/>
      </c>
      <c r="AQ156" s="19" t="str">
        <f>IFERROR(VLOOKUP(Table24[[#This Row],[Residence Zip Code]],Table27[],3,FALSE),"")</f>
        <v/>
      </c>
    </row>
    <row r="157" spans="1:43" x14ac:dyDescent="0.25">
      <c r="A157" s="10"/>
      <c r="C157" s="10"/>
      <c r="D157" s="11"/>
      <c r="E157" s="12"/>
      <c r="F157" s="12"/>
      <c r="G157" s="12"/>
      <c r="H157" s="10"/>
      <c r="I157" s="12"/>
      <c r="J157" s="12"/>
      <c r="K157" s="12"/>
      <c r="L157" s="12"/>
      <c r="M157" s="16"/>
      <c r="N157" s="18"/>
      <c r="O157" s="13"/>
      <c r="P157" s="13"/>
      <c r="Q157" s="13"/>
      <c r="R157" s="18"/>
      <c r="S157" s="13"/>
      <c r="T157" s="13"/>
      <c r="U157" s="10"/>
      <c r="V157" s="2"/>
      <c r="X157" s="13"/>
      <c r="Y157" s="3"/>
      <c r="Z157" s="3"/>
      <c r="AA157" s="12"/>
      <c r="AB157" s="10"/>
      <c r="AC157" s="10"/>
      <c r="AD157" s="10"/>
      <c r="AE157" s="10"/>
      <c r="AI157" s="35"/>
      <c r="AJ157"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57" s="19" t="str">
        <f>IFERROR(IF(OR(TRIM(Table24[[#This Row],[DOB]])="",TRIM(Table24[[#This Row],[Date of Call]])=""),"Cannot be calculated",DATEDIF(Table24[[#This Row],[DOB]],Table24[[#This Row],[Date of Call]],"Y")),"Cannot be calculated")</f>
        <v>Cannot be calculated</v>
      </c>
      <c r="AL157"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57" s="19">
        <f>IFERROR(DATEDIF(Table24[[#This Row],[Date of Call]],Table24[[#This Row],[Follow-up Date]],"D"),"Cannot be calculated")</f>
        <v>0</v>
      </c>
      <c r="AN157" s="19" t="str">
        <f>IF(OR(Table24[[#This Row],[Client Age]]&lt;18,Table24[[#This Row],[If client DOB unknown, is client under 18?]]="Yes"),"Yes","No")</f>
        <v>No</v>
      </c>
      <c r="AO157" s="13" t="str">
        <f>IF(Table24[[#This Row],[Time of Inital Call]]="","",IFERROR(MROUND(Table24[[#This Row],[Time of Inital Call]],"1:00"),""))</f>
        <v/>
      </c>
      <c r="AP157" s="19" t="str">
        <f>IF(Table24[[#This Row],[Date of Call]]="","",TEXT(Table24[[#This Row],[Date of Call]],"dddd"))</f>
        <v/>
      </c>
      <c r="AQ157" s="19" t="str">
        <f>IFERROR(VLOOKUP(Table24[[#This Row],[Residence Zip Code]],Table27[],3,FALSE),"")</f>
        <v/>
      </c>
    </row>
    <row r="158" spans="1:43" x14ac:dyDescent="0.25">
      <c r="A158" s="10"/>
      <c r="C158" s="10"/>
      <c r="D158" s="11"/>
      <c r="E158" s="12"/>
      <c r="F158" s="12"/>
      <c r="G158" s="12"/>
      <c r="H158" s="10"/>
      <c r="I158" s="12"/>
      <c r="J158" s="12"/>
      <c r="K158" s="12"/>
      <c r="L158" s="12"/>
      <c r="M158" s="16"/>
      <c r="N158" s="18"/>
      <c r="O158" s="13"/>
      <c r="P158" s="13"/>
      <c r="Q158" s="13"/>
      <c r="R158" s="18"/>
      <c r="S158" s="13"/>
      <c r="T158" s="13"/>
      <c r="U158" s="10"/>
      <c r="V158" s="2"/>
      <c r="X158" s="13"/>
      <c r="Y158" s="3"/>
      <c r="Z158" s="3"/>
      <c r="AA158" s="12"/>
      <c r="AB158" s="10"/>
      <c r="AC158" s="10"/>
      <c r="AD158" s="10"/>
      <c r="AE158" s="10"/>
      <c r="AI158" s="35"/>
      <c r="AJ158"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58" s="19" t="str">
        <f>IFERROR(IF(OR(TRIM(Table24[[#This Row],[DOB]])="",TRIM(Table24[[#This Row],[Date of Call]])=""),"Cannot be calculated",DATEDIF(Table24[[#This Row],[DOB]],Table24[[#This Row],[Date of Call]],"Y")),"Cannot be calculated")</f>
        <v>Cannot be calculated</v>
      </c>
      <c r="AL158"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58" s="19">
        <f>IFERROR(DATEDIF(Table24[[#This Row],[Date of Call]],Table24[[#This Row],[Follow-up Date]],"D"),"Cannot be calculated")</f>
        <v>0</v>
      </c>
      <c r="AN158" s="19" t="str">
        <f>IF(OR(Table24[[#This Row],[Client Age]]&lt;18,Table24[[#This Row],[If client DOB unknown, is client under 18?]]="Yes"),"Yes","No")</f>
        <v>No</v>
      </c>
      <c r="AO158" s="13" t="str">
        <f>IF(Table24[[#This Row],[Time of Inital Call]]="","",IFERROR(MROUND(Table24[[#This Row],[Time of Inital Call]],"1:00"),""))</f>
        <v/>
      </c>
      <c r="AP158" s="19" t="str">
        <f>IF(Table24[[#This Row],[Date of Call]]="","",TEXT(Table24[[#This Row],[Date of Call]],"dddd"))</f>
        <v/>
      </c>
      <c r="AQ158" s="19" t="str">
        <f>IFERROR(VLOOKUP(Table24[[#This Row],[Residence Zip Code]],Table27[],3,FALSE),"")</f>
        <v/>
      </c>
    </row>
    <row r="159" spans="1:43" x14ac:dyDescent="0.25">
      <c r="A159" s="10"/>
      <c r="C159" s="10"/>
      <c r="D159" s="11"/>
      <c r="E159" s="12"/>
      <c r="F159" s="12"/>
      <c r="G159" s="12"/>
      <c r="H159" s="10"/>
      <c r="I159" s="12"/>
      <c r="J159" s="12"/>
      <c r="K159" s="12"/>
      <c r="L159" s="12"/>
      <c r="M159" s="16"/>
      <c r="N159" s="18"/>
      <c r="O159" s="13"/>
      <c r="P159" s="13"/>
      <c r="Q159" s="13"/>
      <c r="R159" s="18"/>
      <c r="S159" s="13"/>
      <c r="T159" s="13"/>
      <c r="U159" s="10"/>
      <c r="V159" s="2"/>
      <c r="X159" s="13"/>
      <c r="Y159" s="3"/>
      <c r="Z159" s="3"/>
      <c r="AA159" s="12"/>
      <c r="AB159" s="10"/>
      <c r="AC159" s="10"/>
      <c r="AD159" s="10"/>
      <c r="AE159" s="10"/>
      <c r="AI159" s="35"/>
      <c r="AJ159"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59" s="19" t="str">
        <f>IFERROR(IF(OR(TRIM(Table24[[#This Row],[DOB]])="",TRIM(Table24[[#This Row],[Date of Call]])=""),"Cannot be calculated",DATEDIF(Table24[[#This Row],[DOB]],Table24[[#This Row],[Date of Call]],"Y")),"Cannot be calculated")</f>
        <v>Cannot be calculated</v>
      </c>
      <c r="AL159"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59" s="19">
        <f>IFERROR(DATEDIF(Table24[[#This Row],[Date of Call]],Table24[[#This Row],[Follow-up Date]],"D"),"Cannot be calculated")</f>
        <v>0</v>
      </c>
      <c r="AN159" s="19" t="str">
        <f>IF(OR(Table24[[#This Row],[Client Age]]&lt;18,Table24[[#This Row],[If client DOB unknown, is client under 18?]]="Yes"),"Yes","No")</f>
        <v>No</v>
      </c>
      <c r="AO159" s="13" t="str">
        <f>IF(Table24[[#This Row],[Time of Inital Call]]="","",IFERROR(MROUND(Table24[[#This Row],[Time of Inital Call]],"1:00"),""))</f>
        <v/>
      </c>
      <c r="AP159" s="19" t="str">
        <f>IF(Table24[[#This Row],[Date of Call]]="","",TEXT(Table24[[#This Row],[Date of Call]],"dddd"))</f>
        <v/>
      </c>
      <c r="AQ159" s="19" t="str">
        <f>IFERROR(VLOOKUP(Table24[[#This Row],[Residence Zip Code]],Table27[],3,FALSE),"")</f>
        <v/>
      </c>
    </row>
    <row r="160" spans="1:43" x14ac:dyDescent="0.25">
      <c r="A160" s="10"/>
      <c r="C160" s="10"/>
      <c r="D160" s="11"/>
      <c r="E160" s="12"/>
      <c r="F160" s="12"/>
      <c r="G160" s="12"/>
      <c r="H160" s="10"/>
      <c r="I160" s="12"/>
      <c r="J160" s="12"/>
      <c r="K160" s="12"/>
      <c r="L160" s="12"/>
      <c r="M160" s="16"/>
      <c r="N160" s="18"/>
      <c r="O160" s="13"/>
      <c r="P160" s="13"/>
      <c r="Q160" s="13"/>
      <c r="R160" s="18"/>
      <c r="S160" s="13"/>
      <c r="T160" s="13"/>
      <c r="U160" s="10"/>
      <c r="V160" s="2"/>
      <c r="X160" s="13"/>
      <c r="Y160" s="3"/>
      <c r="Z160" s="3"/>
      <c r="AA160" s="12"/>
      <c r="AB160" s="10"/>
      <c r="AC160" s="10"/>
      <c r="AD160" s="10"/>
      <c r="AE160" s="10"/>
      <c r="AI160" s="35"/>
      <c r="AJ160"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60" s="19" t="str">
        <f>IFERROR(IF(OR(TRIM(Table24[[#This Row],[DOB]])="",TRIM(Table24[[#This Row],[Date of Call]])=""),"Cannot be calculated",DATEDIF(Table24[[#This Row],[DOB]],Table24[[#This Row],[Date of Call]],"Y")),"Cannot be calculated")</f>
        <v>Cannot be calculated</v>
      </c>
      <c r="AL160"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60" s="19">
        <f>IFERROR(DATEDIF(Table24[[#This Row],[Date of Call]],Table24[[#This Row],[Follow-up Date]],"D"),"Cannot be calculated")</f>
        <v>0</v>
      </c>
      <c r="AN160" s="19" t="str">
        <f>IF(OR(Table24[[#This Row],[Client Age]]&lt;18,Table24[[#This Row],[If client DOB unknown, is client under 18?]]="Yes"),"Yes","No")</f>
        <v>No</v>
      </c>
      <c r="AO160" s="13" t="str">
        <f>IF(Table24[[#This Row],[Time of Inital Call]]="","",IFERROR(MROUND(Table24[[#This Row],[Time of Inital Call]],"1:00"),""))</f>
        <v/>
      </c>
      <c r="AP160" s="19" t="str">
        <f>IF(Table24[[#This Row],[Date of Call]]="","",TEXT(Table24[[#This Row],[Date of Call]],"dddd"))</f>
        <v/>
      </c>
      <c r="AQ160" s="19" t="str">
        <f>IFERROR(VLOOKUP(Table24[[#This Row],[Residence Zip Code]],Table27[],3,FALSE),"")</f>
        <v/>
      </c>
    </row>
    <row r="161" spans="1:43" x14ac:dyDescent="0.25">
      <c r="A161" s="10"/>
      <c r="C161" s="10"/>
      <c r="D161" s="11"/>
      <c r="E161" s="12"/>
      <c r="F161" s="12"/>
      <c r="G161" s="12"/>
      <c r="H161" s="10"/>
      <c r="I161" s="12"/>
      <c r="J161" s="12"/>
      <c r="K161" s="12"/>
      <c r="L161" s="12"/>
      <c r="M161" s="16"/>
      <c r="N161" s="18"/>
      <c r="O161" s="13"/>
      <c r="P161" s="13"/>
      <c r="Q161" s="13"/>
      <c r="R161" s="18"/>
      <c r="S161" s="13"/>
      <c r="T161" s="13"/>
      <c r="U161" s="10"/>
      <c r="V161" s="2"/>
      <c r="X161" s="13"/>
      <c r="Y161" s="3"/>
      <c r="Z161" s="3"/>
      <c r="AA161" s="12"/>
      <c r="AB161" s="10"/>
      <c r="AC161" s="10"/>
      <c r="AD161" s="10"/>
      <c r="AE161" s="10"/>
      <c r="AI161" s="35"/>
      <c r="AJ161"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61" s="19" t="str">
        <f>IFERROR(IF(OR(TRIM(Table24[[#This Row],[DOB]])="",TRIM(Table24[[#This Row],[Date of Call]])=""),"Cannot be calculated",DATEDIF(Table24[[#This Row],[DOB]],Table24[[#This Row],[Date of Call]],"Y")),"Cannot be calculated")</f>
        <v>Cannot be calculated</v>
      </c>
      <c r="AL161"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61" s="19">
        <f>IFERROR(DATEDIF(Table24[[#This Row],[Date of Call]],Table24[[#This Row],[Follow-up Date]],"D"),"Cannot be calculated")</f>
        <v>0</v>
      </c>
      <c r="AN161" s="19" t="str">
        <f>IF(OR(Table24[[#This Row],[Client Age]]&lt;18,Table24[[#This Row],[If client DOB unknown, is client under 18?]]="Yes"),"Yes","No")</f>
        <v>No</v>
      </c>
      <c r="AO161" s="13" t="str">
        <f>IF(Table24[[#This Row],[Time of Inital Call]]="","",IFERROR(MROUND(Table24[[#This Row],[Time of Inital Call]],"1:00"),""))</f>
        <v/>
      </c>
      <c r="AP161" s="19" t="str">
        <f>IF(Table24[[#This Row],[Date of Call]]="","",TEXT(Table24[[#This Row],[Date of Call]],"dddd"))</f>
        <v/>
      </c>
      <c r="AQ161" s="19" t="str">
        <f>IFERROR(VLOOKUP(Table24[[#This Row],[Residence Zip Code]],Table27[],3,FALSE),"")</f>
        <v/>
      </c>
    </row>
    <row r="162" spans="1:43" x14ac:dyDescent="0.25">
      <c r="A162" s="10"/>
      <c r="C162" s="10"/>
      <c r="D162" s="11"/>
      <c r="E162" s="12"/>
      <c r="F162" s="12"/>
      <c r="G162" s="12"/>
      <c r="H162" s="10"/>
      <c r="I162" s="12"/>
      <c r="J162" s="12"/>
      <c r="K162" s="12"/>
      <c r="L162" s="12"/>
      <c r="M162" s="16"/>
      <c r="N162" s="18"/>
      <c r="O162" s="13"/>
      <c r="P162" s="13"/>
      <c r="Q162" s="13"/>
      <c r="R162" s="18"/>
      <c r="S162" s="13"/>
      <c r="T162" s="13"/>
      <c r="U162" s="10"/>
      <c r="V162" s="2"/>
      <c r="X162" s="13"/>
      <c r="Y162" s="3"/>
      <c r="Z162" s="3"/>
      <c r="AA162" s="12"/>
      <c r="AB162" s="10"/>
      <c r="AC162" s="10"/>
      <c r="AD162" s="10"/>
      <c r="AE162" s="10"/>
      <c r="AI162" s="35"/>
      <c r="AJ162"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62" s="19" t="str">
        <f>IFERROR(IF(OR(TRIM(Table24[[#This Row],[DOB]])="",TRIM(Table24[[#This Row],[Date of Call]])=""),"Cannot be calculated",DATEDIF(Table24[[#This Row],[DOB]],Table24[[#This Row],[Date of Call]],"Y")),"Cannot be calculated")</f>
        <v>Cannot be calculated</v>
      </c>
      <c r="AL162"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62" s="19">
        <f>IFERROR(DATEDIF(Table24[[#This Row],[Date of Call]],Table24[[#This Row],[Follow-up Date]],"D"),"Cannot be calculated")</f>
        <v>0</v>
      </c>
      <c r="AN162" s="19" t="str">
        <f>IF(OR(Table24[[#This Row],[Client Age]]&lt;18,Table24[[#This Row],[If client DOB unknown, is client under 18?]]="Yes"),"Yes","No")</f>
        <v>No</v>
      </c>
      <c r="AO162" s="13" t="str">
        <f>IF(Table24[[#This Row],[Time of Inital Call]]="","",IFERROR(MROUND(Table24[[#This Row],[Time of Inital Call]],"1:00"),""))</f>
        <v/>
      </c>
      <c r="AP162" s="19" t="str">
        <f>IF(Table24[[#This Row],[Date of Call]]="","",TEXT(Table24[[#This Row],[Date of Call]],"dddd"))</f>
        <v/>
      </c>
      <c r="AQ162" s="19" t="str">
        <f>IFERROR(VLOOKUP(Table24[[#This Row],[Residence Zip Code]],Table27[],3,FALSE),"")</f>
        <v/>
      </c>
    </row>
    <row r="163" spans="1:43" x14ac:dyDescent="0.25">
      <c r="A163" s="10"/>
      <c r="C163" s="10"/>
      <c r="D163" s="11"/>
      <c r="E163" s="12"/>
      <c r="F163" s="12"/>
      <c r="G163" s="12"/>
      <c r="H163" s="10"/>
      <c r="I163" s="12"/>
      <c r="J163" s="12"/>
      <c r="K163" s="12"/>
      <c r="L163" s="12"/>
      <c r="M163" s="16"/>
      <c r="N163" s="18"/>
      <c r="O163" s="13"/>
      <c r="P163" s="13"/>
      <c r="Q163" s="13"/>
      <c r="R163" s="18"/>
      <c r="S163" s="13"/>
      <c r="T163" s="13"/>
      <c r="U163" s="10"/>
      <c r="V163" s="2"/>
      <c r="X163" s="13"/>
      <c r="Y163" s="3"/>
      <c r="Z163" s="3"/>
      <c r="AA163" s="12"/>
      <c r="AB163" s="10"/>
      <c r="AC163" s="10"/>
      <c r="AD163" s="10"/>
      <c r="AE163" s="10"/>
      <c r="AI163" s="35"/>
      <c r="AJ163"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63" s="19" t="str">
        <f>IFERROR(IF(OR(TRIM(Table24[[#This Row],[DOB]])="",TRIM(Table24[[#This Row],[Date of Call]])=""),"Cannot be calculated",DATEDIF(Table24[[#This Row],[DOB]],Table24[[#This Row],[Date of Call]],"Y")),"Cannot be calculated")</f>
        <v>Cannot be calculated</v>
      </c>
      <c r="AL163"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63" s="19">
        <f>IFERROR(DATEDIF(Table24[[#This Row],[Date of Call]],Table24[[#This Row],[Follow-up Date]],"D"),"Cannot be calculated")</f>
        <v>0</v>
      </c>
      <c r="AN163" s="19" t="str">
        <f>IF(OR(Table24[[#This Row],[Client Age]]&lt;18,Table24[[#This Row],[If client DOB unknown, is client under 18?]]="Yes"),"Yes","No")</f>
        <v>No</v>
      </c>
      <c r="AO163" s="13" t="str">
        <f>IF(Table24[[#This Row],[Time of Inital Call]]="","",IFERROR(MROUND(Table24[[#This Row],[Time of Inital Call]],"1:00"),""))</f>
        <v/>
      </c>
      <c r="AP163" s="19" t="str">
        <f>IF(Table24[[#This Row],[Date of Call]]="","",TEXT(Table24[[#This Row],[Date of Call]],"dddd"))</f>
        <v/>
      </c>
      <c r="AQ163" s="19" t="str">
        <f>IFERROR(VLOOKUP(Table24[[#This Row],[Residence Zip Code]],Table27[],3,FALSE),"")</f>
        <v/>
      </c>
    </row>
    <row r="164" spans="1:43" x14ac:dyDescent="0.25">
      <c r="A164" s="10"/>
      <c r="C164" s="10"/>
      <c r="D164" s="11"/>
      <c r="E164" s="12"/>
      <c r="F164" s="12"/>
      <c r="G164" s="12"/>
      <c r="H164" s="10"/>
      <c r="I164" s="12"/>
      <c r="J164" s="12"/>
      <c r="K164" s="12"/>
      <c r="L164" s="12"/>
      <c r="M164" s="16"/>
      <c r="N164" s="18"/>
      <c r="O164" s="13"/>
      <c r="P164" s="13"/>
      <c r="Q164" s="13"/>
      <c r="R164" s="18"/>
      <c r="S164" s="13"/>
      <c r="T164" s="13"/>
      <c r="U164" s="10"/>
      <c r="V164" s="2"/>
      <c r="X164" s="13"/>
      <c r="Y164" s="3"/>
      <c r="Z164" s="3"/>
      <c r="AA164" s="12"/>
      <c r="AB164" s="10"/>
      <c r="AC164" s="10"/>
      <c r="AD164" s="10"/>
      <c r="AE164" s="10"/>
      <c r="AI164" s="35"/>
      <c r="AJ164"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64" s="19" t="str">
        <f>IFERROR(IF(OR(TRIM(Table24[[#This Row],[DOB]])="",TRIM(Table24[[#This Row],[Date of Call]])=""),"Cannot be calculated",DATEDIF(Table24[[#This Row],[DOB]],Table24[[#This Row],[Date of Call]],"Y")),"Cannot be calculated")</f>
        <v>Cannot be calculated</v>
      </c>
      <c r="AL164"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64" s="19">
        <f>IFERROR(DATEDIF(Table24[[#This Row],[Date of Call]],Table24[[#This Row],[Follow-up Date]],"D"),"Cannot be calculated")</f>
        <v>0</v>
      </c>
      <c r="AN164" s="19" t="str">
        <f>IF(OR(Table24[[#This Row],[Client Age]]&lt;18,Table24[[#This Row],[If client DOB unknown, is client under 18?]]="Yes"),"Yes","No")</f>
        <v>No</v>
      </c>
      <c r="AO164" s="13" t="str">
        <f>IF(Table24[[#This Row],[Time of Inital Call]]="","",IFERROR(MROUND(Table24[[#This Row],[Time of Inital Call]],"1:00"),""))</f>
        <v/>
      </c>
      <c r="AP164" s="19" t="str">
        <f>IF(Table24[[#This Row],[Date of Call]]="","",TEXT(Table24[[#This Row],[Date of Call]],"dddd"))</f>
        <v/>
      </c>
      <c r="AQ164" s="19" t="str">
        <f>IFERROR(VLOOKUP(Table24[[#This Row],[Residence Zip Code]],Table27[],3,FALSE),"")</f>
        <v/>
      </c>
    </row>
    <row r="165" spans="1:43" x14ac:dyDescent="0.25">
      <c r="A165" s="10"/>
      <c r="C165" s="10"/>
      <c r="D165" s="11"/>
      <c r="E165" s="12"/>
      <c r="F165" s="12"/>
      <c r="G165" s="12"/>
      <c r="H165" s="10"/>
      <c r="I165" s="12"/>
      <c r="J165" s="12"/>
      <c r="K165" s="12"/>
      <c r="L165" s="12"/>
      <c r="M165" s="16"/>
      <c r="N165" s="18"/>
      <c r="O165" s="13"/>
      <c r="P165" s="13"/>
      <c r="Q165" s="13"/>
      <c r="R165" s="18"/>
      <c r="S165" s="13"/>
      <c r="T165" s="13"/>
      <c r="U165" s="10"/>
      <c r="V165" s="2"/>
      <c r="X165" s="13"/>
      <c r="Y165" s="3"/>
      <c r="Z165" s="3"/>
      <c r="AA165" s="12"/>
      <c r="AB165" s="10"/>
      <c r="AC165" s="10"/>
      <c r="AD165" s="10"/>
      <c r="AE165" s="10"/>
      <c r="AI165" s="35"/>
      <c r="AJ165"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65" s="19" t="str">
        <f>IFERROR(IF(OR(TRIM(Table24[[#This Row],[DOB]])="",TRIM(Table24[[#This Row],[Date of Call]])=""),"Cannot be calculated",DATEDIF(Table24[[#This Row],[DOB]],Table24[[#This Row],[Date of Call]],"Y")),"Cannot be calculated")</f>
        <v>Cannot be calculated</v>
      </c>
      <c r="AL165"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65" s="19">
        <f>IFERROR(DATEDIF(Table24[[#This Row],[Date of Call]],Table24[[#This Row],[Follow-up Date]],"D"),"Cannot be calculated")</f>
        <v>0</v>
      </c>
      <c r="AN165" s="19" t="str">
        <f>IF(OR(Table24[[#This Row],[Client Age]]&lt;18,Table24[[#This Row],[If client DOB unknown, is client under 18?]]="Yes"),"Yes","No")</f>
        <v>No</v>
      </c>
      <c r="AO165" s="13" t="str">
        <f>IF(Table24[[#This Row],[Time of Inital Call]]="","",IFERROR(MROUND(Table24[[#This Row],[Time of Inital Call]],"1:00"),""))</f>
        <v/>
      </c>
      <c r="AP165" s="19" t="str">
        <f>IF(Table24[[#This Row],[Date of Call]]="","",TEXT(Table24[[#This Row],[Date of Call]],"dddd"))</f>
        <v/>
      </c>
      <c r="AQ165" s="19" t="str">
        <f>IFERROR(VLOOKUP(Table24[[#This Row],[Residence Zip Code]],Table27[],3,FALSE),"")</f>
        <v/>
      </c>
    </row>
    <row r="166" spans="1:43" x14ac:dyDescent="0.25">
      <c r="A166" s="10"/>
      <c r="C166" s="10"/>
      <c r="D166" s="11"/>
      <c r="E166" s="12"/>
      <c r="F166" s="12"/>
      <c r="G166" s="12"/>
      <c r="H166" s="10"/>
      <c r="I166" s="12"/>
      <c r="J166" s="12"/>
      <c r="K166" s="12"/>
      <c r="L166" s="12"/>
      <c r="M166" s="16"/>
      <c r="N166" s="18"/>
      <c r="O166" s="13"/>
      <c r="P166" s="13"/>
      <c r="Q166" s="13"/>
      <c r="R166" s="18"/>
      <c r="S166" s="13"/>
      <c r="T166" s="13"/>
      <c r="U166" s="10"/>
      <c r="V166" s="2"/>
      <c r="X166" s="13"/>
      <c r="Y166" s="3"/>
      <c r="Z166" s="3"/>
      <c r="AA166" s="12"/>
      <c r="AB166" s="10"/>
      <c r="AC166" s="10"/>
      <c r="AD166" s="10"/>
      <c r="AE166" s="10"/>
      <c r="AI166" s="35"/>
      <c r="AJ166"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66" s="19" t="str">
        <f>IFERROR(IF(OR(TRIM(Table24[[#This Row],[DOB]])="",TRIM(Table24[[#This Row],[Date of Call]])=""),"Cannot be calculated",DATEDIF(Table24[[#This Row],[DOB]],Table24[[#This Row],[Date of Call]],"Y")),"Cannot be calculated")</f>
        <v>Cannot be calculated</v>
      </c>
      <c r="AL166"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66" s="19">
        <f>IFERROR(DATEDIF(Table24[[#This Row],[Date of Call]],Table24[[#This Row],[Follow-up Date]],"D"),"Cannot be calculated")</f>
        <v>0</v>
      </c>
      <c r="AN166" s="19" t="str">
        <f>IF(OR(Table24[[#This Row],[Client Age]]&lt;18,Table24[[#This Row],[If client DOB unknown, is client under 18?]]="Yes"),"Yes","No")</f>
        <v>No</v>
      </c>
      <c r="AO166" s="13" t="str">
        <f>IF(Table24[[#This Row],[Time of Inital Call]]="","",IFERROR(MROUND(Table24[[#This Row],[Time of Inital Call]],"1:00"),""))</f>
        <v/>
      </c>
      <c r="AP166" s="19" t="str">
        <f>IF(Table24[[#This Row],[Date of Call]]="","",TEXT(Table24[[#This Row],[Date of Call]],"dddd"))</f>
        <v/>
      </c>
      <c r="AQ166" s="19" t="str">
        <f>IFERROR(VLOOKUP(Table24[[#This Row],[Residence Zip Code]],Table27[],3,FALSE),"")</f>
        <v/>
      </c>
    </row>
    <row r="167" spans="1:43" x14ac:dyDescent="0.25">
      <c r="A167" s="10"/>
      <c r="C167" s="10"/>
      <c r="D167" s="11"/>
      <c r="E167" s="12"/>
      <c r="F167" s="12"/>
      <c r="G167" s="12"/>
      <c r="H167" s="10"/>
      <c r="I167" s="12"/>
      <c r="J167" s="12"/>
      <c r="K167" s="12"/>
      <c r="L167" s="12"/>
      <c r="M167" s="16"/>
      <c r="N167" s="18"/>
      <c r="O167" s="13"/>
      <c r="P167" s="13"/>
      <c r="Q167" s="13"/>
      <c r="R167" s="18"/>
      <c r="S167" s="13"/>
      <c r="T167" s="13"/>
      <c r="U167" s="10"/>
      <c r="V167" s="2"/>
      <c r="X167" s="13"/>
      <c r="Y167" s="3"/>
      <c r="Z167" s="3"/>
      <c r="AA167" s="12"/>
      <c r="AB167" s="10"/>
      <c r="AC167" s="10"/>
      <c r="AD167" s="10"/>
      <c r="AE167" s="10"/>
      <c r="AI167" s="35"/>
      <c r="AJ167"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67" s="19" t="str">
        <f>IFERROR(IF(OR(TRIM(Table24[[#This Row],[DOB]])="",TRIM(Table24[[#This Row],[Date of Call]])=""),"Cannot be calculated",DATEDIF(Table24[[#This Row],[DOB]],Table24[[#This Row],[Date of Call]],"Y")),"Cannot be calculated")</f>
        <v>Cannot be calculated</v>
      </c>
      <c r="AL167"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67" s="19">
        <f>IFERROR(DATEDIF(Table24[[#This Row],[Date of Call]],Table24[[#This Row],[Follow-up Date]],"D"),"Cannot be calculated")</f>
        <v>0</v>
      </c>
      <c r="AN167" s="19" t="str">
        <f>IF(OR(Table24[[#This Row],[Client Age]]&lt;18,Table24[[#This Row],[If client DOB unknown, is client under 18?]]="Yes"),"Yes","No")</f>
        <v>No</v>
      </c>
      <c r="AO167" s="13" t="str">
        <f>IF(Table24[[#This Row],[Time of Inital Call]]="","",IFERROR(MROUND(Table24[[#This Row],[Time of Inital Call]],"1:00"),""))</f>
        <v/>
      </c>
      <c r="AP167" s="19" t="str">
        <f>IF(Table24[[#This Row],[Date of Call]]="","",TEXT(Table24[[#This Row],[Date of Call]],"dddd"))</f>
        <v/>
      </c>
      <c r="AQ167" s="19" t="str">
        <f>IFERROR(VLOOKUP(Table24[[#This Row],[Residence Zip Code]],Table27[],3,FALSE),"")</f>
        <v/>
      </c>
    </row>
    <row r="168" spans="1:43" x14ac:dyDescent="0.25">
      <c r="A168" s="10"/>
      <c r="C168" s="10"/>
      <c r="D168" s="11"/>
      <c r="E168" s="12"/>
      <c r="F168" s="12"/>
      <c r="G168" s="12"/>
      <c r="H168" s="10"/>
      <c r="I168" s="12"/>
      <c r="J168" s="12"/>
      <c r="K168" s="12"/>
      <c r="L168" s="12"/>
      <c r="M168" s="16"/>
      <c r="N168" s="18"/>
      <c r="O168" s="13"/>
      <c r="P168" s="13"/>
      <c r="Q168" s="13"/>
      <c r="R168" s="18"/>
      <c r="S168" s="13"/>
      <c r="T168" s="13"/>
      <c r="U168" s="10"/>
      <c r="V168" s="2"/>
      <c r="X168" s="13"/>
      <c r="Y168" s="3"/>
      <c r="Z168" s="3"/>
      <c r="AA168" s="12"/>
      <c r="AB168" s="10"/>
      <c r="AC168" s="10"/>
      <c r="AD168" s="10"/>
      <c r="AE168" s="10"/>
      <c r="AI168" s="35"/>
      <c r="AJ168"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68" s="19" t="str">
        <f>IFERROR(IF(OR(TRIM(Table24[[#This Row],[DOB]])="",TRIM(Table24[[#This Row],[Date of Call]])=""),"Cannot be calculated",DATEDIF(Table24[[#This Row],[DOB]],Table24[[#This Row],[Date of Call]],"Y")),"Cannot be calculated")</f>
        <v>Cannot be calculated</v>
      </c>
      <c r="AL168"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68" s="19">
        <f>IFERROR(DATEDIF(Table24[[#This Row],[Date of Call]],Table24[[#This Row],[Follow-up Date]],"D"),"Cannot be calculated")</f>
        <v>0</v>
      </c>
      <c r="AN168" s="19" t="str">
        <f>IF(OR(Table24[[#This Row],[Client Age]]&lt;18,Table24[[#This Row],[If client DOB unknown, is client under 18?]]="Yes"),"Yes","No")</f>
        <v>No</v>
      </c>
      <c r="AO168" s="13" t="str">
        <f>IF(Table24[[#This Row],[Time of Inital Call]]="","",IFERROR(MROUND(Table24[[#This Row],[Time of Inital Call]],"1:00"),""))</f>
        <v/>
      </c>
      <c r="AP168" s="19" t="str">
        <f>IF(Table24[[#This Row],[Date of Call]]="","",TEXT(Table24[[#This Row],[Date of Call]],"dddd"))</f>
        <v/>
      </c>
      <c r="AQ168" s="19" t="str">
        <f>IFERROR(VLOOKUP(Table24[[#This Row],[Residence Zip Code]],Table27[],3,FALSE),"")</f>
        <v/>
      </c>
    </row>
    <row r="169" spans="1:43" x14ac:dyDescent="0.25">
      <c r="A169" s="10"/>
      <c r="C169" s="10"/>
      <c r="D169" s="11"/>
      <c r="E169" s="12"/>
      <c r="F169" s="12"/>
      <c r="G169" s="12"/>
      <c r="H169" s="10"/>
      <c r="I169" s="12"/>
      <c r="J169" s="12"/>
      <c r="K169" s="12"/>
      <c r="L169" s="12"/>
      <c r="M169" s="16"/>
      <c r="N169" s="18"/>
      <c r="O169" s="13"/>
      <c r="P169" s="13"/>
      <c r="Q169" s="13"/>
      <c r="R169" s="18"/>
      <c r="S169" s="13"/>
      <c r="T169" s="13"/>
      <c r="U169" s="10"/>
      <c r="V169" s="2"/>
      <c r="X169" s="13"/>
      <c r="Y169" s="3"/>
      <c r="Z169" s="3"/>
      <c r="AA169" s="12"/>
      <c r="AB169" s="10"/>
      <c r="AC169" s="10"/>
      <c r="AD169" s="10"/>
      <c r="AE169" s="10"/>
      <c r="AI169" s="35"/>
      <c r="AJ169"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69" s="19" t="str">
        <f>IFERROR(IF(OR(TRIM(Table24[[#This Row],[DOB]])="",TRIM(Table24[[#This Row],[Date of Call]])=""),"Cannot be calculated",DATEDIF(Table24[[#This Row],[DOB]],Table24[[#This Row],[Date of Call]],"Y")),"Cannot be calculated")</f>
        <v>Cannot be calculated</v>
      </c>
      <c r="AL169"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69" s="19">
        <f>IFERROR(DATEDIF(Table24[[#This Row],[Date of Call]],Table24[[#This Row],[Follow-up Date]],"D"),"Cannot be calculated")</f>
        <v>0</v>
      </c>
      <c r="AN169" s="19" t="str">
        <f>IF(OR(Table24[[#This Row],[Client Age]]&lt;18,Table24[[#This Row],[If client DOB unknown, is client under 18?]]="Yes"),"Yes","No")</f>
        <v>No</v>
      </c>
      <c r="AO169" s="13" t="str">
        <f>IF(Table24[[#This Row],[Time of Inital Call]]="","",IFERROR(MROUND(Table24[[#This Row],[Time of Inital Call]],"1:00"),""))</f>
        <v/>
      </c>
      <c r="AP169" s="19" t="str">
        <f>IF(Table24[[#This Row],[Date of Call]]="","",TEXT(Table24[[#This Row],[Date of Call]],"dddd"))</f>
        <v/>
      </c>
      <c r="AQ169" s="19" t="str">
        <f>IFERROR(VLOOKUP(Table24[[#This Row],[Residence Zip Code]],Table27[],3,FALSE),"")</f>
        <v/>
      </c>
    </row>
    <row r="170" spans="1:43" x14ac:dyDescent="0.25">
      <c r="A170" s="10"/>
      <c r="C170" s="10"/>
      <c r="D170" s="11"/>
      <c r="E170" s="12"/>
      <c r="F170" s="12"/>
      <c r="G170" s="12"/>
      <c r="H170" s="10"/>
      <c r="I170" s="12"/>
      <c r="J170" s="12"/>
      <c r="K170" s="12"/>
      <c r="L170" s="12"/>
      <c r="M170" s="16"/>
      <c r="N170" s="18"/>
      <c r="O170" s="13"/>
      <c r="P170" s="13"/>
      <c r="Q170" s="13"/>
      <c r="R170" s="18"/>
      <c r="S170" s="13"/>
      <c r="T170" s="13"/>
      <c r="U170" s="10"/>
      <c r="V170" s="2"/>
      <c r="X170" s="13"/>
      <c r="Y170" s="3"/>
      <c r="Z170" s="3"/>
      <c r="AA170" s="12"/>
      <c r="AB170" s="10"/>
      <c r="AC170" s="10"/>
      <c r="AD170" s="10"/>
      <c r="AE170" s="10"/>
      <c r="AI170" s="35"/>
      <c r="AJ170"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70" s="19" t="str">
        <f>IFERROR(IF(OR(TRIM(Table24[[#This Row],[DOB]])="",TRIM(Table24[[#This Row],[Date of Call]])=""),"Cannot be calculated",DATEDIF(Table24[[#This Row],[DOB]],Table24[[#This Row],[Date of Call]],"Y")),"Cannot be calculated")</f>
        <v>Cannot be calculated</v>
      </c>
      <c r="AL170"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70" s="19">
        <f>IFERROR(DATEDIF(Table24[[#This Row],[Date of Call]],Table24[[#This Row],[Follow-up Date]],"D"),"Cannot be calculated")</f>
        <v>0</v>
      </c>
      <c r="AN170" s="19" t="str">
        <f>IF(OR(Table24[[#This Row],[Client Age]]&lt;18,Table24[[#This Row],[If client DOB unknown, is client under 18?]]="Yes"),"Yes","No")</f>
        <v>No</v>
      </c>
      <c r="AO170" s="13" t="str">
        <f>IF(Table24[[#This Row],[Time of Inital Call]]="","",IFERROR(MROUND(Table24[[#This Row],[Time of Inital Call]],"1:00"),""))</f>
        <v/>
      </c>
      <c r="AP170" s="19" t="str">
        <f>IF(Table24[[#This Row],[Date of Call]]="","",TEXT(Table24[[#This Row],[Date of Call]],"dddd"))</f>
        <v/>
      </c>
      <c r="AQ170" s="19" t="str">
        <f>IFERROR(VLOOKUP(Table24[[#This Row],[Residence Zip Code]],Table27[],3,FALSE),"")</f>
        <v/>
      </c>
    </row>
    <row r="171" spans="1:43" x14ac:dyDescent="0.25">
      <c r="A171" s="10"/>
      <c r="C171" s="10"/>
      <c r="D171" s="11"/>
      <c r="E171" s="12"/>
      <c r="F171" s="12"/>
      <c r="G171" s="12"/>
      <c r="H171" s="10"/>
      <c r="I171" s="12"/>
      <c r="J171" s="12"/>
      <c r="K171" s="12"/>
      <c r="L171" s="12"/>
      <c r="M171" s="16"/>
      <c r="N171" s="18"/>
      <c r="O171" s="13"/>
      <c r="P171" s="13"/>
      <c r="Q171" s="13"/>
      <c r="R171" s="18"/>
      <c r="S171" s="13"/>
      <c r="T171" s="13"/>
      <c r="U171" s="10"/>
      <c r="V171" s="2"/>
      <c r="X171" s="13"/>
      <c r="Y171" s="3"/>
      <c r="Z171" s="3"/>
      <c r="AA171" s="12"/>
      <c r="AB171" s="10"/>
      <c r="AC171" s="10"/>
      <c r="AD171" s="10"/>
      <c r="AE171" s="10"/>
      <c r="AI171" s="35"/>
      <c r="AJ171"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71" s="19" t="str">
        <f>IFERROR(IF(OR(TRIM(Table24[[#This Row],[DOB]])="",TRIM(Table24[[#This Row],[Date of Call]])=""),"Cannot be calculated",DATEDIF(Table24[[#This Row],[DOB]],Table24[[#This Row],[Date of Call]],"Y")),"Cannot be calculated")</f>
        <v>Cannot be calculated</v>
      </c>
      <c r="AL171"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71" s="19">
        <f>IFERROR(DATEDIF(Table24[[#This Row],[Date of Call]],Table24[[#This Row],[Follow-up Date]],"D"),"Cannot be calculated")</f>
        <v>0</v>
      </c>
      <c r="AN171" s="19" t="str">
        <f>IF(OR(Table24[[#This Row],[Client Age]]&lt;18,Table24[[#This Row],[If client DOB unknown, is client under 18?]]="Yes"),"Yes","No")</f>
        <v>No</v>
      </c>
      <c r="AO171" s="13" t="str">
        <f>IF(Table24[[#This Row],[Time of Inital Call]]="","",IFERROR(MROUND(Table24[[#This Row],[Time of Inital Call]],"1:00"),""))</f>
        <v/>
      </c>
      <c r="AP171" s="19" t="str">
        <f>IF(Table24[[#This Row],[Date of Call]]="","",TEXT(Table24[[#This Row],[Date of Call]],"dddd"))</f>
        <v/>
      </c>
      <c r="AQ171" s="19" t="str">
        <f>IFERROR(VLOOKUP(Table24[[#This Row],[Residence Zip Code]],Table27[],3,FALSE),"")</f>
        <v/>
      </c>
    </row>
    <row r="172" spans="1:43" x14ac:dyDescent="0.25">
      <c r="A172" s="10"/>
      <c r="C172" s="10"/>
      <c r="D172" s="11"/>
      <c r="E172" s="12"/>
      <c r="F172" s="12"/>
      <c r="G172" s="12"/>
      <c r="H172" s="10"/>
      <c r="I172" s="12"/>
      <c r="J172" s="12"/>
      <c r="K172" s="12"/>
      <c r="L172" s="12"/>
      <c r="M172" s="16"/>
      <c r="N172" s="18"/>
      <c r="O172" s="13"/>
      <c r="P172" s="13"/>
      <c r="Q172" s="13"/>
      <c r="R172" s="18"/>
      <c r="S172" s="13"/>
      <c r="T172" s="13"/>
      <c r="U172" s="10"/>
      <c r="V172" s="2"/>
      <c r="X172" s="13"/>
      <c r="Y172" s="3"/>
      <c r="Z172" s="3"/>
      <c r="AA172" s="12"/>
      <c r="AB172" s="10"/>
      <c r="AC172" s="10"/>
      <c r="AD172" s="10"/>
      <c r="AE172" s="10"/>
      <c r="AI172" s="35"/>
      <c r="AJ172"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72" s="19" t="str">
        <f>IFERROR(IF(OR(TRIM(Table24[[#This Row],[DOB]])="",TRIM(Table24[[#This Row],[Date of Call]])=""),"Cannot be calculated",DATEDIF(Table24[[#This Row],[DOB]],Table24[[#This Row],[Date of Call]],"Y")),"Cannot be calculated")</f>
        <v>Cannot be calculated</v>
      </c>
      <c r="AL172"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72" s="19">
        <f>IFERROR(DATEDIF(Table24[[#This Row],[Date of Call]],Table24[[#This Row],[Follow-up Date]],"D"),"Cannot be calculated")</f>
        <v>0</v>
      </c>
      <c r="AN172" s="19" t="str">
        <f>IF(OR(Table24[[#This Row],[Client Age]]&lt;18,Table24[[#This Row],[If client DOB unknown, is client under 18?]]="Yes"),"Yes","No")</f>
        <v>No</v>
      </c>
      <c r="AO172" s="13" t="str">
        <f>IF(Table24[[#This Row],[Time of Inital Call]]="","",IFERROR(MROUND(Table24[[#This Row],[Time of Inital Call]],"1:00"),""))</f>
        <v/>
      </c>
      <c r="AP172" s="19" t="str">
        <f>IF(Table24[[#This Row],[Date of Call]]="","",TEXT(Table24[[#This Row],[Date of Call]],"dddd"))</f>
        <v/>
      </c>
      <c r="AQ172" s="19" t="str">
        <f>IFERROR(VLOOKUP(Table24[[#This Row],[Residence Zip Code]],Table27[],3,FALSE),"")</f>
        <v/>
      </c>
    </row>
    <row r="173" spans="1:43" x14ac:dyDescent="0.25">
      <c r="A173" s="10"/>
      <c r="C173" s="10"/>
      <c r="D173" s="11"/>
      <c r="E173" s="12"/>
      <c r="F173" s="12"/>
      <c r="G173" s="12"/>
      <c r="H173" s="10"/>
      <c r="I173" s="12"/>
      <c r="J173" s="12"/>
      <c r="K173" s="12"/>
      <c r="L173" s="12"/>
      <c r="M173" s="16"/>
      <c r="N173" s="18"/>
      <c r="O173" s="13"/>
      <c r="P173" s="13"/>
      <c r="Q173" s="13"/>
      <c r="R173" s="18"/>
      <c r="S173" s="13"/>
      <c r="T173" s="13"/>
      <c r="U173" s="10"/>
      <c r="V173" s="2"/>
      <c r="X173" s="13"/>
      <c r="Y173" s="3"/>
      <c r="Z173" s="3"/>
      <c r="AA173" s="12"/>
      <c r="AB173" s="10"/>
      <c r="AC173" s="10"/>
      <c r="AD173" s="10"/>
      <c r="AE173" s="10"/>
      <c r="AI173" s="35"/>
      <c r="AJ173"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73" s="19" t="str">
        <f>IFERROR(IF(OR(TRIM(Table24[[#This Row],[DOB]])="",TRIM(Table24[[#This Row],[Date of Call]])=""),"Cannot be calculated",DATEDIF(Table24[[#This Row],[DOB]],Table24[[#This Row],[Date of Call]],"Y")),"Cannot be calculated")</f>
        <v>Cannot be calculated</v>
      </c>
      <c r="AL173"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73" s="19">
        <f>IFERROR(DATEDIF(Table24[[#This Row],[Date of Call]],Table24[[#This Row],[Follow-up Date]],"D"),"Cannot be calculated")</f>
        <v>0</v>
      </c>
      <c r="AN173" s="19" t="str">
        <f>IF(OR(Table24[[#This Row],[Client Age]]&lt;18,Table24[[#This Row],[If client DOB unknown, is client under 18?]]="Yes"),"Yes","No")</f>
        <v>No</v>
      </c>
      <c r="AO173" s="13" t="str">
        <f>IF(Table24[[#This Row],[Time of Inital Call]]="","",IFERROR(MROUND(Table24[[#This Row],[Time of Inital Call]],"1:00"),""))</f>
        <v/>
      </c>
      <c r="AP173" s="19" t="str">
        <f>IF(Table24[[#This Row],[Date of Call]]="","",TEXT(Table24[[#This Row],[Date of Call]],"dddd"))</f>
        <v/>
      </c>
      <c r="AQ173" s="19" t="str">
        <f>IFERROR(VLOOKUP(Table24[[#This Row],[Residence Zip Code]],Table27[],3,FALSE),"")</f>
        <v/>
      </c>
    </row>
    <row r="174" spans="1:43" x14ac:dyDescent="0.25">
      <c r="A174" s="10"/>
      <c r="C174" s="10"/>
      <c r="D174" s="11"/>
      <c r="E174" s="12"/>
      <c r="F174" s="12"/>
      <c r="G174" s="12"/>
      <c r="H174" s="10"/>
      <c r="I174" s="12"/>
      <c r="J174" s="12"/>
      <c r="K174" s="12"/>
      <c r="L174" s="12"/>
      <c r="M174" s="16"/>
      <c r="N174" s="18"/>
      <c r="O174" s="13"/>
      <c r="P174" s="13"/>
      <c r="Q174" s="13"/>
      <c r="R174" s="18"/>
      <c r="S174" s="13"/>
      <c r="T174" s="13"/>
      <c r="U174" s="10"/>
      <c r="V174" s="2"/>
      <c r="X174" s="13"/>
      <c r="Y174" s="3"/>
      <c r="Z174" s="3"/>
      <c r="AA174" s="12"/>
      <c r="AB174" s="10"/>
      <c r="AC174" s="10"/>
      <c r="AD174" s="10"/>
      <c r="AE174" s="10"/>
      <c r="AI174" s="35"/>
      <c r="AJ174"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74" s="19" t="str">
        <f>IFERROR(IF(OR(TRIM(Table24[[#This Row],[DOB]])="",TRIM(Table24[[#This Row],[Date of Call]])=""),"Cannot be calculated",DATEDIF(Table24[[#This Row],[DOB]],Table24[[#This Row],[Date of Call]],"Y")),"Cannot be calculated")</f>
        <v>Cannot be calculated</v>
      </c>
      <c r="AL174"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74" s="19">
        <f>IFERROR(DATEDIF(Table24[[#This Row],[Date of Call]],Table24[[#This Row],[Follow-up Date]],"D"),"Cannot be calculated")</f>
        <v>0</v>
      </c>
      <c r="AN174" s="19" t="str">
        <f>IF(OR(Table24[[#This Row],[Client Age]]&lt;18,Table24[[#This Row],[If client DOB unknown, is client under 18?]]="Yes"),"Yes","No")</f>
        <v>No</v>
      </c>
      <c r="AO174" s="13" t="str">
        <f>IF(Table24[[#This Row],[Time of Inital Call]]="","",IFERROR(MROUND(Table24[[#This Row],[Time of Inital Call]],"1:00"),""))</f>
        <v/>
      </c>
      <c r="AP174" s="19" t="str">
        <f>IF(Table24[[#This Row],[Date of Call]]="","",TEXT(Table24[[#This Row],[Date of Call]],"dddd"))</f>
        <v/>
      </c>
      <c r="AQ174" s="19" t="str">
        <f>IFERROR(VLOOKUP(Table24[[#This Row],[Residence Zip Code]],Table27[],3,FALSE),"")</f>
        <v/>
      </c>
    </row>
    <row r="175" spans="1:43" x14ac:dyDescent="0.25">
      <c r="A175" s="10"/>
      <c r="C175" s="10"/>
      <c r="D175" s="11"/>
      <c r="E175" s="12"/>
      <c r="F175" s="12"/>
      <c r="G175" s="12"/>
      <c r="H175" s="10"/>
      <c r="I175" s="12"/>
      <c r="J175" s="12"/>
      <c r="K175" s="12"/>
      <c r="L175" s="12"/>
      <c r="M175" s="16"/>
      <c r="N175" s="18"/>
      <c r="O175" s="13"/>
      <c r="P175" s="13"/>
      <c r="Q175" s="13"/>
      <c r="R175" s="18"/>
      <c r="S175" s="13"/>
      <c r="T175" s="13"/>
      <c r="U175" s="10"/>
      <c r="V175" s="2"/>
      <c r="X175" s="13"/>
      <c r="Y175" s="3"/>
      <c r="Z175" s="3"/>
      <c r="AA175" s="12"/>
      <c r="AB175" s="10"/>
      <c r="AC175" s="10"/>
      <c r="AD175" s="10"/>
      <c r="AE175" s="10"/>
      <c r="AI175" s="35"/>
      <c r="AJ175"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75" s="19" t="str">
        <f>IFERROR(IF(OR(TRIM(Table24[[#This Row],[DOB]])="",TRIM(Table24[[#This Row],[Date of Call]])=""),"Cannot be calculated",DATEDIF(Table24[[#This Row],[DOB]],Table24[[#This Row],[Date of Call]],"Y")),"Cannot be calculated")</f>
        <v>Cannot be calculated</v>
      </c>
      <c r="AL175"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75" s="19">
        <f>IFERROR(DATEDIF(Table24[[#This Row],[Date of Call]],Table24[[#This Row],[Follow-up Date]],"D"),"Cannot be calculated")</f>
        <v>0</v>
      </c>
      <c r="AN175" s="19" t="str">
        <f>IF(OR(Table24[[#This Row],[Client Age]]&lt;18,Table24[[#This Row],[If client DOB unknown, is client under 18?]]="Yes"),"Yes","No")</f>
        <v>No</v>
      </c>
      <c r="AO175" s="13" t="str">
        <f>IF(Table24[[#This Row],[Time of Inital Call]]="","",IFERROR(MROUND(Table24[[#This Row],[Time of Inital Call]],"1:00"),""))</f>
        <v/>
      </c>
      <c r="AP175" s="19" t="str">
        <f>IF(Table24[[#This Row],[Date of Call]]="","",TEXT(Table24[[#This Row],[Date of Call]],"dddd"))</f>
        <v/>
      </c>
      <c r="AQ175" s="19" t="str">
        <f>IFERROR(VLOOKUP(Table24[[#This Row],[Residence Zip Code]],Table27[],3,FALSE),"")</f>
        <v/>
      </c>
    </row>
    <row r="176" spans="1:43" x14ac:dyDescent="0.25">
      <c r="A176" s="10"/>
      <c r="C176" s="10"/>
      <c r="D176" s="11"/>
      <c r="E176" s="12"/>
      <c r="F176" s="12"/>
      <c r="G176" s="12"/>
      <c r="H176" s="10"/>
      <c r="I176" s="12"/>
      <c r="J176" s="12"/>
      <c r="K176" s="12"/>
      <c r="L176" s="12"/>
      <c r="M176" s="16"/>
      <c r="N176" s="18"/>
      <c r="O176" s="13"/>
      <c r="P176" s="13"/>
      <c r="Q176" s="13"/>
      <c r="R176" s="18"/>
      <c r="S176" s="13"/>
      <c r="T176" s="13"/>
      <c r="U176" s="10"/>
      <c r="V176" s="2"/>
      <c r="X176" s="13"/>
      <c r="Y176" s="3"/>
      <c r="Z176" s="3"/>
      <c r="AA176" s="12"/>
      <c r="AB176" s="10"/>
      <c r="AC176" s="10"/>
      <c r="AD176" s="10"/>
      <c r="AE176" s="10"/>
      <c r="AI176" s="35"/>
      <c r="AJ176"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76" s="19" t="str">
        <f>IFERROR(IF(OR(TRIM(Table24[[#This Row],[DOB]])="",TRIM(Table24[[#This Row],[Date of Call]])=""),"Cannot be calculated",DATEDIF(Table24[[#This Row],[DOB]],Table24[[#This Row],[Date of Call]],"Y")),"Cannot be calculated")</f>
        <v>Cannot be calculated</v>
      </c>
      <c r="AL176"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76" s="19">
        <f>IFERROR(DATEDIF(Table24[[#This Row],[Date of Call]],Table24[[#This Row],[Follow-up Date]],"D"),"Cannot be calculated")</f>
        <v>0</v>
      </c>
      <c r="AN176" s="19" t="str">
        <f>IF(OR(Table24[[#This Row],[Client Age]]&lt;18,Table24[[#This Row],[If client DOB unknown, is client under 18?]]="Yes"),"Yes","No")</f>
        <v>No</v>
      </c>
      <c r="AO176" s="13" t="str">
        <f>IF(Table24[[#This Row],[Time of Inital Call]]="","",IFERROR(MROUND(Table24[[#This Row],[Time of Inital Call]],"1:00"),""))</f>
        <v/>
      </c>
      <c r="AP176" s="19" t="str">
        <f>IF(Table24[[#This Row],[Date of Call]]="","",TEXT(Table24[[#This Row],[Date of Call]],"dddd"))</f>
        <v/>
      </c>
      <c r="AQ176" s="19" t="str">
        <f>IFERROR(VLOOKUP(Table24[[#This Row],[Residence Zip Code]],Table27[],3,FALSE),"")</f>
        <v/>
      </c>
    </row>
    <row r="177" spans="1:43" x14ac:dyDescent="0.25">
      <c r="A177" s="10"/>
      <c r="C177" s="10"/>
      <c r="D177" s="11"/>
      <c r="E177" s="12"/>
      <c r="F177" s="12"/>
      <c r="G177" s="12"/>
      <c r="H177" s="10"/>
      <c r="I177" s="12"/>
      <c r="J177" s="12"/>
      <c r="K177" s="12"/>
      <c r="L177" s="12"/>
      <c r="M177" s="16"/>
      <c r="N177" s="18"/>
      <c r="O177" s="13"/>
      <c r="P177" s="13"/>
      <c r="Q177" s="13"/>
      <c r="R177" s="18"/>
      <c r="S177" s="13"/>
      <c r="T177" s="13"/>
      <c r="U177" s="10"/>
      <c r="V177" s="2"/>
      <c r="X177" s="13"/>
      <c r="Y177" s="3"/>
      <c r="Z177" s="3"/>
      <c r="AA177" s="12"/>
      <c r="AB177" s="10"/>
      <c r="AC177" s="10"/>
      <c r="AD177" s="10"/>
      <c r="AE177" s="10"/>
      <c r="AI177" s="35"/>
      <c r="AJ177"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77" s="19" t="str">
        <f>IFERROR(IF(OR(TRIM(Table24[[#This Row],[DOB]])="",TRIM(Table24[[#This Row],[Date of Call]])=""),"Cannot be calculated",DATEDIF(Table24[[#This Row],[DOB]],Table24[[#This Row],[Date of Call]],"Y")),"Cannot be calculated")</f>
        <v>Cannot be calculated</v>
      </c>
      <c r="AL177"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77" s="19">
        <f>IFERROR(DATEDIF(Table24[[#This Row],[Date of Call]],Table24[[#This Row],[Follow-up Date]],"D"),"Cannot be calculated")</f>
        <v>0</v>
      </c>
      <c r="AN177" s="19" t="str">
        <f>IF(OR(Table24[[#This Row],[Client Age]]&lt;18,Table24[[#This Row],[If client DOB unknown, is client under 18?]]="Yes"),"Yes","No")</f>
        <v>No</v>
      </c>
      <c r="AO177" s="13" t="str">
        <f>IF(Table24[[#This Row],[Time of Inital Call]]="","",IFERROR(MROUND(Table24[[#This Row],[Time of Inital Call]],"1:00"),""))</f>
        <v/>
      </c>
      <c r="AP177" s="19" t="str">
        <f>IF(Table24[[#This Row],[Date of Call]]="","",TEXT(Table24[[#This Row],[Date of Call]],"dddd"))</f>
        <v/>
      </c>
      <c r="AQ177" s="19" t="str">
        <f>IFERROR(VLOOKUP(Table24[[#This Row],[Residence Zip Code]],Table27[],3,FALSE),"")</f>
        <v/>
      </c>
    </row>
    <row r="178" spans="1:43" x14ac:dyDescent="0.25">
      <c r="A178" s="10"/>
      <c r="C178" s="10"/>
      <c r="D178" s="11"/>
      <c r="E178" s="12"/>
      <c r="F178" s="12"/>
      <c r="G178" s="12"/>
      <c r="H178" s="10"/>
      <c r="I178" s="12"/>
      <c r="J178" s="12"/>
      <c r="K178" s="12"/>
      <c r="L178" s="12"/>
      <c r="M178" s="16"/>
      <c r="N178" s="18"/>
      <c r="O178" s="13"/>
      <c r="P178" s="13"/>
      <c r="Q178" s="13"/>
      <c r="R178" s="18"/>
      <c r="S178" s="13"/>
      <c r="T178" s="13"/>
      <c r="U178" s="10"/>
      <c r="V178" s="2"/>
      <c r="X178" s="13"/>
      <c r="Y178" s="3"/>
      <c r="Z178" s="3"/>
      <c r="AA178" s="12"/>
      <c r="AB178" s="10"/>
      <c r="AC178" s="10"/>
      <c r="AD178" s="10"/>
      <c r="AE178" s="10"/>
      <c r="AI178" s="35"/>
      <c r="AJ178"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78" s="19" t="str">
        <f>IFERROR(IF(OR(TRIM(Table24[[#This Row],[DOB]])="",TRIM(Table24[[#This Row],[Date of Call]])=""),"Cannot be calculated",DATEDIF(Table24[[#This Row],[DOB]],Table24[[#This Row],[Date of Call]],"Y")),"Cannot be calculated")</f>
        <v>Cannot be calculated</v>
      </c>
      <c r="AL178"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78" s="19">
        <f>IFERROR(DATEDIF(Table24[[#This Row],[Date of Call]],Table24[[#This Row],[Follow-up Date]],"D"),"Cannot be calculated")</f>
        <v>0</v>
      </c>
      <c r="AN178" s="19" t="str">
        <f>IF(OR(Table24[[#This Row],[Client Age]]&lt;18,Table24[[#This Row],[If client DOB unknown, is client under 18?]]="Yes"),"Yes","No")</f>
        <v>No</v>
      </c>
      <c r="AO178" s="13" t="str">
        <f>IF(Table24[[#This Row],[Time of Inital Call]]="","",IFERROR(MROUND(Table24[[#This Row],[Time of Inital Call]],"1:00"),""))</f>
        <v/>
      </c>
      <c r="AP178" s="19" t="str">
        <f>IF(Table24[[#This Row],[Date of Call]]="","",TEXT(Table24[[#This Row],[Date of Call]],"dddd"))</f>
        <v/>
      </c>
      <c r="AQ178" s="19" t="str">
        <f>IFERROR(VLOOKUP(Table24[[#This Row],[Residence Zip Code]],Table27[],3,FALSE),"")</f>
        <v/>
      </c>
    </row>
    <row r="179" spans="1:43" x14ac:dyDescent="0.25">
      <c r="A179" s="10"/>
      <c r="C179" s="10"/>
      <c r="D179" s="11"/>
      <c r="E179" s="12"/>
      <c r="F179" s="12"/>
      <c r="G179" s="12"/>
      <c r="H179" s="10"/>
      <c r="I179" s="12"/>
      <c r="J179" s="12"/>
      <c r="K179" s="12"/>
      <c r="L179" s="12"/>
      <c r="M179" s="16"/>
      <c r="N179" s="18"/>
      <c r="O179" s="13"/>
      <c r="P179" s="13"/>
      <c r="Q179" s="13"/>
      <c r="R179" s="18"/>
      <c r="S179" s="13"/>
      <c r="T179" s="13"/>
      <c r="U179" s="10"/>
      <c r="V179" s="2"/>
      <c r="X179" s="13"/>
      <c r="Y179" s="3"/>
      <c r="Z179" s="3"/>
      <c r="AA179" s="12"/>
      <c r="AB179" s="10"/>
      <c r="AC179" s="10"/>
      <c r="AD179" s="10"/>
      <c r="AE179" s="10"/>
      <c r="AI179" s="35"/>
      <c r="AJ179"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79" s="19" t="str">
        <f>IFERROR(IF(OR(TRIM(Table24[[#This Row],[DOB]])="",TRIM(Table24[[#This Row],[Date of Call]])=""),"Cannot be calculated",DATEDIF(Table24[[#This Row],[DOB]],Table24[[#This Row],[Date of Call]],"Y")),"Cannot be calculated")</f>
        <v>Cannot be calculated</v>
      </c>
      <c r="AL179"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79" s="19">
        <f>IFERROR(DATEDIF(Table24[[#This Row],[Date of Call]],Table24[[#This Row],[Follow-up Date]],"D"),"Cannot be calculated")</f>
        <v>0</v>
      </c>
      <c r="AN179" s="19" t="str">
        <f>IF(OR(Table24[[#This Row],[Client Age]]&lt;18,Table24[[#This Row],[If client DOB unknown, is client under 18?]]="Yes"),"Yes","No")</f>
        <v>No</v>
      </c>
      <c r="AO179" s="13" t="str">
        <f>IF(Table24[[#This Row],[Time of Inital Call]]="","",IFERROR(MROUND(Table24[[#This Row],[Time of Inital Call]],"1:00"),""))</f>
        <v/>
      </c>
      <c r="AP179" s="19" t="str">
        <f>IF(Table24[[#This Row],[Date of Call]]="","",TEXT(Table24[[#This Row],[Date of Call]],"dddd"))</f>
        <v/>
      </c>
      <c r="AQ179" s="19" t="str">
        <f>IFERROR(VLOOKUP(Table24[[#This Row],[Residence Zip Code]],Table27[],3,FALSE),"")</f>
        <v/>
      </c>
    </row>
    <row r="180" spans="1:43" x14ac:dyDescent="0.25">
      <c r="A180" s="10"/>
      <c r="C180" s="10"/>
      <c r="D180" s="11"/>
      <c r="E180" s="12"/>
      <c r="F180" s="12"/>
      <c r="G180" s="12"/>
      <c r="H180" s="10"/>
      <c r="I180" s="12"/>
      <c r="J180" s="12"/>
      <c r="K180" s="12"/>
      <c r="L180" s="12"/>
      <c r="M180" s="16"/>
      <c r="N180" s="18"/>
      <c r="O180" s="13"/>
      <c r="P180" s="13"/>
      <c r="Q180" s="13"/>
      <c r="R180" s="18"/>
      <c r="S180" s="13"/>
      <c r="T180" s="13"/>
      <c r="U180" s="10"/>
      <c r="V180" s="2"/>
      <c r="X180" s="13"/>
      <c r="Y180" s="3"/>
      <c r="Z180" s="3"/>
      <c r="AA180" s="12"/>
      <c r="AB180" s="10"/>
      <c r="AC180" s="10"/>
      <c r="AD180" s="10"/>
      <c r="AE180" s="10"/>
      <c r="AI180" s="35"/>
      <c r="AJ180"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80" s="19" t="str">
        <f>IFERROR(IF(OR(TRIM(Table24[[#This Row],[DOB]])="",TRIM(Table24[[#This Row],[Date of Call]])=""),"Cannot be calculated",DATEDIF(Table24[[#This Row],[DOB]],Table24[[#This Row],[Date of Call]],"Y")),"Cannot be calculated")</f>
        <v>Cannot be calculated</v>
      </c>
      <c r="AL180"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80" s="19">
        <f>IFERROR(DATEDIF(Table24[[#This Row],[Date of Call]],Table24[[#This Row],[Follow-up Date]],"D"),"Cannot be calculated")</f>
        <v>0</v>
      </c>
      <c r="AN180" s="19" t="str">
        <f>IF(OR(Table24[[#This Row],[Client Age]]&lt;18,Table24[[#This Row],[If client DOB unknown, is client under 18?]]="Yes"),"Yes","No")</f>
        <v>No</v>
      </c>
      <c r="AO180" s="13" t="str">
        <f>IF(Table24[[#This Row],[Time of Inital Call]]="","",IFERROR(MROUND(Table24[[#This Row],[Time of Inital Call]],"1:00"),""))</f>
        <v/>
      </c>
      <c r="AP180" s="19" t="str">
        <f>IF(Table24[[#This Row],[Date of Call]]="","",TEXT(Table24[[#This Row],[Date of Call]],"dddd"))</f>
        <v/>
      </c>
      <c r="AQ180" s="19" t="str">
        <f>IFERROR(VLOOKUP(Table24[[#This Row],[Residence Zip Code]],Table27[],3,FALSE),"")</f>
        <v/>
      </c>
    </row>
    <row r="181" spans="1:43" x14ac:dyDescent="0.25">
      <c r="A181" s="10"/>
      <c r="C181" s="10"/>
      <c r="D181" s="11"/>
      <c r="E181" s="12"/>
      <c r="F181" s="12"/>
      <c r="G181" s="12"/>
      <c r="H181" s="10"/>
      <c r="I181" s="12"/>
      <c r="J181" s="12"/>
      <c r="K181" s="12"/>
      <c r="L181" s="12"/>
      <c r="M181" s="16"/>
      <c r="N181" s="18"/>
      <c r="O181" s="13"/>
      <c r="P181" s="13"/>
      <c r="Q181" s="13"/>
      <c r="R181" s="18"/>
      <c r="S181" s="13"/>
      <c r="T181" s="13"/>
      <c r="U181" s="10"/>
      <c r="V181" s="2"/>
      <c r="X181" s="13"/>
      <c r="Y181" s="3"/>
      <c r="Z181" s="3"/>
      <c r="AA181" s="12"/>
      <c r="AB181" s="10"/>
      <c r="AC181" s="10"/>
      <c r="AD181" s="10"/>
      <c r="AE181" s="10"/>
      <c r="AI181" s="35"/>
      <c r="AJ181"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81" s="19" t="str">
        <f>IFERROR(IF(OR(TRIM(Table24[[#This Row],[DOB]])="",TRIM(Table24[[#This Row],[Date of Call]])=""),"Cannot be calculated",DATEDIF(Table24[[#This Row],[DOB]],Table24[[#This Row],[Date of Call]],"Y")),"Cannot be calculated")</f>
        <v>Cannot be calculated</v>
      </c>
      <c r="AL181"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81" s="19">
        <f>IFERROR(DATEDIF(Table24[[#This Row],[Date of Call]],Table24[[#This Row],[Follow-up Date]],"D"),"Cannot be calculated")</f>
        <v>0</v>
      </c>
      <c r="AN181" s="19" t="str">
        <f>IF(OR(Table24[[#This Row],[Client Age]]&lt;18,Table24[[#This Row],[If client DOB unknown, is client under 18?]]="Yes"),"Yes","No")</f>
        <v>No</v>
      </c>
      <c r="AO181" s="13" t="str">
        <f>IF(Table24[[#This Row],[Time of Inital Call]]="","",IFERROR(MROUND(Table24[[#This Row],[Time of Inital Call]],"1:00"),""))</f>
        <v/>
      </c>
      <c r="AP181" s="19" t="str">
        <f>IF(Table24[[#This Row],[Date of Call]]="","",TEXT(Table24[[#This Row],[Date of Call]],"dddd"))</f>
        <v/>
      </c>
      <c r="AQ181" s="19" t="str">
        <f>IFERROR(VLOOKUP(Table24[[#This Row],[Residence Zip Code]],Table27[],3,FALSE),"")</f>
        <v/>
      </c>
    </row>
    <row r="182" spans="1:43" x14ac:dyDescent="0.25">
      <c r="A182" s="10"/>
      <c r="C182" s="10"/>
      <c r="D182" s="11"/>
      <c r="E182" s="12"/>
      <c r="F182" s="12"/>
      <c r="G182" s="12"/>
      <c r="H182" s="10"/>
      <c r="I182" s="12"/>
      <c r="J182" s="12"/>
      <c r="K182" s="12"/>
      <c r="L182" s="12"/>
      <c r="M182" s="16"/>
      <c r="N182" s="18"/>
      <c r="O182" s="13"/>
      <c r="P182" s="13"/>
      <c r="Q182" s="13"/>
      <c r="R182" s="18"/>
      <c r="S182" s="13"/>
      <c r="T182" s="13"/>
      <c r="U182" s="10"/>
      <c r="V182" s="2"/>
      <c r="X182" s="13"/>
      <c r="Y182" s="3"/>
      <c r="Z182" s="3"/>
      <c r="AA182" s="12"/>
      <c r="AB182" s="10"/>
      <c r="AC182" s="10"/>
      <c r="AD182" s="10"/>
      <c r="AE182" s="10"/>
      <c r="AI182" s="35"/>
      <c r="AJ182"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82" s="19" t="str">
        <f>IFERROR(IF(OR(TRIM(Table24[[#This Row],[DOB]])="",TRIM(Table24[[#This Row],[Date of Call]])=""),"Cannot be calculated",DATEDIF(Table24[[#This Row],[DOB]],Table24[[#This Row],[Date of Call]],"Y")),"Cannot be calculated")</f>
        <v>Cannot be calculated</v>
      </c>
      <c r="AL182"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82" s="19">
        <f>IFERROR(DATEDIF(Table24[[#This Row],[Date of Call]],Table24[[#This Row],[Follow-up Date]],"D"),"Cannot be calculated")</f>
        <v>0</v>
      </c>
      <c r="AN182" s="19" t="str">
        <f>IF(OR(Table24[[#This Row],[Client Age]]&lt;18,Table24[[#This Row],[If client DOB unknown, is client under 18?]]="Yes"),"Yes","No")</f>
        <v>No</v>
      </c>
      <c r="AO182" s="13" t="str">
        <f>IF(Table24[[#This Row],[Time of Inital Call]]="","",IFERROR(MROUND(Table24[[#This Row],[Time of Inital Call]],"1:00"),""))</f>
        <v/>
      </c>
      <c r="AP182" s="19" t="str">
        <f>IF(Table24[[#This Row],[Date of Call]]="","",TEXT(Table24[[#This Row],[Date of Call]],"dddd"))</f>
        <v/>
      </c>
      <c r="AQ182" s="19" t="str">
        <f>IFERROR(VLOOKUP(Table24[[#This Row],[Residence Zip Code]],Table27[],3,FALSE),"")</f>
        <v/>
      </c>
    </row>
    <row r="183" spans="1:43" x14ac:dyDescent="0.25">
      <c r="A183" s="10"/>
      <c r="C183" s="10"/>
      <c r="D183" s="11"/>
      <c r="E183" s="12"/>
      <c r="F183" s="12"/>
      <c r="G183" s="12"/>
      <c r="H183" s="10"/>
      <c r="I183" s="12"/>
      <c r="J183" s="12"/>
      <c r="K183" s="12"/>
      <c r="L183" s="12"/>
      <c r="M183" s="16"/>
      <c r="N183" s="18"/>
      <c r="O183" s="13"/>
      <c r="P183" s="13"/>
      <c r="Q183" s="13"/>
      <c r="R183" s="18"/>
      <c r="S183" s="13"/>
      <c r="T183" s="13"/>
      <c r="U183" s="10"/>
      <c r="V183" s="2"/>
      <c r="X183" s="13"/>
      <c r="Y183" s="3"/>
      <c r="Z183" s="3"/>
      <c r="AA183" s="12"/>
      <c r="AB183" s="10"/>
      <c r="AC183" s="10"/>
      <c r="AD183" s="10"/>
      <c r="AE183" s="10"/>
      <c r="AI183" s="35"/>
      <c r="AJ183"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83" s="19" t="str">
        <f>IFERROR(IF(OR(TRIM(Table24[[#This Row],[DOB]])="",TRIM(Table24[[#This Row],[Date of Call]])=""),"Cannot be calculated",DATEDIF(Table24[[#This Row],[DOB]],Table24[[#This Row],[Date of Call]],"Y")),"Cannot be calculated")</f>
        <v>Cannot be calculated</v>
      </c>
      <c r="AL183"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83" s="19">
        <f>IFERROR(DATEDIF(Table24[[#This Row],[Date of Call]],Table24[[#This Row],[Follow-up Date]],"D"),"Cannot be calculated")</f>
        <v>0</v>
      </c>
      <c r="AN183" s="19" t="str">
        <f>IF(OR(Table24[[#This Row],[Client Age]]&lt;18,Table24[[#This Row],[If client DOB unknown, is client under 18?]]="Yes"),"Yes","No")</f>
        <v>No</v>
      </c>
      <c r="AO183" s="13" t="str">
        <f>IF(Table24[[#This Row],[Time of Inital Call]]="","",IFERROR(MROUND(Table24[[#This Row],[Time of Inital Call]],"1:00"),""))</f>
        <v/>
      </c>
      <c r="AP183" s="19" t="str">
        <f>IF(Table24[[#This Row],[Date of Call]]="","",TEXT(Table24[[#This Row],[Date of Call]],"dddd"))</f>
        <v/>
      </c>
      <c r="AQ183" s="19" t="str">
        <f>IFERROR(VLOOKUP(Table24[[#This Row],[Residence Zip Code]],Table27[],3,FALSE),"")</f>
        <v/>
      </c>
    </row>
    <row r="184" spans="1:43" x14ac:dyDescent="0.25">
      <c r="A184" s="10"/>
      <c r="C184" s="10"/>
      <c r="D184" s="11"/>
      <c r="E184" s="12"/>
      <c r="F184" s="12"/>
      <c r="G184" s="12"/>
      <c r="H184" s="10"/>
      <c r="I184" s="12"/>
      <c r="J184" s="12"/>
      <c r="K184" s="12"/>
      <c r="L184" s="12"/>
      <c r="M184" s="16"/>
      <c r="N184" s="18"/>
      <c r="O184" s="13"/>
      <c r="P184" s="13"/>
      <c r="Q184" s="13"/>
      <c r="R184" s="18"/>
      <c r="S184" s="13"/>
      <c r="T184" s="13"/>
      <c r="U184" s="10"/>
      <c r="V184" s="2"/>
      <c r="X184" s="13"/>
      <c r="Y184" s="3"/>
      <c r="Z184" s="3"/>
      <c r="AA184" s="12"/>
      <c r="AB184" s="10"/>
      <c r="AC184" s="10"/>
      <c r="AD184" s="10"/>
      <c r="AE184" s="10"/>
      <c r="AI184" s="35"/>
      <c r="AJ184"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84" s="19" t="str">
        <f>IFERROR(IF(OR(TRIM(Table24[[#This Row],[DOB]])="",TRIM(Table24[[#This Row],[Date of Call]])=""),"Cannot be calculated",DATEDIF(Table24[[#This Row],[DOB]],Table24[[#This Row],[Date of Call]],"Y")),"Cannot be calculated")</f>
        <v>Cannot be calculated</v>
      </c>
      <c r="AL184"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84" s="19">
        <f>IFERROR(DATEDIF(Table24[[#This Row],[Date of Call]],Table24[[#This Row],[Follow-up Date]],"D"),"Cannot be calculated")</f>
        <v>0</v>
      </c>
      <c r="AN184" s="19" t="str">
        <f>IF(OR(Table24[[#This Row],[Client Age]]&lt;18,Table24[[#This Row],[If client DOB unknown, is client under 18?]]="Yes"),"Yes","No")</f>
        <v>No</v>
      </c>
      <c r="AO184" s="13" t="str">
        <f>IF(Table24[[#This Row],[Time of Inital Call]]="","",IFERROR(MROUND(Table24[[#This Row],[Time of Inital Call]],"1:00"),""))</f>
        <v/>
      </c>
      <c r="AP184" s="19" t="str">
        <f>IF(Table24[[#This Row],[Date of Call]]="","",TEXT(Table24[[#This Row],[Date of Call]],"dddd"))</f>
        <v/>
      </c>
      <c r="AQ184" s="19" t="str">
        <f>IFERROR(VLOOKUP(Table24[[#This Row],[Residence Zip Code]],Table27[],3,FALSE),"")</f>
        <v/>
      </c>
    </row>
    <row r="185" spans="1:43" x14ac:dyDescent="0.25">
      <c r="A185" s="10"/>
      <c r="C185" s="10"/>
      <c r="D185" s="11"/>
      <c r="E185" s="12"/>
      <c r="F185" s="12"/>
      <c r="G185" s="12"/>
      <c r="H185" s="10"/>
      <c r="I185" s="12"/>
      <c r="J185" s="12"/>
      <c r="K185" s="12"/>
      <c r="L185" s="12"/>
      <c r="M185" s="16"/>
      <c r="N185" s="18"/>
      <c r="O185" s="13"/>
      <c r="P185" s="13"/>
      <c r="Q185" s="13"/>
      <c r="R185" s="18"/>
      <c r="S185" s="13"/>
      <c r="T185" s="13"/>
      <c r="U185" s="10"/>
      <c r="V185" s="2"/>
      <c r="X185" s="13"/>
      <c r="Y185" s="3"/>
      <c r="Z185" s="3"/>
      <c r="AA185" s="12"/>
      <c r="AB185" s="10"/>
      <c r="AC185" s="10"/>
      <c r="AD185" s="10"/>
      <c r="AE185" s="10"/>
      <c r="AI185" s="35"/>
      <c r="AJ185"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85" s="19" t="str">
        <f>IFERROR(IF(OR(TRIM(Table24[[#This Row],[DOB]])="",TRIM(Table24[[#This Row],[Date of Call]])=""),"Cannot be calculated",DATEDIF(Table24[[#This Row],[DOB]],Table24[[#This Row],[Date of Call]],"Y")),"Cannot be calculated")</f>
        <v>Cannot be calculated</v>
      </c>
      <c r="AL185"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85" s="19">
        <f>IFERROR(DATEDIF(Table24[[#This Row],[Date of Call]],Table24[[#This Row],[Follow-up Date]],"D"),"Cannot be calculated")</f>
        <v>0</v>
      </c>
      <c r="AN185" s="19" t="str">
        <f>IF(OR(Table24[[#This Row],[Client Age]]&lt;18,Table24[[#This Row],[If client DOB unknown, is client under 18?]]="Yes"),"Yes","No")</f>
        <v>No</v>
      </c>
      <c r="AO185" s="13" t="str">
        <f>IF(Table24[[#This Row],[Time of Inital Call]]="","",IFERROR(MROUND(Table24[[#This Row],[Time of Inital Call]],"1:00"),""))</f>
        <v/>
      </c>
      <c r="AP185" s="19" t="str">
        <f>IF(Table24[[#This Row],[Date of Call]]="","",TEXT(Table24[[#This Row],[Date of Call]],"dddd"))</f>
        <v/>
      </c>
      <c r="AQ185" s="19" t="str">
        <f>IFERROR(VLOOKUP(Table24[[#This Row],[Residence Zip Code]],Table27[],3,FALSE),"")</f>
        <v/>
      </c>
    </row>
    <row r="186" spans="1:43" x14ac:dyDescent="0.25">
      <c r="A186" s="10"/>
      <c r="C186" s="10"/>
      <c r="D186" s="11"/>
      <c r="E186" s="12"/>
      <c r="F186" s="12"/>
      <c r="G186" s="12"/>
      <c r="H186" s="10"/>
      <c r="I186" s="12"/>
      <c r="J186" s="12"/>
      <c r="K186" s="12"/>
      <c r="L186" s="12"/>
      <c r="M186" s="16"/>
      <c r="N186" s="18"/>
      <c r="O186" s="13"/>
      <c r="P186" s="13"/>
      <c r="Q186" s="13"/>
      <c r="R186" s="18"/>
      <c r="S186" s="13"/>
      <c r="T186" s="13"/>
      <c r="U186" s="10"/>
      <c r="V186" s="2"/>
      <c r="X186" s="13"/>
      <c r="Y186" s="3"/>
      <c r="Z186" s="3"/>
      <c r="AA186" s="12"/>
      <c r="AB186" s="10"/>
      <c r="AC186" s="10"/>
      <c r="AD186" s="10"/>
      <c r="AE186" s="10"/>
      <c r="AI186" s="35"/>
      <c r="AJ186"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86" s="19" t="str">
        <f>IFERROR(IF(OR(TRIM(Table24[[#This Row],[DOB]])="",TRIM(Table24[[#This Row],[Date of Call]])=""),"Cannot be calculated",DATEDIF(Table24[[#This Row],[DOB]],Table24[[#This Row],[Date of Call]],"Y")),"Cannot be calculated")</f>
        <v>Cannot be calculated</v>
      </c>
      <c r="AL186"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86" s="19">
        <f>IFERROR(DATEDIF(Table24[[#This Row],[Date of Call]],Table24[[#This Row],[Follow-up Date]],"D"),"Cannot be calculated")</f>
        <v>0</v>
      </c>
      <c r="AN186" s="19" t="str">
        <f>IF(OR(Table24[[#This Row],[Client Age]]&lt;18,Table24[[#This Row],[If client DOB unknown, is client under 18?]]="Yes"),"Yes","No")</f>
        <v>No</v>
      </c>
      <c r="AO186" s="13" t="str">
        <f>IF(Table24[[#This Row],[Time of Inital Call]]="","",IFERROR(MROUND(Table24[[#This Row],[Time of Inital Call]],"1:00"),""))</f>
        <v/>
      </c>
      <c r="AP186" s="19" t="str">
        <f>IF(Table24[[#This Row],[Date of Call]]="","",TEXT(Table24[[#This Row],[Date of Call]],"dddd"))</f>
        <v/>
      </c>
      <c r="AQ186" s="19" t="str">
        <f>IFERROR(VLOOKUP(Table24[[#This Row],[Residence Zip Code]],Table27[],3,FALSE),"")</f>
        <v/>
      </c>
    </row>
    <row r="187" spans="1:43" x14ac:dyDescent="0.25">
      <c r="A187" s="10"/>
      <c r="C187" s="10"/>
      <c r="D187" s="11"/>
      <c r="E187" s="12"/>
      <c r="F187" s="12"/>
      <c r="G187" s="12"/>
      <c r="H187" s="10"/>
      <c r="I187" s="12"/>
      <c r="J187" s="12"/>
      <c r="K187" s="12"/>
      <c r="L187" s="12"/>
      <c r="M187" s="16"/>
      <c r="N187" s="18"/>
      <c r="O187" s="13"/>
      <c r="P187" s="13"/>
      <c r="Q187" s="13"/>
      <c r="R187" s="18"/>
      <c r="S187" s="13"/>
      <c r="T187" s="13"/>
      <c r="U187" s="10"/>
      <c r="V187" s="2"/>
      <c r="X187" s="13"/>
      <c r="Y187" s="3"/>
      <c r="Z187" s="3"/>
      <c r="AA187" s="12"/>
      <c r="AB187" s="10"/>
      <c r="AC187" s="10"/>
      <c r="AD187" s="10"/>
      <c r="AE187" s="10"/>
      <c r="AI187" s="35"/>
      <c r="AJ187"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87" s="19" t="str">
        <f>IFERROR(IF(OR(TRIM(Table24[[#This Row],[DOB]])="",TRIM(Table24[[#This Row],[Date of Call]])=""),"Cannot be calculated",DATEDIF(Table24[[#This Row],[DOB]],Table24[[#This Row],[Date of Call]],"Y")),"Cannot be calculated")</f>
        <v>Cannot be calculated</v>
      </c>
      <c r="AL187"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87" s="19">
        <f>IFERROR(DATEDIF(Table24[[#This Row],[Date of Call]],Table24[[#This Row],[Follow-up Date]],"D"),"Cannot be calculated")</f>
        <v>0</v>
      </c>
      <c r="AN187" s="19" t="str">
        <f>IF(OR(Table24[[#This Row],[Client Age]]&lt;18,Table24[[#This Row],[If client DOB unknown, is client under 18?]]="Yes"),"Yes","No")</f>
        <v>No</v>
      </c>
      <c r="AO187" s="13" t="str">
        <f>IF(Table24[[#This Row],[Time of Inital Call]]="","",IFERROR(MROUND(Table24[[#This Row],[Time of Inital Call]],"1:00"),""))</f>
        <v/>
      </c>
      <c r="AP187" s="19" t="str">
        <f>IF(Table24[[#This Row],[Date of Call]]="","",TEXT(Table24[[#This Row],[Date of Call]],"dddd"))</f>
        <v/>
      </c>
      <c r="AQ187" s="19" t="str">
        <f>IFERROR(VLOOKUP(Table24[[#This Row],[Residence Zip Code]],Table27[],3,FALSE),"")</f>
        <v/>
      </c>
    </row>
    <row r="188" spans="1:43" x14ac:dyDescent="0.25">
      <c r="A188" s="10"/>
      <c r="C188" s="10"/>
      <c r="D188" s="11"/>
      <c r="E188" s="12"/>
      <c r="F188" s="12"/>
      <c r="G188" s="12"/>
      <c r="H188" s="10"/>
      <c r="I188" s="12"/>
      <c r="J188" s="12"/>
      <c r="K188" s="12"/>
      <c r="L188" s="12"/>
      <c r="M188" s="16"/>
      <c r="N188" s="18"/>
      <c r="O188" s="13"/>
      <c r="P188" s="13"/>
      <c r="Q188" s="13"/>
      <c r="R188" s="18"/>
      <c r="S188" s="13"/>
      <c r="T188" s="13"/>
      <c r="U188" s="10"/>
      <c r="V188" s="2"/>
      <c r="X188" s="13"/>
      <c r="Y188" s="3"/>
      <c r="Z188" s="3"/>
      <c r="AA188" s="12"/>
      <c r="AB188" s="10"/>
      <c r="AC188" s="10"/>
      <c r="AD188" s="10"/>
      <c r="AE188" s="10"/>
      <c r="AI188" s="35"/>
      <c r="AJ188"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88" s="19" t="str">
        <f>IFERROR(IF(OR(TRIM(Table24[[#This Row],[DOB]])="",TRIM(Table24[[#This Row],[Date of Call]])=""),"Cannot be calculated",DATEDIF(Table24[[#This Row],[DOB]],Table24[[#This Row],[Date of Call]],"Y")),"Cannot be calculated")</f>
        <v>Cannot be calculated</v>
      </c>
      <c r="AL188"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88" s="19">
        <f>IFERROR(DATEDIF(Table24[[#This Row],[Date of Call]],Table24[[#This Row],[Follow-up Date]],"D"),"Cannot be calculated")</f>
        <v>0</v>
      </c>
      <c r="AN188" s="19" t="str">
        <f>IF(OR(Table24[[#This Row],[Client Age]]&lt;18,Table24[[#This Row],[If client DOB unknown, is client under 18?]]="Yes"),"Yes","No")</f>
        <v>No</v>
      </c>
      <c r="AO188" s="13" t="str">
        <f>IF(Table24[[#This Row],[Time of Inital Call]]="","",IFERROR(MROUND(Table24[[#This Row],[Time of Inital Call]],"1:00"),""))</f>
        <v/>
      </c>
      <c r="AP188" s="19" t="str">
        <f>IF(Table24[[#This Row],[Date of Call]]="","",TEXT(Table24[[#This Row],[Date of Call]],"dddd"))</f>
        <v/>
      </c>
      <c r="AQ188" s="19" t="str">
        <f>IFERROR(VLOOKUP(Table24[[#This Row],[Residence Zip Code]],Table27[],3,FALSE),"")</f>
        <v/>
      </c>
    </row>
    <row r="189" spans="1:43" x14ac:dyDescent="0.25">
      <c r="A189" s="10"/>
      <c r="C189" s="10"/>
      <c r="D189" s="11"/>
      <c r="E189" s="12"/>
      <c r="F189" s="12"/>
      <c r="G189" s="12"/>
      <c r="H189" s="10"/>
      <c r="I189" s="12"/>
      <c r="J189" s="12"/>
      <c r="K189" s="12"/>
      <c r="L189" s="12"/>
      <c r="M189" s="16"/>
      <c r="N189" s="18"/>
      <c r="O189" s="13"/>
      <c r="P189" s="13"/>
      <c r="Q189" s="13"/>
      <c r="R189" s="18"/>
      <c r="S189" s="13"/>
      <c r="T189" s="13"/>
      <c r="U189" s="10"/>
      <c r="V189" s="2"/>
      <c r="X189" s="13"/>
      <c r="Y189" s="3"/>
      <c r="Z189" s="3"/>
      <c r="AA189" s="12"/>
      <c r="AB189" s="10"/>
      <c r="AC189" s="10"/>
      <c r="AD189" s="10"/>
      <c r="AE189" s="10"/>
      <c r="AI189" s="35"/>
      <c r="AJ189"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89" s="19" t="str">
        <f>IFERROR(IF(OR(TRIM(Table24[[#This Row],[DOB]])="",TRIM(Table24[[#This Row],[Date of Call]])=""),"Cannot be calculated",DATEDIF(Table24[[#This Row],[DOB]],Table24[[#This Row],[Date of Call]],"Y")),"Cannot be calculated")</f>
        <v>Cannot be calculated</v>
      </c>
      <c r="AL189"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89" s="19">
        <f>IFERROR(DATEDIF(Table24[[#This Row],[Date of Call]],Table24[[#This Row],[Follow-up Date]],"D"),"Cannot be calculated")</f>
        <v>0</v>
      </c>
      <c r="AN189" s="19" t="str">
        <f>IF(OR(Table24[[#This Row],[Client Age]]&lt;18,Table24[[#This Row],[If client DOB unknown, is client under 18?]]="Yes"),"Yes","No")</f>
        <v>No</v>
      </c>
      <c r="AO189" s="13" t="str">
        <f>IF(Table24[[#This Row],[Time of Inital Call]]="","",IFERROR(MROUND(Table24[[#This Row],[Time of Inital Call]],"1:00"),""))</f>
        <v/>
      </c>
      <c r="AP189" s="19" t="str">
        <f>IF(Table24[[#This Row],[Date of Call]]="","",TEXT(Table24[[#This Row],[Date of Call]],"dddd"))</f>
        <v/>
      </c>
      <c r="AQ189" s="19" t="str">
        <f>IFERROR(VLOOKUP(Table24[[#This Row],[Residence Zip Code]],Table27[],3,FALSE),"")</f>
        <v/>
      </c>
    </row>
    <row r="190" spans="1:43" x14ac:dyDescent="0.25">
      <c r="A190" s="10"/>
      <c r="C190" s="10"/>
      <c r="D190" s="11"/>
      <c r="E190" s="12"/>
      <c r="F190" s="12"/>
      <c r="G190" s="12"/>
      <c r="H190" s="10"/>
      <c r="I190" s="12"/>
      <c r="J190" s="12"/>
      <c r="K190" s="12"/>
      <c r="L190" s="12"/>
      <c r="M190" s="16"/>
      <c r="N190" s="18"/>
      <c r="O190" s="13"/>
      <c r="P190" s="13"/>
      <c r="Q190" s="13"/>
      <c r="R190" s="18"/>
      <c r="S190" s="13"/>
      <c r="T190" s="13"/>
      <c r="U190" s="10"/>
      <c r="V190" s="2"/>
      <c r="X190" s="13"/>
      <c r="Y190" s="3"/>
      <c r="Z190" s="3"/>
      <c r="AA190" s="12"/>
      <c r="AB190" s="10"/>
      <c r="AC190" s="10"/>
      <c r="AD190" s="10"/>
      <c r="AE190" s="10"/>
      <c r="AI190" s="35"/>
      <c r="AJ190"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90" s="19" t="str">
        <f>IFERROR(IF(OR(TRIM(Table24[[#This Row],[DOB]])="",TRIM(Table24[[#This Row],[Date of Call]])=""),"Cannot be calculated",DATEDIF(Table24[[#This Row],[DOB]],Table24[[#This Row],[Date of Call]],"Y")),"Cannot be calculated")</f>
        <v>Cannot be calculated</v>
      </c>
      <c r="AL190"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90" s="19">
        <f>IFERROR(DATEDIF(Table24[[#This Row],[Date of Call]],Table24[[#This Row],[Follow-up Date]],"D"),"Cannot be calculated")</f>
        <v>0</v>
      </c>
      <c r="AN190" s="19" t="str">
        <f>IF(OR(Table24[[#This Row],[Client Age]]&lt;18,Table24[[#This Row],[If client DOB unknown, is client under 18?]]="Yes"),"Yes","No")</f>
        <v>No</v>
      </c>
      <c r="AO190" s="13" t="str">
        <f>IF(Table24[[#This Row],[Time of Inital Call]]="","",IFERROR(MROUND(Table24[[#This Row],[Time of Inital Call]],"1:00"),""))</f>
        <v/>
      </c>
      <c r="AP190" s="19" t="str">
        <f>IF(Table24[[#This Row],[Date of Call]]="","",TEXT(Table24[[#This Row],[Date of Call]],"dddd"))</f>
        <v/>
      </c>
      <c r="AQ190" s="19" t="str">
        <f>IFERROR(VLOOKUP(Table24[[#This Row],[Residence Zip Code]],Table27[],3,FALSE),"")</f>
        <v/>
      </c>
    </row>
    <row r="191" spans="1:43" x14ac:dyDescent="0.25">
      <c r="A191" s="10"/>
      <c r="C191" s="10"/>
      <c r="D191" s="11"/>
      <c r="E191" s="12"/>
      <c r="F191" s="12"/>
      <c r="G191" s="12"/>
      <c r="H191" s="10"/>
      <c r="I191" s="12"/>
      <c r="J191" s="12"/>
      <c r="K191" s="12"/>
      <c r="L191" s="12"/>
      <c r="M191" s="16"/>
      <c r="N191" s="18"/>
      <c r="O191" s="13"/>
      <c r="P191" s="13"/>
      <c r="Q191" s="13"/>
      <c r="R191" s="18"/>
      <c r="S191" s="13"/>
      <c r="T191" s="13"/>
      <c r="U191" s="10"/>
      <c r="V191" s="2"/>
      <c r="X191" s="13"/>
      <c r="Y191" s="3"/>
      <c r="Z191" s="3"/>
      <c r="AA191" s="12"/>
      <c r="AB191" s="10"/>
      <c r="AC191" s="10"/>
      <c r="AD191" s="10"/>
      <c r="AE191" s="10"/>
      <c r="AI191" s="35"/>
      <c r="AJ191"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91" s="19" t="str">
        <f>IFERROR(IF(OR(TRIM(Table24[[#This Row],[DOB]])="",TRIM(Table24[[#This Row],[Date of Call]])=""),"Cannot be calculated",DATEDIF(Table24[[#This Row],[DOB]],Table24[[#This Row],[Date of Call]],"Y")),"Cannot be calculated")</f>
        <v>Cannot be calculated</v>
      </c>
      <c r="AL191"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91" s="19">
        <f>IFERROR(DATEDIF(Table24[[#This Row],[Date of Call]],Table24[[#This Row],[Follow-up Date]],"D"),"Cannot be calculated")</f>
        <v>0</v>
      </c>
      <c r="AN191" s="19" t="str">
        <f>IF(OR(Table24[[#This Row],[Client Age]]&lt;18,Table24[[#This Row],[If client DOB unknown, is client under 18?]]="Yes"),"Yes","No")</f>
        <v>No</v>
      </c>
      <c r="AO191" s="13" t="str">
        <f>IF(Table24[[#This Row],[Time of Inital Call]]="","",IFERROR(MROUND(Table24[[#This Row],[Time of Inital Call]],"1:00"),""))</f>
        <v/>
      </c>
      <c r="AP191" s="19" t="str">
        <f>IF(Table24[[#This Row],[Date of Call]]="","",TEXT(Table24[[#This Row],[Date of Call]],"dddd"))</f>
        <v/>
      </c>
      <c r="AQ191" s="19" t="str">
        <f>IFERROR(VLOOKUP(Table24[[#This Row],[Residence Zip Code]],Table27[],3,FALSE),"")</f>
        <v/>
      </c>
    </row>
    <row r="192" spans="1:43" x14ac:dyDescent="0.25">
      <c r="A192" s="10"/>
      <c r="C192" s="10"/>
      <c r="D192" s="11"/>
      <c r="E192" s="12"/>
      <c r="F192" s="12"/>
      <c r="G192" s="12"/>
      <c r="H192" s="10"/>
      <c r="I192" s="12"/>
      <c r="J192" s="12"/>
      <c r="K192" s="12"/>
      <c r="L192" s="12"/>
      <c r="M192" s="16"/>
      <c r="N192" s="18"/>
      <c r="O192" s="13"/>
      <c r="P192" s="13"/>
      <c r="Q192" s="13"/>
      <c r="R192" s="18"/>
      <c r="S192" s="13"/>
      <c r="T192" s="13"/>
      <c r="U192" s="10"/>
      <c r="V192" s="2"/>
      <c r="X192" s="13"/>
      <c r="Y192" s="3"/>
      <c r="Z192" s="3"/>
      <c r="AA192" s="12"/>
      <c r="AB192" s="10"/>
      <c r="AC192" s="10"/>
      <c r="AD192" s="10"/>
      <c r="AE192" s="10"/>
      <c r="AI192" s="35"/>
      <c r="AJ192"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92" s="19" t="str">
        <f>IFERROR(IF(OR(TRIM(Table24[[#This Row],[DOB]])="",TRIM(Table24[[#This Row],[Date of Call]])=""),"Cannot be calculated",DATEDIF(Table24[[#This Row],[DOB]],Table24[[#This Row],[Date of Call]],"Y")),"Cannot be calculated")</f>
        <v>Cannot be calculated</v>
      </c>
      <c r="AL192"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92" s="19">
        <f>IFERROR(DATEDIF(Table24[[#This Row],[Date of Call]],Table24[[#This Row],[Follow-up Date]],"D"),"Cannot be calculated")</f>
        <v>0</v>
      </c>
      <c r="AN192" s="19" t="str">
        <f>IF(OR(Table24[[#This Row],[Client Age]]&lt;18,Table24[[#This Row],[If client DOB unknown, is client under 18?]]="Yes"),"Yes","No")</f>
        <v>No</v>
      </c>
      <c r="AO192" s="13" t="str">
        <f>IF(Table24[[#This Row],[Time of Inital Call]]="","",IFERROR(MROUND(Table24[[#This Row],[Time of Inital Call]],"1:00"),""))</f>
        <v/>
      </c>
      <c r="AP192" s="19" t="str">
        <f>IF(Table24[[#This Row],[Date of Call]]="","",TEXT(Table24[[#This Row],[Date of Call]],"dddd"))</f>
        <v/>
      </c>
      <c r="AQ192" s="19" t="str">
        <f>IFERROR(VLOOKUP(Table24[[#This Row],[Residence Zip Code]],Table27[],3,FALSE),"")</f>
        <v/>
      </c>
    </row>
    <row r="193" spans="1:43" x14ac:dyDescent="0.25">
      <c r="A193" s="10"/>
      <c r="C193" s="10"/>
      <c r="D193" s="11"/>
      <c r="E193" s="12"/>
      <c r="F193" s="12"/>
      <c r="G193" s="12"/>
      <c r="H193" s="10"/>
      <c r="I193" s="12"/>
      <c r="J193" s="12"/>
      <c r="K193" s="12"/>
      <c r="L193" s="12"/>
      <c r="M193" s="16"/>
      <c r="N193" s="18"/>
      <c r="O193" s="13"/>
      <c r="P193" s="13"/>
      <c r="Q193" s="13"/>
      <c r="R193" s="18"/>
      <c r="S193" s="13"/>
      <c r="T193" s="13"/>
      <c r="U193" s="10"/>
      <c r="V193" s="2"/>
      <c r="X193" s="13"/>
      <c r="Y193" s="3"/>
      <c r="Z193" s="3"/>
      <c r="AA193" s="12"/>
      <c r="AB193" s="10"/>
      <c r="AC193" s="10"/>
      <c r="AD193" s="10"/>
      <c r="AE193" s="10"/>
      <c r="AI193" s="35"/>
      <c r="AJ193"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93" s="19" t="str">
        <f>IFERROR(IF(OR(TRIM(Table24[[#This Row],[DOB]])="",TRIM(Table24[[#This Row],[Date of Call]])=""),"Cannot be calculated",DATEDIF(Table24[[#This Row],[DOB]],Table24[[#This Row],[Date of Call]],"Y")),"Cannot be calculated")</f>
        <v>Cannot be calculated</v>
      </c>
      <c r="AL193"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93" s="19">
        <f>IFERROR(DATEDIF(Table24[[#This Row],[Date of Call]],Table24[[#This Row],[Follow-up Date]],"D"),"Cannot be calculated")</f>
        <v>0</v>
      </c>
      <c r="AN193" s="19" t="str">
        <f>IF(OR(Table24[[#This Row],[Client Age]]&lt;18,Table24[[#This Row],[If client DOB unknown, is client under 18?]]="Yes"),"Yes","No")</f>
        <v>No</v>
      </c>
      <c r="AO193" s="13" t="str">
        <f>IF(Table24[[#This Row],[Time of Inital Call]]="","",IFERROR(MROUND(Table24[[#This Row],[Time of Inital Call]],"1:00"),""))</f>
        <v/>
      </c>
      <c r="AP193" s="19" t="str">
        <f>IF(Table24[[#This Row],[Date of Call]]="","",TEXT(Table24[[#This Row],[Date of Call]],"dddd"))</f>
        <v/>
      </c>
      <c r="AQ193" s="19" t="str">
        <f>IFERROR(VLOOKUP(Table24[[#This Row],[Residence Zip Code]],Table27[],3,FALSE),"")</f>
        <v/>
      </c>
    </row>
    <row r="194" spans="1:43" x14ac:dyDescent="0.25">
      <c r="A194" s="10"/>
      <c r="C194" s="10"/>
      <c r="D194" s="11"/>
      <c r="E194" s="12"/>
      <c r="F194" s="12"/>
      <c r="G194" s="12"/>
      <c r="H194" s="10"/>
      <c r="I194" s="12"/>
      <c r="J194" s="12"/>
      <c r="K194" s="12"/>
      <c r="L194" s="12"/>
      <c r="M194" s="16"/>
      <c r="N194" s="18"/>
      <c r="O194" s="13"/>
      <c r="P194" s="13"/>
      <c r="Q194" s="13"/>
      <c r="R194" s="18"/>
      <c r="S194" s="13"/>
      <c r="T194" s="13"/>
      <c r="U194" s="10"/>
      <c r="V194" s="2"/>
      <c r="X194" s="13"/>
      <c r="Y194" s="3"/>
      <c r="Z194" s="3"/>
      <c r="AA194" s="12"/>
      <c r="AB194" s="10"/>
      <c r="AC194" s="10"/>
      <c r="AD194" s="10"/>
      <c r="AE194" s="10"/>
      <c r="AI194" s="35"/>
      <c r="AJ194"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94" s="19" t="str">
        <f>IFERROR(IF(OR(TRIM(Table24[[#This Row],[DOB]])="",TRIM(Table24[[#This Row],[Date of Call]])=""),"Cannot be calculated",DATEDIF(Table24[[#This Row],[DOB]],Table24[[#This Row],[Date of Call]],"Y")),"Cannot be calculated")</f>
        <v>Cannot be calculated</v>
      </c>
      <c r="AL194"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94" s="19">
        <f>IFERROR(DATEDIF(Table24[[#This Row],[Date of Call]],Table24[[#This Row],[Follow-up Date]],"D"),"Cannot be calculated")</f>
        <v>0</v>
      </c>
      <c r="AN194" s="19" t="str">
        <f>IF(OR(Table24[[#This Row],[Client Age]]&lt;18,Table24[[#This Row],[If client DOB unknown, is client under 18?]]="Yes"),"Yes","No")</f>
        <v>No</v>
      </c>
      <c r="AO194" s="13" t="str">
        <f>IF(Table24[[#This Row],[Time of Inital Call]]="","",IFERROR(MROUND(Table24[[#This Row],[Time of Inital Call]],"1:00"),""))</f>
        <v/>
      </c>
      <c r="AP194" s="19" t="str">
        <f>IF(Table24[[#This Row],[Date of Call]]="","",TEXT(Table24[[#This Row],[Date of Call]],"dddd"))</f>
        <v/>
      </c>
      <c r="AQ194" s="19" t="str">
        <f>IFERROR(VLOOKUP(Table24[[#This Row],[Residence Zip Code]],Table27[],3,FALSE),"")</f>
        <v/>
      </c>
    </row>
    <row r="195" spans="1:43" x14ac:dyDescent="0.25">
      <c r="A195" s="10"/>
      <c r="C195" s="10"/>
      <c r="D195" s="11"/>
      <c r="E195" s="12"/>
      <c r="F195" s="12"/>
      <c r="G195" s="12"/>
      <c r="H195" s="10"/>
      <c r="I195" s="12"/>
      <c r="J195" s="12"/>
      <c r="K195" s="12"/>
      <c r="L195" s="12"/>
      <c r="M195" s="16"/>
      <c r="N195" s="18"/>
      <c r="O195" s="13"/>
      <c r="P195" s="13"/>
      <c r="Q195" s="13"/>
      <c r="R195" s="18"/>
      <c r="S195" s="13"/>
      <c r="T195" s="13"/>
      <c r="U195" s="10"/>
      <c r="V195" s="2"/>
      <c r="X195" s="13"/>
      <c r="Y195" s="3"/>
      <c r="Z195" s="3"/>
      <c r="AA195" s="12"/>
      <c r="AB195" s="10"/>
      <c r="AC195" s="10"/>
      <c r="AD195" s="10"/>
      <c r="AE195" s="10"/>
      <c r="AI195" s="35"/>
      <c r="AJ195"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95" s="19" t="str">
        <f>IFERROR(IF(OR(TRIM(Table24[[#This Row],[DOB]])="",TRIM(Table24[[#This Row],[Date of Call]])=""),"Cannot be calculated",DATEDIF(Table24[[#This Row],[DOB]],Table24[[#This Row],[Date of Call]],"Y")),"Cannot be calculated")</f>
        <v>Cannot be calculated</v>
      </c>
      <c r="AL195"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95" s="19">
        <f>IFERROR(DATEDIF(Table24[[#This Row],[Date of Call]],Table24[[#This Row],[Follow-up Date]],"D"),"Cannot be calculated")</f>
        <v>0</v>
      </c>
      <c r="AN195" s="19" t="str">
        <f>IF(OR(Table24[[#This Row],[Client Age]]&lt;18,Table24[[#This Row],[If client DOB unknown, is client under 18?]]="Yes"),"Yes","No")</f>
        <v>No</v>
      </c>
      <c r="AO195" s="13" t="str">
        <f>IF(Table24[[#This Row],[Time of Inital Call]]="","",IFERROR(MROUND(Table24[[#This Row],[Time of Inital Call]],"1:00"),""))</f>
        <v/>
      </c>
      <c r="AP195" s="19" t="str">
        <f>IF(Table24[[#This Row],[Date of Call]]="","",TEXT(Table24[[#This Row],[Date of Call]],"dddd"))</f>
        <v/>
      </c>
      <c r="AQ195" s="19" t="str">
        <f>IFERROR(VLOOKUP(Table24[[#This Row],[Residence Zip Code]],Table27[],3,FALSE),"")</f>
        <v/>
      </c>
    </row>
    <row r="196" spans="1:43" x14ac:dyDescent="0.25">
      <c r="A196" s="10"/>
      <c r="C196" s="10"/>
      <c r="D196" s="11"/>
      <c r="E196" s="12"/>
      <c r="F196" s="12"/>
      <c r="G196" s="12"/>
      <c r="H196" s="10"/>
      <c r="I196" s="12"/>
      <c r="J196" s="12"/>
      <c r="K196" s="12"/>
      <c r="L196" s="12"/>
      <c r="M196" s="16"/>
      <c r="N196" s="18"/>
      <c r="O196" s="13"/>
      <c r="P196" s="13"/>
      <c r="Q196" s="13"/>
      <c r="R196" s="18"/>
      <c r="S196" s="13"/>
      <c r="T196" s="13"/>
      <c r="U196" s="10"/>
      <c r="V196" s="2"/>
      <c r="X196" s="13"/>
      <c r="Y196" s="3"/>
      <c r="Z196" s="3"/>
      <c r="AA196" s="12"/>
      <c r="AB196" s="10"/>
      <c r="AC196" s="10"/>
      <c r="AD196" s="10"/>
      <c r="AE196" s="10"/>
      <c r="AI196" s="35"/>
      <c r="AJ196"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96" s="19" t="str">
        <f>IFERROR(IF(OR(TRIM(Table24[[#This Row],[DOB]])="",TRIM(Table24[[#This Row],[Date of Call]])=""),"Cannot be calculated",DATEDIF(Table24[[#This Row],[DOB]],Table24[[#This Row],[Date of Call]],"Y")),"Cannot be calculated")</f>
        <v>Cannot be calculated</v>
      </c>
      <c r="AL196"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96" s="19">
        <f>IFERROR(DATEDIF(Table24[[#This Row],[Date of Call]],Table24[[#This Row],[Follow-up Date]],"D"),"Cannot be calculated")</f>
        <v>0</v>
      </c>
      <c r="AN196" s="19" t="str">
        <f>IF(OR(Table24[[#This Row],[Client Age]]&lt;18,Table24[[#This Row],[If client DOB unknown, is client under 18?]]="Yes"),"Yes","No")</f>
        <v>No</v>
      </c>
      <c r="AO196" s="13" t="str">
        <f>IF(Table24[[#This Row],[Time of Inital Call]]="","",IFERROR(MROUND(Table24[[#This Row],[Time of Inital Call]],"1:00"),""))</f>
        <v/>
      </c>
      <c r="AP196" s="19" t="str">
        <f>IF(Table24[[#This Row],[Date of Call]]="","",TEXT(Table24[[#This Row],[Date of Call]],"dddd"))</f>
        <v/>
      </c>
      <c r="AQ196" s="19" t="str">
        <f>IFERROR(VLOOKUP(Table24[[#This Row],[Residence Zip Code]],Table27[],3,FALSE),"")</f>
        <v/>
      </c>
    </row>
    <row r="197" spans="1:43" x14ac:dyDescent="0.25">
      <c r="A197" s="10"/>
      <c r="C197" s="10"/>
      <c r="D197" s="11"/>
      <c r="E197" s="12"/>
      <c r="F197" s="12"/>
      <c r="G197" s="12"/>
      <c r="H197" s="10"/>
      <c r="I197" s="12"/>
      <c r="J197" s="12"/>
      <c r="K197" s="12"/>
      <c r="L197" s="12"/>
      <c r="M197" s="16"/>
      <c r="N197" s="18"/>
      <c r="O197" s="13"/>
      <c r="P197" s="13"/>
      <c r="Q197" s="13"/>
      <c r="R197" s="18"/>
      <c r="S197" s="13"/>
      <c r="T197" s="13"/>
      <c r="U197" s="10"/>
      <c r="V197" s="2"/>
      <c r="X197" s="13"/>
      <c r="Y197" s="3"/>
      <c r="Z197" s="3"/>
      <c r="AA197" s="12"/>
      <c r="AB197" s="10"/>
      <c r="AC197" s="10"/>
      <c r="AD197" s="10"/>
      <c r="AE197" s="10"/>
      <c r="AI197" s="35"/>
      <c r="AJ197"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97" s="19" t="str">
        <f>IFERROR(IF(OR(TRIM(Table24[[#This Row],[DOB]])="",TRIM(Table24[[#This Row],[Date of Call]])=""),"Cannot be calculated",DATEDIF(Table24[[#This Row],[DOB]],Table24[[#This Row],[Date of Call]],"Y")),"Cannot be calculated")</f>
        <v>Cannot be calculated</v>
      </c>
      <c r="AL197"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97" s="19">
        <f>IFERROR(DATEDIF(Table24[[#This Row],[Date of Call]],Table24[[#This Row],[Follow-up Date]],"D"),"Cannot be calculated")</f>
        <v>0</v>
      </c>
      <c r="AN197" s="19" t="str">
        <f>IF(OR(Table24[[#This Row],[Client Age]]&lt;18,Table24[[#This Row],[If client DOB unknown, is client under 18?]]="Yes"),"Yes","No")</f>
        <v>No</v>
      </c>
      <c r="AO197" s="13" t="str">
        <f>IF(Table24[[#This Row],[Time of Inital Call]]="","",IFERROR(MROUND(Table24[[#This Row],[Time of Inital Call]],"1:00"),""))</f>
        <v/>
      </c>
      <c r="AP197" s="19" t="str">
        <f>IF(Table24[[#This Row],[Date of Call]]="","",TEXT(Table24[[#This Row],[Date of Call]],"dddd"))</f>
        <v/>
      </c>
      <c r="AQ197" s="19" t="str">
        <f>IFERROR(VLOOKUP(Table24[[#This Row],[Residence Zip Code]],Table27[],3,FALSE),"")</f>
        <v/>
      </c>
    </row>
    <row r="198" spans="1:43" x14ac:dyDescent="0.25">
      <c r="A198" s="10"/>
      <c r="C198" s="10"/>
      <c r="D198" s="11"/>
      <c r="E198" s="12"/>
      <c r="F198" s="12"/>
      <c r="G198" s="12"/>
      <c r="H198" s="10"/>
      <c r="I198" s="12"/>
      <c r="J198" s="12"/>
      <c r="K198" s="12"/>
      <c r="L198" s="12"/>
      <c r="M198" s="16"/>
      <c r="N198" s="18"/>
      <c r="O198" s="13"/>
      <c r="P198" s="13"/>
      <c r="Q198" s="13"/>
      <c r="R198" s="18"/>
      <c r="S198" s="13"/>
      <c r="T198" s="13"/>
      <c r="U198" s="10"/>
      <c r="V198" s="2"/>
      <c r="X198" s="13"/>
      <c r="Y198" s="3"/>
      <c r="Z198" s="3"/>
      <c r="AA198" s="12"/>
      <c r="AB198" s="10"/>
      <c r="AC198" s="10"/>
      <c r="AD198" s="10"/>
      <c r="AE198" s="10"/>
      <c r="AI198" s="35"/>
      <c r="AJ198"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98" s="19" t="str">
        <f>IFERROR(IF(OR(TRIM(Table24[[#This Row],[DOB]])="",TRIM(Table24[[#This Row],[Date of Call]])=""),"Cannot be calculated",DATEDIF(Table24[[#This Row],[DOB]],Table24[[#This Row],[Date of Call]],"Y")),"Cannot be calculated")</f>
        <v>Cannot be calculated</v>
      </c>
      <c r="AL198"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98" s="19">
        <f>IFERROR(DATEDIF(Table24[[#This Row],[Date of Call]],Table24[[#This Row],[Follow-up Date]],"D"),"Cannot be calculated")</f>
        <v>0</v>
      </c>
      <c r="AN198" s="19" t="str">
        <f>IF(OR(Table24[[#This Row],[Client Age]]&lt;18,Table24[[#This Row],[If client DOB unknown, is client under 18?]]="Yes"),"Yes","No")</f>
        <v>No</v>
      </c>
      <c r="AO198" s="13" t="str">
        <f>IF(Table24[[#This Row],[Time of Inital Call]]="","",IFERROR(MROUND(Table24[[#This Row],[Time of Inital Call]],"1:00"),""))</f>
        <v/>
      </c>
      <c r="AP198" s="19" t="str">
        <f>IF(Table24[[#This Row],[Date of Call]]="","",TEXT(Table24[[#This Row],[Date of Call]],"dddd"))</f>
        <v/>
      </c>
      <c r="AQ198" s="19" t="str">
        <f>IFERROR(VLOOKUP(Table24[[#This Row],[Residence Zip Code]],Table27[],3,FALSE),"")</f>
        <v/>
      </c>
    </row>
    <row r="199" spans="1:43" x14ac:dyDescent="0.25">
      <c r="A199" s="10"/>
      <c r="C199" s="10"/>
      <c r="D199" s="11"/>
      <c r="E199" s="12"/>
      <c r="F199" s="12"/>
      <c r="G199" s="12"/>
      <c r="H199" s="10"/>
      <c r="I199" s="12"/>
      <c r="J199" s="12"/>
      <c r="K199" s="12"/>
      <c r="L199" s="12"/>
      <c r="M199" s="16"/>
      <c r="N199" s="18"/>
      <c r="O199" s="13"/>
      <c r="P199" s="13"/>
      <c r="Q199" s="13"/>
      <c r="R199" s="18"/>
      <c r="S199" s="13"/>
      <c r="T199" s="13"/>
      <c r="U199" s="10"/>
      <c r="V199" s="2"/>
      <c r="X199" s="13"/>
      <c r="Y199" s="3"/>
      <c r="Z199" s="3"/>
      <c r="AA199" s="12"/>
      <c r="AB199" s="10"/>
      <c r="AC199" s="10"/>
      <c r="AD199" s="10"/>
      <c r="AE199" s="10"/>
      <c r="AI199" s="35"/>
      <c r="AJ199"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199" s="19" t="str">
        <f>IFERROR(IF(OR(TRIM(Table24[[#This Row],[DOB]])="",TRIM(Table24[[#This Row],[Date of Call]])=""),"Cannot be calculated",DATEDIF(Table24[[#This Row],[DOB]],Table24[[#This Row],[Date of Call]],"Y")),"Cannot be calculated")</f>
        <v>Cannot be calculated</v>
      </c>
      <c r="AL199"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199" s="19">
        <f>IFERROR(DATEDIF(Table24[[#This Row],[Date of Call]],Table24[[#This Row],[Follow-up Date]],"D"),"Cannot be calculated")</f>
        <v>0</v>
      </c>
      <c r="AN199" s="19" t="str">
        <f>IF(OR(Table24[[#This Row],[Client Age]]&lt;18,Table24[[#This Row],[If client DOB unknown, is client under 18?]]="Yes"),"Yes","No")</f>
        <v>No</v>
      </c>
      <c r="AO199" s="13" t="str">
        <f>IF(Table24[[#This Row],[Time of Inital Call]]="","",IFERROR(MROUND(Table24[[#This Row],[Time of Inital Call]],"1:00"),""))</f>
        <v/>
      </c>
      <c r="AP199" s="19" t="str">
        <f>IF(Table24[[#This Row],[Date of Call]]="","",TEXT(Table24[[#This Row],[Date of Call]],"dddd"))</f>
        <v/>
      </c>
      <c r="AQ199" s="19" t="str">
        <f>IFERROR(VLOOKUP(Table24[[#This Row],[Residence Zip Code]],Table27[],3,FALSE),"")</f>
        <v/>
      </c>
    </row>
    <row r="200" spans="1:43" x14ac:dyDescent="0.25">
      <c r="A200" s="10"/>
      <c r="C200" s="10"/>
      <c r="D200" s="11"/>
      <c r="E200" s="12"/>
      <c r="F200" s="12"/>
      <c r="G200" s="12"/>
      <c r="H200" s="10"/>
      <c r="I200" s="12"/>
      <c r="J200" s="12"/>
      <c r="K200" s="12"/>
      <c r="L200" s="12"/>
      <c r="M200" s="16"/>
      <c r="N200" s="18"/>
      <c r="O200" s="13"/>
      <c r="P200" s="13"/>
      <c r="Q200" s="13"/>
      <c r="R200" s="18"/>
      <c r="S200" s="13"/>
      <c r="T200" s="13"/>
      <c r="U200" s="10"/>
      <c r="V200" s="2"/>
      <c r="X200" s="13"/>
      <c r="Y200" s="3"/>
      <c r="Z200" s="3"/>
      <c r="AA200" s="12"/>
      <c r="AB200" s="10"/>
      <c r="AC200" s="10"/>
      <c r="AD200" s="10"/>
      <c r="AE200" s="10"/>
      <c r="AI200" s="35"/>
      <c r="AJ200"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00" s="19" t="str">
        <f>IFERROR(IF(OR(TRIM(Table24[[#This Row],[DOB]])="",TRIM(Table24[[#This Row],[Date of Call]])=""),"Cannot be calculated",DATEDIF(Table24[[#This Row],[DOB]],Table24[[#This Row],[Date of Call]],"Y")),"Cannot be calculated")</f>
        <v>Cannot be calculated</v>
      </c>
      <c r="AL200"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00" s="19">
        <f>IFERROR(DATEDIF(Table24[[#This Row],[Date of Call]],Table24[[#This Row],[Follow-up Date]],"D"),"Cannot be calculated")</f>
        <v>0</v>
      </c>
      <c r="AN200" s="19" t="str">
        <f>IF(OR(Table24[[#This Row],[Client Age]]&lt;18,Table24[[#This Row],[If client DOB unknown, is client under 18?]]="Yes"),"Yes","No")</f>
        <v>No</v>
      </c>
      <c r="AO200" s="13" t="str">
        <f>IF(Table24[[#This Row],[Time of Inital Call]]="","",IFERROR(MROUND(Table24[[#This Row],[Time of Inital Call]],"1:00"),""))</f>
        <v/>
      </c>
      <c r="AP200" s="19" t="str">
        <f>IF(Table24[[#This Row],[Date of Call]]="","",TEXT(Table24[[#This Row],[Date of Call]],"dddd"))</f>
        <v/>
      </c>
      <c r="AQ200" s="19" t="str">
        <f>IFERROR(VLOOKUP(Table24[[#This Row],[Residence Zip Code]],Table27[],3,FALSE),"")</f>
        <v/>
      </c>
    </row>
    <row r="201" spans="1:43" x14ac:dyDescent="0.25">
      <c r="A201" s="10"/>
      <c r="C201" s="10"/>
      <c r="D201" s="11"/>
      <c r="E201" s="12"/>
      <c r="F201" s="12"/>
      <c r="G201" s="12"/>
      <c r="H201" s="10"/>
      <c r="I201" s="12"/>
      <c r="J201" s="12"/>
      <c r="K201" s="12"/>
      <c r="L201" s="12"/>
      <c r="M201" s="16"/>
      <c r="N201" s="18"/>
      <c r="O201" s="13"/>
      <c r="P201" s="13"/>
      <c r="Q201" s="13"/>
      <c r="R201" s="18"/>
      <c r="S201" s="13"/>
      <c r="T201" s="13"/>
      <c r="U201" s="10"/>
      <c r="V201" s="2"/>
      <c r="X201" s="13"/>
      <c r="Y201" s="3"/>
      <c r="Z201" s="3"/>
      <c r="AA201" s="12"/>
      <c r="AB201" s="10"/>
      <c r="AC201" s="10"/>
      <c r="AD201" s="10"/>
      <c r="AE201" s="10"/>
      <c r="AI201" s="35"/>
      <c r="AJ201"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01" s="19" t="str">
        <f>IFERROR(IF(OR(TRIM(Table24[[#This Row],[DOB]])="",TRIM(Table24[[#This Row],[Date of Call]])=""),"Cannot be calculated",DATEDIF(Table24[[#This Row],[DOB]],Table24[[#This Row],[Date of Call]],"Y")),"Cannot be calculated")</f>
        <v>Cannot be calculated</v>
      </c>
      <c r="AL201"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01" s="19">
        <f>IFERROR(DATEDIF(Table24[[#This Row],[Date of Call]],Table24[[#This Row],[Follow-up Date]],"D"),"Cannot be calculated")</f>
        <v>0</v>
      </c>
      <c r="AN201" s="19" t="str">
        <f>IF(OR(Table24[[#This Row],[Client Age]]&lt;18,Table24[[#This Row],[If client DOB unknown, is client under 18?]]="Yes"),"Yes","No")</f>
        <v>No</v>
      </c>
      <c r="AO201" s="13" t="str">
        <f>IF(Table24[[#This Row],[Time of Inital Call]]="","",IFERROR(MROUND(Table24[[#This Row],[Time of Inital Call]],"1:00"),""))</f>
        <v/>
      </c>
      <c r="AP201" s="19" t="str">
        <f>IF(Table24[[#This Row],[Date of Call]]="","",TEXT(Table24[[#This Row],[Date of Call]],"dddd"))</f>
        <v/>
      </c>
      <c r="AQ201" s="19" t="str">
        <f>IFERROR(VLOOKUP(Table24[[#This Row],[Residence Zip Code]],Table27[],3,FALSE),"")</f>
        <v/>
      </c>
    </row>
    <row r="202" spans="1:43" x14ac:dyDescent="0.25">
      <c r="A202" s="10"/>
      <c r="C202" s="10"/>
      <c r="D202" s="11"/>
      <c r="E202" s="12"/>
      <c r="F202" s="12"/>
      <c r="G202" s="12"/>
      <c r="H202" s="10"/>
      <c r="I202" s="12"/>
      <c r="J202" s="12"/>
      <c r="K202" s="12"/>
      <c r="L202" s="12"/>
      <c r="M202" s="16"/>
      <c r="N202" s="18"/>
      <c r="O202" s="13"/>
      <c r="P202" s="13"/>
      <c r="Q202" s="13"/>
      <c r="R202" s="18"/>
      <c r="S202" s="13"/>
      <c r="T202" s="13"/>
      <c r="U202" s="10"/>
      <c r="V202" s="2"/>
      <c r="X202" s="13"/>
      <c r="Y202" s="3"/>
      <c r="Z202" s="3"/>
      <c r="AA202" s="12"/>
      <c r="AB202" s="10"/>
      <c r="AC202" s="10"/>
      <c r="AD202" s="10"/>
      <c r="AE202" s="10"/>
      <c r="AI202" s="35"/>
      <c r="AJ202"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02" s="19" t="str">
        <f>IFERROR(IF(OR(TRIM(Table24[[#This Row],[DOB]])="",TRIM(Table24[[#This Row],[Date of Call]])=""),"Cannot be calculated",DATEDIF(Table24[[#This Row],[DOB]],Table24[[#This Row],[Date of Call]],"Y")),"Cannot be calculated")</f>
        <v>Cannot be calculated</v>
      </c>
      <c r="AL202"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02" s="19">
        <f>IFERROR(DATEDIF(Table24[[#This Row],[Date of Call]],Table24[[#This Row],[Follow-up Date]],"D"),"Cannot be calculated")</f>
        <v>0</v>
      </c>
      <c r="AN202" s="19" t="str">
        <f>IF(OR(Table24[[#This Row],[Client Age]]&lt;18,Table24[[#This Row],[If client DOB unknown, is client under 18?]]="Yes"),"Yes","No")</f>
        <v>No</v>
      </c>
      <c r="AO202" s="13" t="str">
        <f>IF(Table24[[#This Row],[Time of Inital Call]]="","",IFERROR(MROUND(Table24[[#This Row],[Time of Inital Call]],"1:00"),""))</f>
        <v/>
      </c>
      <c r="AP202" s="19" t="str">
        <f>IF(Table24[[#This Row],[Date of Call]]="","",TEXT(Table24[[#This Row],[Date of Call]],"dddd"))</f>
        <v/>
      </c>
      <c r="AQ202" s="19" t="str">
        <f>IFERROR(VLOOKUP(Table24[[#This Row],[Residence Zip Code]],Table27[],3,FALSE),"")</f>
        <v/>
      </c>
    </row>
    <row r="203" spans="1:43" x14ac:dyDescent="0.25">
      <c r="A203" s="10"/>
      <c r="C203" s="10"/>
      <c r="D203" s="11"/>
      <c r="E203" s="12"/>
      <c r="F203" s="12"/>
      <c r="G203" s="12"/>
      <c r="H203" s="10"/>
      <c r="I203" s="12"/>
      <c r="J203" s="12"/>
      <c r="K203" s="12"/>
      <c r="L203" s="12"/>
      <c r="M203" s="16"/>
      <c r="N203" s="18"/>
      <c r="O203" s="13"/>
      <c r="P203" s="13"/>
      <c r="Q203" s="13"/>
      <c r="R203" s="18"/>
      <c r="S203" s="13"/>
      <c r="T203" s="13"/>
      <c r="U203" s="10"/>
      <c r="V203" s="2"/>
      <c r="X203" s="13"/>
      <c r="Y203" s="3"/>
      <c r="Z203" s="3"/>
      <c r="AA203" s="12"/>
      <c r="AB203" s="10"/>
      <c r="AC203" s="10"/>
      <c r="AD203" s="10"/>
      <c r="AE203" s="10"/>
      <c r="AI203" s="35"/>
      <c r="AJ203"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03" s="19" t="str">
        <f>IFERROR(IF(OR(TRIM(Table24[[#This Row],[DOB]])="",TRIM(Table24[[#This Row],[Date of Call]])=""),"Cannot be calculated",DATEDIF(Table24[[#This Row],[DOB]],Table24[[#This Row],[Date of Call]],"Y")),"Cannot be calculated")</f>
        <v>Cannot be calculated</v>
      </c>
      <c r="AL203"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03" s="19">
        <f>IFERROR(DATEDIF(Table24[[#This Row],[Date of Call]],Table24[[#This Row],[Follow-up Date]],"D"),"Cannot be calculated")</f>
        <v>0</v>
      </c>
      <c r="AN203" s="19" t="str">
        <f>IF(OR(Table24[[#This Row],[Client Age]]&lt;18,Table24[[#This Row],[If client DOB unknown, is client under 18?]]="Yes"),"Yes","No")</f>
        <v>No</v>
      </c>
      <c r="AO203" s="13" t="str">
        <f>IF(Table24[[#This Row],[Time of Inital Call]]="","",IFERROR(MROUND(Table24[[#This Row],[Time of Inital Call]],"1:00"),""))</f>
        <v/>
      </c>
      <c r="AP203" s="19" t="str">
        <f>IF(Table24[[#This Row],[Date of Call]]="","",TEXT(Table24[[#This Row],[Date of Call]],"dddd"))</f>
        <v/>
      </c>
      <c r="AQ203" s="19" t="str">
        <f>IFERROR(VLOOKUP(Table24[[#This Row],[Residence Zip Code]],Table27[],3,FALSE),"")</f>
        <v/>
      </c>
    </row>
    <row r="204" spans="1:43" x14ac:dyDescent="0.25">
      <c r="A204" s="10"/>
      <c r="C204" s="10"/>
      <c r="D204" s="11"/>
      <c r="E204" s="12"/>
      <c r="F204" s="12"/>
      <c r="G204" s="12"/>
      <c r="H204" s="10"/>
      <c r="I204" s="12"/>
      <c r="J204" s="12"/>
      <c r="K204" s="12"/>
      <c r="L204" s="12"/>
      <c r="M204" s="16"/>
      <c r="N204" s="18"/>
      <c r="O204" s="13"/>
      <c r="P204" s="13"/>
      <c r="Q204" s="13"/>
      <c r="R204" s="18"/>
      <c r="S204" s="13"/>
      <c r="T204" s="13"/>
      <c r="U204" s="10"/>
      <c r="V204" s="2"/>
      <c r="X204" s="13"/>
      <c r="Y204" s="3"/>
      <c r="Z204" s="3"/>
      <c r="AA204" s="12"/>
      <c r="AB204" s="10"/>
      <c r="AC204" s="10"/>
      <c r="AD204" s="10"/>
      <c r="AE204" s="10"/>
      <c r="AI204" s="35"/>
      <c r="AJ204"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04" s="19" t="str">
        <f>IFERROR(IF(OR(TRIM(Table24[[#This Row],[DOB]])="",TRIM(Table24[[#This Row],[Date of Call]])=""),"Cannot be calculated",DATEDIF(Table24[[#This Row],[DOB]],Table24[[#This Row],[Date of Call]],"Y")),"Cannot be calculated")</f>
        <v>Cannot be calculated</v>
      </c>
      <c r="AL204"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04" s="19">
        <f>IFERROR(DATEDIF(Table24[[#This Row],[Date of Call]],Table24[[#This Row],[Follow-up Date]],"D"),"Cannot be calculated")</f>
        <v>0</v>
      </c>
      <c r="AN204" s="19" t="str">
        <f>IF(OR(Table24[[#This Row],[Client Age]]&lt;18,Table24[[#This Row],[If client DOB unknown, is client under 18?]]="Yes"),"Yes","No")</f>
        <v>No</v>
      </c>
      <c r="AO204" s="13" t="str">
        <f>IF(Table24[[#This Row],[Time of Inital Call]]="","",IFERROR(MROUND(Table24[[#This Row],[Time of Inital Call]],"1:00"),""))</f>
        <v/>
      </c>
      <c r="AP204" s="19" t="str">
        <f>IF(Table24[[#This Row],[Date of Call]]="","",TEXT(Table24[[#This Row],[Date of Call]],"dddd"))</f>
        <v/>
      </c>
      <c r="AQ204" s="19" t="str">
        <f>IFERROR(VLOOKUP(Table24[[#This Row],[Residence Zip Code]],Table27[],3,FALSE),"")</f>
        <v/>
      </c>
    </row>
    <row r="205" spans="1:43" x14ac:dyDescent="0.25">
      <c r="A205" s="10"/>
      <c r="C205" s="10"/>
      <c r="D205" s="11"/>
      <c r="E205" s="12"/>
      <c r="F205" s="12"/>
      <c r="G205" s="12"/>
      <c r="H205" s="10"/>
      <c r="I205" s="12"/>
      <c r="J205" s="12"/>
      <c r="K205" s="12"/>
      <c r="L205" s="12"/>
      <c r="M205" s="16"/>
      <c r="N205" s="18"/>
      <c r="O205" s="13"/>
      <c r="P205" s="13"/>
      <c r="Q205" s="13"/>
      <c r="R205" s="18"/>
      <c r="S205" s="13"/>
      <c r="T205" s="13"/>
      <c r="U205" s="10"/>
      <c r="V205" s="2"/>
      <c r="X205" s="13"/>
      <c r="Y205" s="3"/>
      <c r="Z205" s="3"/>
      <c r="AA205" s="12"/>
      <c r="AB205" s="10"/>
      <c r="AC205" s="10"/>
      <c r="AD205" s="10"/>
      <c r="AE205" s="10"/>
      <c r="AI205" s="35"/>
      <c r="AJ205"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05" s="19" t="str">
        <f>IFERROR(IF(OR(TRIM(Table24[[#This Row],[DOB]])="",TRIM(Table24[[#This Row],[Date of Call]])=""),"Cannot be calculated",DATEDIF(Table24[[#This Row],[DOB]],Table24[[#This Row],[Date of Call]],"Y")),"Cannot be calculated")</f>
        <v>Cannot be calculated</v>
      </c>
      <c r="AL205"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05" s="19">
        <f>IFERROR(DATEDIF(Table24[[#This Row],[Date of Call]],Table24[[#This Row],[Follow-up Date]],"D"),"Cannot be calculated")</f>
        <v>0</v>
      </c>
      <c r="AN205" s="19" t="str">
        <f>IF(OR(Table24[[#This Row],[Client Age]]&lt;18,Table24[[#This Row],[If client DOB unknown, is client under 18?]]="Yes"),"Yes","No")</f>
        <v>No</v>
      </c>
      <c r="AO205" s="13" t="str">
        <f>IF(Table24[[#This Row],[Time of Inital Call]]="","",IFERROR(MROUND(Table24[[#This Row],[Time of Inital Call]],"1:00"),""))</f>
        <v/>
      </c>
      <c r="AP205" s="19" t="str">
        <f>IF(Table24[[#This Row],[Date of Call]]="","",TEXT(Table24[[#This Row],[Date of Call]],"dddd"))</f>
        <v/>
      </c>
      <c r="AQ205" s="19" t="str">
        <f>IFERROR(VLOOKUP(Table24[[#This Row],[Residence Zip Code]],Table27[],3,FALSE),"")</f>
        <v/>
      </c>
    </row>
    <row r="206" spans="1:43" x14ac:dyDescent="0.25">
      <c r="A206" s="10"/>
      <c r="C206" s="10"/>
      <c r="D206" s="11"/>
      <c r="E206" s="12"/>
      <c r="F206" s="12"/>
      <c r="G206" s="12"/>
      <c r="H206" s="10"/>
      <c r="I206" s="12"/>
      <c r="J206" s="12"/>
      <c r="K206" s="12"/>
      <c r="L206" s="12"/>
      <c r="M206" s="16"/>
      <c r="N206" s="18"/>
      <c r="O206" s="13"/>
      <c r="P206" s="13"/>
      <c r="Q206" s="13"/>
      <c r="R206" s="18"/>
      <c r="S206" s="13"/>
      <c r="T206" s="13"/>
      <c r="U206" s="10"/>
      <c r="V206" s="2"/>
      <c r="X206" s="13"/>
      <c r="Y206" s="3"/>
      <c r="Z206" s="3"/>
      <c r="AA206" s="12"/>
      <c r="AB206" s="10"/>
      <c r="AC206" s="10"/>
      <c r="AD206" s="10"/>
      <c r="AE206" s="10"/>
      <c r="AI206" s="35"/>
      <c r="AJ206"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06" s="19" t="str">
        <f>IFERROR(IF(OR(TRIM(Table24[[#This Row],[DOB]])="",TRIM(Table24[[#This Row],[Date of Call]])=""),"Cannot be calculated",DATEDIF(Table24[[#This Row],[DOB]],Table24[[#This Row],[Date of Call]],"Y")),"Cannot be calculated")</f>
        <v>Cannot be calculated</v>
      </c>
      <c r="AL206"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06" s="19">
        <f>IFERROR(DATEDIF(Table24[[#This Row],[Date of Call]],Table24[[#This Row],[Follow-up Date]],"D"),"Cannot be calculated")</f>
        <v>0</v>
      </c>
      <c r="AN206" s="19" t="str">
        <f>IF(OR(Table24[[#This Row],[Client Age]]&lt;18,Table24[[#This Row],[If client DOB unknown, is client under 18?]]="Yes"),"Yes","No")</f>
        <v>No</v>
      </c>
      <c r="AO206" s="13" t="str">
        <f>IF(Table24[[#This Row],[Time of Inital Call]]="","",IFERROR(MROUND(Table24[[#This Row],[Time of Inital Call]],"1:00"),""))</f>
        <v/>
      </c>
      <c r="AP206" s="19" t="str">
        <f>IF(Table24[[#This Row],[Date of Call]]="","",TEXT(Table24[[#This Row],[Date of Call]],"dddd"))</f>
        <v/>
      </c>
      <c r="AQ206" s="19" t="str">
        <f>IFERROR(VLOOKUP(Table24[[#This Row],[Residence Zip Code]],Table27[],3,FALSE),"")</f>
        <v/>
      </c>
    </row>
    <row r="207" spans="1:43" x14ac:dyDescent="0.25">
      <c r="A207" s="10"/>
      <c r="C207" s="10"/>
      <c r="D207" s="11"/>
      <c r="E207" s="12"/>
      <c r="F207" s="12"/>
      <c r="G207" s="12"/>
      <c r="H207" s="10"/>
      <c r="I207" s="12"/>
      <c r="J207" s="12"/>
      <c r="K207" s="12"/>
      <c r="L207" s="12"/>
      <c r="M207" s="16"/>
      <c r="N207" s="18"/>
      <c r="O207" s="13"/>
      <c r="P207" s="13"/>
      <c r="Q207" s="13"/>
      <c r="R207" s="18"/>
      <c r="S207" s="13"/>
      <c r="T207" s="13"/>
      <c r="U207" s="10"/>
      <c r="V207" s="2"/>
      <c r="X207" s="13"/>
      <c r="Y207" s="3"/>
      <c r="Z207" s="3"/>
      <c r="AA207" s="12"/>
      <c r="AB207" s="10"/>
      <c r="AC207" s="10"/>
      <c r="AD207" s="10"/>
      <c r="AE207" s="10"/>
      <c r="AI207" s="35"/>
      <c r="AJ207"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07" s="19" t="str">
        <f>IFERROR(IF(OR(TRIM(Table24[[#This Row],[DOB]])="",TRIM(Table24[[#This Row],[Date of Call]])=""),"Cannot be calculated",DATEDIF(Table24[[#This Row],[DOB]],Table24[[#This Row],[Date of Call]],"Y")),"Cannot be calculated")</f>
        <v>Cannot be calculated</v>
      </c>
      <c r="AL207"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07" s="19">
        <f>IFERROR(DATEDIF(Table24[[#This Row],[Date of Call]],Table24[[#This Row],[Follow-up Date]],"D"),"Cannot be calculated")</f>
        <v>0</v>
      </c>
      <c r="AN207" s="19" t="str">
        <f>IF(OR(Table24[[#This Row],[Client Age]]&lt;18,Table24[[#This Row],[If client DOB unknown, is client under 18?]]="Yes"),"Yes","No")</f>
        <v>No</v>
      </c>
      <c r="AO207" s="13" t="str">
        <f>IF(Table24[[#This Row],[Time of Inital Call]]="","",IFERROR(MROUND(Table24[[#This Row],[Time of Inital Call]],"1:00"),""))</f>
        <v/>
      </c>
      <c r="AP207" s="19" t="str">
        <f>IF(Table24[[#This Row],[Date of Call]]="","",TEXT(Table24[[#This Row],[Date of Call]],"dddd"))</f>
        <v/>
      </c>
      <c r="AQ207" s="19" t="str">
        <f>IFERROR(VLOOKUP(Table24[[#This Row],[Residence Zip Code]],Table27[],3,FALSE),"")</f>
        <v/>
      </c>
    </row>
    <row r="208" spans="1:43" x14ac:dyDescent="0.25">
      <c r="A208" s="10"/>
      <c r="C208" s="10"/>
      <c r="D208" s="11"/>
      <c r="E208" s="12"/>
      <c r="F208" s="12"/>
      <c r="G208" s="12"/>
      <c r="H208" s="10"/>
      <c r="I208" s="12"/>
      <c r="J208" s="12"/>
      <c r="K208" s="12"/>
      <c r="L208" s="12"/>
      <c r="M208" s="16"/>
      <c r="N208" s="18"/>
      <c r="O208" s="13"/>
      <c r="P208" s="13"/>
      <c r="Q208" s="13"/>
      <c r="R208" s="18"/>
      <c r="S208" s="13"/>
      <c r="T208" s="13"/>
      <c r="U208" s="10"/>
      <c r="V208" s="2"/>
      <c r="X208" s="13"/>
      <c r="Y208" s="3"/>
      <c r="Z208" s="3"/>
      <c r="AA208" s="12"/>
      <c r="AB208" s="10"/>
      <c r="AC208" s="10"/>
      <c r="AD208" s="10"/>
      <c r="AE208" s="10"/>
      <c r="AI208" s="35"/>
      <c r="AJ208"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08" s="19" t="str">
        <f>IFERROR(IF(OR(TRIM(Table24[[#This Row],[DOB]])="",TRIM(Table24[[#This Row],[Date of Call]])=""),"Cannot be calculated",DATEDIF(Table24[[#This Row],[DOB]],Table24[[#This Row],[Date of Call]],"Y")),"Cannot be calculated")</f>
        <v>Cannot be calculated</v>
      </c>
      <c r="AL208"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08" s="19">
        <f>IFERROR(DATEDIF(Table24[[#This Row],[Date of Call]],Table24[[#This Row],[Follow-up Date]],"D"),"Cannot be calculated")</f>
        <v>0</v>
      </c>
      <c r="AN208" s="19" t="str">
        <f>IF(OR(Table24[[#This Row],[Client Age]]&lt;18,Table24[[#This Row],[If client DOB unknown, is client under 18?]]="Yes"),"Yes","No")</f>
        <v>No</v>
      </c>
      <c r="AO208" s="13" t="str">
        <f>IF(Table24[[#This Row],[Time of Inital Call]]="","",IFERROR(MROUND(Table24[[#This Row],[Time of Inital Call]],"1:00"),""))</f>
        <v/>
      </c>
      <c r="AP208" s="19" t="str">
        <f>IF(Table24[[#This Row],[Date of Call]]="","",TEXT(Table24[[#This Row],[Date of Call]],"dddd"))</f>
        <v/>
      </c>
      <c r="AQ208" s="19" t="str">
        <f>IFERROR(VLOOKUP(Table24[[#This Row],[Residence Zip Code]],Table27[],3,FALSE),"")</f>
        <v/>
      </c>
    </row>
    <row r="209" spans="1:43" x14ac:dyDescent="0.25">
      <c r="A209" s="10"/>
      <c r="C209" s="10"/>
      <c r="D209" s="11"/>
      <c r="E209" s="12"/>
      <c r="F209" s="12"/>
      <c r="G209" s="12"/>
      <c r="H209" s="10"/>
      <c r="I209" s="12"/>
      <c r="J209" s="12"/>
      <c r="K209" s="12"/>
      <c r="L209" s="12"/>
      <c r="M209" s="16"/>
      <c r="N209" s="18"/>
      <c r="O209" s="13"/>
      <c r="P209" s="13"/>
      <c r="Q209" s="13"/>
      <c r="R209" s="18"/>
      <c r="S209" s="13"/>
      <c r="T209" s="13"/>
      <c r="U209" s="10"/>
      <c r="V209" s="2"/>
      <c r="X209" s="13"/>
      <c r="Y209" s="3"/>
      <c r="Z209" s="3"/>
      <c r="AA209" s="12"/>
      <c r="AB209" s="10"/>
      <c r="AC209" s="10"/>
      <c r="AD209" s="10"/>
      <c r="AE209" s="10"/>
      <c r="AI209" s="35"/>
      <c r="AJ209"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09" s="19" t="str">
        <f>IFERROR(IF(OR(TRIM(Table24[[#This Row],[DOB]])="",TRIM(Table24[[#This Row],[Date of Call]])=""),"Cannot be calculated",DATEDIF(Table24[[#This Row],[DOB]],Table24[[#This Row],[Date of Call]],"Y")),"Cannot be calculated")</f>
        <v>Cannot be calculated</v>
      </c>
      <c r="AL209"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09" s="19">
        <f>IFERROR(DATEDIF(Table24[[#This Row],[Date of Call]],Table24[[#This Row],[Follow-up Date]],"D"),"Cannot be calculated")</f>
        <v>0</v>
      </c>
      <c r="AN209" s="19" t="str">
        <f>IF(OR(Table24[[#This Row],[Client Age]]&lt;18,Table24[[#This Row],[If client DOB unknown, is client under 18?]]="Yes"),"Yes","No")</f>
        <v>No</v>
      </c>
      <c r="AO209" s="13" t="str">
        <f>IF(Table24[[#This Row],[Time of Inital Call]]="","",IFERROR(MROUND(Table24[[#This Row],[Time of Inital Call]],"1:00"),""))</f>
        <v/>
      </c>
      <c r="AP209" s="19" t="str">
        <f>IF(Table24[[#This Row],[Date of Call]]="","",TEXT(Table24[[#This Row],[Date of Call]],"dddd"))</f>
        <v/>
      </c>
      <c r="AQ209" s="19" t="str">
        <f>IFERROR(VLOOKUP(Table24[[#This Row],[Residence Zip Code]],Table27[],3,FALSE),"")</f>
        <v/>
      </c>
    </row>
    <row r="210" spans="1:43" x14ac:dyDescent="0.25">
      <c r="A210" s="10"/>
      <c r="C210" s="10"/>
      <c r="D210" s="11"/>
      <c r="E210" s="12"/>
      <c r="F210" s="12"/>
      <c r="G210" s="12"/>
      <c r="H210" s="10"/>
      <c r="I210" s="12"/>
      <c r="J210" s="12"/>
      <c r="K210" s="12"/>
      <c r="L210" s="12"/>
      <c r="M210" s="16"/>
      <c r="N210" s="18"/>
      <c r="O210" s="13"/>
      <c r="P210" s="13"/>
      <c r="Q210" s="13"/>
      <c r="R210" s="18"/>
      <c r="S210" s="13"/>
      <c r="T210" s="13"/>
      <c r="U210" s="10"/>
      <c r="V210" s="2"/>
      <c r="X210" s="13"/>
      <c r="Y210" s="3"/>
      <c r="Z210" s="3"/>
      <c r="AA210" s="12"/>
      <c r="AB210" s="10"/>
      <c r="AC210" s="10"/>
      <c r="AD210" s="10"/>
      <c r="AE210" s="10"/>
      <c r="AI210" s="35"/>
      <c r="AJ210"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10" s="19" t="str">
        <f>IFERROR(IF(OR(TRIM(Table24[[#This Row],[DOB]])="",TRIM(Table24[[#This Row],[Date of Call]])=""),"Cannot be calculated",DATEDIF(Table24[[#This Row],[DOB]],Table24[[#This Row],[Date of Call]],"Y")),"Cannot be calculated")</f>
        <v>Cannot be calculated</v>
      </c>
      <c r="AL210"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10" s="19">
        <f>IFERROR(DATEDIF(Table24[[#This Row],[Date of Call]],Table24[[#This Row],[Follow-up Date]],"D"),"Cannot be calculated")</f>
        <v>0</v>
      </c>
      <c r="AN210" s="19" t="str">
        <f>IF(OR(Table24[[#This Row],[Client Age]]&lt;18,Table24[[#This Row],[If client DOB unknown, is client under 18?]]="Yes"),"Yes","No")</f>
        <v>No</v>
      </c>
      <c r="AO210" s="13" t="str">
        <f>IF(Table24[[#This Row],[Time of Inital Call]]="","",IFERROR(MROUND(Table24[[#This Row],[Time of Inital Call]],"1:00"),""))</f>
        <v/>
      </c>
      <c r="AP210" s="19" t="str">
        <f>IF(Table24[[#This Row],[Date of Call]]="","",TEXT(Table24[[#This Row],[Date of Call]],"dddd"))</f>
        <v/>
      </c>
      <c r="AQ210" s="19" t="str">
        <f>IFERROR(VLOOKUP(Table24[[#This Row],[Residence Zip Code]],Table27[],3,FALSE),"")</f>
        <v/>
      </c>
    </row>
    <row r="211" spans="1:43" x14ac:dyDescent="0.25">
      <c r="A211" s="10"/>
      <c r="C211" s="10"/>
      <c r="D211" s="11"/>
      <c r="E211" s="12"/>
      <c r="F211" s="12"/>
      <c r="G211" s="12"/>
      <c r="H211" s="10"/>
      <c r="I211" s="12"/>
      <c r="J211" s="12"/>
      <c r="K211" s="12"/>
      <c r="L211" s="12"/>
      <c r="M211" s="16"/>
      <c r="N211" s="18"/>
      <c r="O211" s="13"/>
      <c r="P211" s="13"/>
      <c r="Q211" s="13"/>
      <c r="R211" s="18"/>
      <c r="S211" s="13"/>
      <c r="T211" s="13"/>
      <c r="U211" s="10"/>
      <c r="V211" s="2"/>
      <c r="X211" s="13"/>
      <c r="Y211" s="3"/>
      <c r="Z211" s="3"/>
      <c r="AA211" s="12"/>
      <c r="AB211" s="10"/>
      <c r="AC211" s="10"/>
      <c r="AD211" s="10"/>
      <c r="AE211" s="10"/>
      <c r="AI211" s="35"/>
      <c r="AJ211"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11" s="19" t="str">
        <f>IFERROR(IF(OR(TRIM(Table24[[#This Row],[DOB]])="",TRIM(Table24[[#This Row],[Date of Call]])=""),"Cannot be calculated",DATEDIF(Table24[[#This Row],[DOB]],Table24[[#This Row],[Date of Call]],"Y")),"Cannot be calculated")</f>
        <v>Cannot be calculated</v>
      </c>
      <c r="AL211"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11" s="19">
        <f>IFERROR(DATEDIF(Table24[[#This Row],[Date of Call]],Table24[[#This Row],[Follow-up Date]],"D"),"Cannot be calculated")</f>
        <v>0</v>
      </c>
      <c r="AN211" s="19" t="str">
        <f>IF(OR(Table24[[#This Row],[Client Age]]&lt;18,Table24[[#This Row],[If client DOB unknown, is client under 18?]]="Yes"),"Yes","No")</f>
        <v>No</v>
      </c>
      <c r="AO211" s="13" t="str">
        <f>IF(Table24[[#This Row],[Time of Inital Call]]="","",IFERROR(MROUND(Table24[[#This Row],[Time of Inital Call]],"1:00"),""))</f>
        <v/>
      </c>
      <c r="AP211" s="19" t="str">
        <f>IF(Table24[[#This Row],[Date of Call]]="","",TEXT(Table24[[#This Row],[Date of Call]],"dddd"))</f>
        <v/>
      </c>
      <c r="AQ211" s="19" t="str">
        <f>IFERROR(VLOOKUP(Table24[[#This Row],[Residence Zip Code]],Table27[],3,FALSE),"")</f>
        <v/>
      </c>
    </row>
    <row r="212" spans="1:43" x14ac:dyDescent="0.25">
      <c r="A212" s="10"/>
      <c r="C212" s="10"/>
      <c r="D212" s="11"/>
      <c r="E212" s="12"/>
      <c r="F212" s="12"/>
      <c r="G212" s="12"/>
      <c r="H212" s="10"/>
      <c r="I212" s="12"/>
      <c r="J212" s="12"/>
      <c r="K212" s="12"/>
      <c r="L212" s="12"/>
      <c r="M212" s="16"/>
      <c r="N212" s="18"/>
      <c r="O212" s="13"/>
      <c r="P212" s="13"/>
      <c r="Q212" s="13"/>
      <c r="R212" s="18"/>
      <c r="S212" s="13"/>
      <c r="T212" s="13"/>
      <c r="U212" s="10"/>
      <c r="V212" s="2"/>
      <c r="X212" s="13"/>
      <c r="Y212" s="3"/>
      <c r="Z212" s="3"/>
      <c r="AA212" s="12"/>
      <c r="AB212" s="10"/>
      <c r="AC212" s="10"/>
      <c r="AD212" s="10"/>
      <c r="AE212" s="10"/>
      <c r="AI212" s="35"/>
      <c r="AJ212"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12" s="19" t="str">
        <f>IFERROR(IF(OR(TRIM(Table24[[#This Row],[DOB]])="",TRIM(Table24[[#This Row],[Date of Call]])=""),"Cannot be calculated",DATEDIF(Table24[[#This Row],[DOB]],Table24[[#This Row],[Date of Call]],"Y")),"Cannot be calculated")</f>
        <v>Cannot be calculated</v>
      </c>
      <c r="AL212"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12" s="19">
        <f>IFERROR(DATEDIF(Table24[[#This Row],[Date of Call]],Table24[[#This Row],[Follow-up Date]],"D"),"Cannot be calculated")</f>
        <v>0</v>
      </c>
      <c r="AN212" s="19" t="str">
        <f>IF(OR(Table24[[#This Row],[Client Age]]&lt;18,Table24[[#This Row],[If client DOB unknown, is client under 18?]]="Yes"),"Yes","No")</f>
        <v>No</v>
      </c>
      <c r="AO212" s="13" t="str">
        <f>IF(Table24[[#This Row],[Time of Inital Call]]="","",IFERROR(MROUND(Table24[[#This Row],[Time of Inital Call]],"1:00"),""))</f>
        <v/>
      </c>
      <c r="AP212" s="19" t="str">
        <f>IF(Table24[[#This Row],[Date of Call]]="","",TEXT(Table24[[#This Row],[Date of Call]],"dddd"))</f>
        <v/>
      </c>
      <c r="AQ212" s="19" t="str">
        <f>IFERROR(VLOOKUP(Table24[[#This Row],[Residence Zip Code]],Table27[],3,FALSE),"")</f>
        <v/>
      </c>
    </row>
    <row r="213" spans="1:43" x14ac:dyDescent="0.25">
      <c r="A213" s="10"/>
      <c r="C213" s="10"/>
      <c r="D213" s="11"/>
      <c r="E213" s="12"/>
      <c r="F213" s="12"/>
      <c r="G213" s="12"/>
      <c r="H213" s="10"/>
      <c r="I213" s="12"/>
      <c r="J213" s="12"/>
      <c r="K213" s="12"/>
      <c r="L213" s="12"/>
      <c r="M213" s="16"/>
      <c r="N213" s="18"/>
      <c r="O213" s="13"/>
      <c r="P213" s="13"/>
      <c r="Q213" s="13"/>
      <c r="R213" s="18"/>
      <c r="S213" s="13"/>
      <c r="T213" s="13"/>
      <c r="U213" s="10"/>
      <c r="V213" s="2"/>
      <c r="X213" s="13"/>
      <c r="Y213" s="3"/>
      <c r="Z213" s="3"/>
      <c r="AA213" s="12"/>
      <c r="AB213" s="10"/>
      <c r="AC213" s="10"/>
      <c r="AD213" s="10"/>
      <c r="AE213" s="10"/>
      <c r="AI213" s="35"/>
      <c r="AJ213"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13" s="19" t="str">
        <f>IFERROR(IF(OR(TRIM(Table24[[#This Row],[DOB]])="",TRIM(Table24[[#This Row],[Date of Call]])=""),"Cannot be calculated",DATEDIF(Table24[[#This Row],[DOB]],Table24[[#This Row],[Date of Call]],"Y")),"Cannot be calculated")</f>
        <v>Cannot be calculated</v>
      </c>
      <c r="AL213"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13" s="19">
        <f>IFERROR(DATEDIF(Table24[[#This Row],[Date of Call]],Table24[[#This Row],[Follow-up Date]],"D"),"Cannot be calculated")</f>
        <v>0</v>
      </c>
      <c r="AN213" s="19" t="str">
        <f>IF(OR(Table24[[#This Row],[Client Age]]&lt;18,Table24[[#This Row],[If client DOB unknown, is client under 18?]]="Yes"),"Yes","No")</f>
        <v>No</v>
      </c>
      <c r="AO213" s="13" t="str">
        <f>IF(Table24[[#This Row],[Time of Inital Call]]="","",IFERROR(MROUND(Table24[[#This Row],[Time of Inital Call]],"1:00"),""))</f>
        <v/>
      </c>
      <c r="AP213" s="19" t="str">
        <f>IF(Table24[[#This Row],[Date of Call]]="","",TEXT(Table24[[#This Row],[Date of Call]],"dddd"))</f>
        <v/>
      </c>
      <c r="AQ213" s="19" t="str">
        <f>IFERROR(VLOOKUP(Table24[[#This Row],[Residence Zip Code]],Table27[],3,FALSE),"")</f>
        <v/>
      </c>
    </row>
    <row r="214" spans="1:43" x14ac:dyDescent="0.25">
      <c r="A214" s="10"/>
      <c r="C214" s="10"/>
      <c r="D214" s="11"/>
      <c r="E214" s="12"/>
      <c r="F214" s="12"/>
      <c r="G214" s="12"/>
      <c r="H214" s="10"/>
      <c r="I214" s="12"/>
      <c r="J214" s="12"/>
      <c r="K214" s="12"/>
      <c r="L214" s="12"/>
      <c r="M214" s="16"/>
      <c r="N214" s="18"/>
      <c r="O214" s="13"/>
      <c r="P214" s="13"/>
      <c r="Q214" s="13"/>
      <c r="R214" s="18"/>
      <c r="S214" s="13"/>
      <c r="T214" s="13"/>
      <c r="U214" s="10"/>
      <c r="V214" s="2"/>
      <c r="X214" s="13"/>
      <c r="Y214" s="3"/>
      <c r="Z214" s="3"/>
      <c r="AA214" s="12"/>
      <c r="AB214" s="10"/>
      <c r="AC214" s="10"/>
      <c r="AD214" s="10"/>
      <c r="AE214" s="10"/>
      <c r="AI214" s="35"/>
      <c r="AJ214"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14" s="19" t="str">
        <f>IFERROR(IF(OR(TRIM(Table24[[#This Row],[DOB]])="",TRIM(Table24[[#This Row],[Date of Call]])=""),"Cannot be calculated",DATEDIF(Table24[[#This Row],[DOB]],Table24[[#This Row],[Date of Call]],"Y")),"Cannot be calculated")</f>
        <v>Cannot be calculated</v>
      </c>
      <c r="AL214"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14" s="19">
        <f>IFERROR(DATEDIF(Table24[[#This Row],[Date of Call]],Table24[[#This Row],[Follow-up Date]],"D"),"Cannot be calculated")</f>
        <v>0</v>
      </c>
      <c r="AN214" s="19" t="str">
        <f>IF(OR(Table24[[#This Row],[Client Age]]&lt;18,Table24[[#This Row],[If client DOB unknown, is client under 18?]]="Yes"),"Yes","No")</f>
        <v>No</v>
      </c>
      <c r="AO214" s="13" t="str">
        <f>IF(Table24[[#This Row],[Time of Inital Call]]="","",IFERROR(MROUND(Table24[[#This Row],[Time of Inital Call]],"1:00"),""))</f>
        <v/>
      </c>
      <c r="AP214" s="19" t="str">
        <f>IF(Table24[[#This Row],[Date of Call]]="","",TEXT(Table24[[#This Row],[Date of Call]],"dddd"))</f>
        <v/>
      </c>
      <c r="AQ214" s="19" t="str">
        <f>IFERROR(VLOOKUP(Table24[[#This Row],[Residence Zip Code]],Table27[],3,FALSE),"")</f>
        <v/>
      </c>
    </row>
    <row r="215" spans="1:43" x14ac:dyDescent="0.25">
      <c r="A215" s="10"/>
      <c r="C215" s="10"/>
      <c r="D215" s="11"/>
      <c r="E215" s="12"/>
      <c r="F215" s="12"/>
      <c r="G215" s="12"/>
      <c r="H215" s="10"/>
      <c r="I215" s="12"/>
      <c r="J215" s="12"/>
      <c r="K215" s="12"/>
      <c r="L215" s="12"/>
      <c r="M215" s="16"/>
      <c r="N215" s="18"/>
      <c r="O215" s="13"/>
      <c r="P215" s="13"/>
      <c r="Q215" s="13"/>
      <c r="R215" s="18"/>
      <c r="S215" s="13"/>
      <c r="T215" s="13"/>
      <c r="U215" s="10"/>
      <c r="V215" s="2"/>
      <c r="X215" s="13"/>
      <c r="Y215" s="3"/>
      <c r="Z215" s="3"/>
      <c r="AA215" s="12"/>
      <c r="AB215" s="10"/>
      <c r="AC215" s="10"/>
      <c r="AD215" s="10"/>
      <c r="AE215" s="10"/>
      <c r="AI215" s="35"/>
      <c r="AJ215"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15" s="19" t="str">
        <f>IFERROR(IF(OR(TRIM(Table24[[#This Row],[DOB]])="",TRIM(Table24[[#This Row],[Date of Call]])=""),"Cannot be calculated",DATEDIF(Table24[[#This Row],[DOB]],Table24[[#This Row],[Date of Call]],"Y")),"Cannot be calculated")</f>
        <v>Cannot be calculated</v>
      </c>
      <c r="AL215"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15" s="19">
        <f>IFERROR(DATEDIF(Table24[[#This Row],[Date of Call]],Table24[[#This Row],[Follow-up Date]],"D"),"Cannot be calculated")</f>
        <v>0</v>
      </c>
      <c r="AN215" s="19" t="str">
        <f>IF(OR(Table24[[#This Row],[Client Age]]&lt;18,Table24[[#This Row],[If client DOB unknown, is client under 18?]]="Yes"),"Yes","No")</f>
        <v>No</v>
      </c>
      <c r="AO215" s="13" t="str">
        <f>IF(Table24[[#This Row],[Time of Inital Call]]="","",IFERROR(MROUND(Table24[[#This Row],[Time of Inital Call]],"1:00"),""))</f>
        <v/>
      </c>
      <c r="AP215" s="19" t="str">
        <f>IF(Table24[[#This Row],[Date of Call]]="","",TEXT(Table24[[#This Row],[Date of Call]],"dddd"))</f>
        <v/>
      </c>
      <c r="AQ215" s="19" t="str">
        <f>IFERROR(VLOOKUP(Table24[[#This Row],[Residence Zip Code]],Table27[],3,FALSE),"")</f>
        <v/>
      </c>
    </row>
    <row r="216" spans="1:43" x14ac:dyDescent="0.25">
      <c r="A216" s="10"/>
      <c r="C216" s="10"/>
      <c r="D216" s="11"/>
      <c r="E216" s="12"/>
      <c r="F216" s="12"/>
      <c r="G216" s="12"/>
      <c r="H216" s="10"/>
      <c r="I216" s="12"/>
      <c r="J216" s="12"/>
      <c r="K216" s="12"/>
      <c r="L216" s="12"/>
      <c r="M216" s="16"/>
      <c r="N216" s="18"/>
      <c r="O216" s="13"/>
      <c r="P216" s="13"/>
      <c r="Q216" s="13"/>
      <c r="R216" s="18"/>
      <c r="S216" s="13"/>
      <c r="T216" s="13"/>
      <c r="U216" s="10"/>
      <c r="V216" s="2"/>
      <c r="X216" s="13"/>
      <c r="Y216" s="3"/>
      <c r="Z216" s="3"/>
      <c r="AA216" s="12"/>
      <c r="AB216" s="10"/>
      <c r="AC216" s="10"/>
      <c r="AD216" s="10"/>
      <c r="AE216" s="10"/>
      <c r="AI216" s="35"/>
      <c r="AJ216"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16" s="19" t="str">
        <f>IFERROR(IF(OR(TRIM(Table24[[#This Row],[DOB]])="",TRIM(Table24[[#This Row],[Date of Call]])=""),"Cannot be calculated",DATEDIF(Table24[[#This Row],[DOB]],Table24[[#This Row],[Date of Call]],"Y")),"Cannot be calculated")</f>
        <v>Cannot be calculated</v>
      </c>
      <c r="AL216"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16" s="19">
        <f>IFERROR(DATEDIF(Table24[[#This Row],[Date of Call]],Table24[[#This Row],[Follow-up Date]],"D"),"Cannot be calculated")</f>
        <v>0</v>
      </c>
      <c r="AN216" s="19" t="str">
        <f>IF(OR(Table24[[#This Row],[Client Age]]&lt;18,Table24[[#This Row],[If client DOB unknown, is client under 18?]]="Yes"),"Yes","No")</f>
        <v>No</v>
      </c>
      <c r="AO216" s="13" t="str">
        <f>IF(Table24[[#This Row],[Time of Inital Call]]="","",IFERROR(MROUND(Table24[[#This Row],[Time of Inital Call]],"1:00"),""))</f>
        <v/>
      </c>
      <c r="AP216" s="19" t="str">
        <f>IF(Table24[[#This Row],[Date of Call]]="","",TEXT(Table24[[#This Row],[Date of Call]],"dddd"))</f>
        <v/>
      </c>
      <c r="AQ216" s="19" t="str">
        <f>IFERROR(VLOOKUP(Table24[[#This Row],[Residence Zip Code]],Table27[],3,FALSE),"")</f>
        <v/>
      </c>
    </row>
    <row r="217" spans="1:43" x14ac:dyDescent="0.25">
      <c r="A217" s="10"/>
      <c r="C217" s="10"/>
      <c r="D217" s="11"/>
      <c r="E217" s="12"/>
      <c r="F217" s="12"/>
      <c r="G217" s="12"/>
      <c r="H217" s="10"/>
      <c r="I217" s="12"/>
      <c r="J217" s="12"/>
      <c r="K217" s="12"/>
      <c r="L217" s="12"/>
      <c r="M217" s="16"/>
      <c r="N217" s="18"/>
      <c r="O217" s="13"/>
      <c r="P217" s="13"/>
      <c r="Q217" s="13"/>
      <c r="R217" s="18"/>
      <c r="S217" s="13"/>
      <c r="T217" s="13"/>
      <c r="U217" s="10"/>
      <c r="V217" s="2"/>
      <c r="X217" s="13"/>
      <c r="Y217" s="3"/>
      <c r="Z217" s="3"/>
      <c r="AA217" s="12"/>
      <c r="AB217" s="10"/>
      <c r="AC217" s="10"/>
      <c r="AD217" s="10"/>
      <c r="AE217" s="10"/>
      <c r="AI217" s="35"/>
      <c r="AJ217"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17" s="19" t="str">
        <f>IFERROR(IF(OR(TRIM(Table24[[#This Row],[DOB]])="",TRIM(Table24[[#This Row],[Date of Call]])=""),"Cannot be calculated",DATEDIF(Table24[[#This Row],[DOB]],Table24[[#This Row],[Date of Call]],"Y")),"Cannot be calculated")</f>
        <v>Cannot be calculated</v>
      </c>
      <c r="AL217"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17" s="19">
        <f>IFERROR(DATEDIF(Table24[[#This Row],[Date of Call]],Table24[[#This Row],[Follow-up Date]],"D"),"Cannot be calculated")</f>
        <v>0</v>
      </c>
      <c r="AN217" s="19" t="str">
        <f>IF(OR(Table24[[#This Row],[Client Age]]&lt;18,Table24[[#This Row],[If client DOB unknown, is client under 18?]]="Yes"),"Yes","No")</f>
        <v>No</v>
      </c>
      <c r="AO217" s="13" t="str">
        <f>IF(Table24[[#This Row],[Time of Inital Call]]="","",IFERROR(MROUND(Table24[[#This Row],[Time of Inital Call]],"1:00"),""))</f>
        <v/>
      </c>
      <c r="AP217" s="19" t="str">
        <f>IF(Table24[[#This Row],[Date of Call]]="","",TEXT(Table24[[#This Row],[Date of Call]],"dddd"))</f>
        <v/>
      </c>
      <c r="AQ217" s="19" t="str">
        <f>IFERROR(VLOOKUP(Table24[[#This Row],[Residence Zip Code]],Table27[],3,FALSE),"")</f>
        <v/>
      </c>
    </row>
    <row r="218" spans="1:43" x14ac:dyDescent="0.25">
      <c r="A218" s="10"/>
      <c r="C218" s="10"/>
      <c r="D218" s="11"/>
      <c r="E218" s="12"/>
      <c r="F218" s="12"/>
      <c r="G218" s="12"/>
      <c r="H218" s="10"/>
      <c r="I218" s="12"/>
      <c r="J218" s="12"/>
      <c r="K218" s="12"/>
      <c r="L218" s="12"/>
      <c r="M218" s="16"/>
      <c r="N218" s="18"/>
      <c r="O218" s="13"/>
      <c r="P218" s="13"/>
      <c r="Q218" s="13"/>
      <c r="R218" s="18"/>
      <c r="S218" s="13"/>
      <c r="T218" s="13"/>
      <c r="U218" s="10"/>
      <c r="V218" s="2"/>
      <c r="X218" s="13"/>
      <c r="Y218" s="3"/>
      <c r="Z218" s="3"/>
      <c r="AA218" s="12"/>
      <c r="AB218" s="10"/>
      <c r="AC218" s="10"/>
      <c r="AD218" s="10"/>
      <c r="AE218" s="10"/>
      <c r="AI218" s="35"/>
      <c r="AJ218"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18" s="19" t="str">
        <f>IFERROR(IF(OR(TRIM(Table24[[#This Row],[DOB]])="",TRIM(Table24[[#This Row],[Date of Call]])=""),"Cannot be calculated",DATEDIF(Table24[[#This Row],[DOB]],Table24[[#This Row],[Date of Call]],"Y")),"Cannot be calculated")</f>
        <v>Cannot be calculated</v>
      </c>
      <c r="AL218"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18" s="19">
        <f>IFERROR(DATEDIF(Table24[[#This Row],[Date of Call]],Table24[[#This Row],[Follow-up Date]],"D"),"Cannot be calculated")</f>
        <v>0</v>
      </c>
      <c r="AN218" s="19" t="str">
        <f>IF(OR(Table24[[#This Row],[Client Age]]&lt;18,Table24[[#This Row],[If client DOB unknown, is client under 18?]]="Yes"),"Yes","No")</f>
        <v>No</v>
      </c>
      <c r="AO218" s="13" t="str">
        <f>IF(Table24[[#This Row],[Time of Inital Call]]="","",IFERROR(MROUND(Table24[[#This Row],[Time of Inital Call]],"1:00"),""))</f>
        <v/>
      </c>
      <c r="AP218" s="19" t="str">
        <f>IF(Table24[[#This Row],[Date of Call]]="","",TEXT(Table24[[#This Row],[Date of Call]],"dddd"))</f>
        <v/>
      </c>
      <c r="AQ218" s="19" t="str">
        <f>IFERROR(VLOOKUP(Table24[[#This Row],[Residence Zip Code]],Table27[],3,FALSE),"")</f>
        <v/>
      </c>
    </row>
    <row r="219" spans="1:43" x14ac:dyDescent="0.25">
      <c r="A219" s="10"/>
      <c r="C219" s="10"/>
      <c r="D219" s="11"/>
      <c r="E219" s="12"/>
      <c r="F219" s="12"/>
      <c r="G219" s="12"/>
      <c r="H219" s="10"/>
      <c r="I219" s="12"/>
      <c r="J219" s="12"/>
      <c r="K219" s="12"/>
      <c r="L219" s="12"/>
      <c r="M219" s="16"/>
      <c r="N219" s="18"/>
      <c r="O219" s="13"/>
      <c r="P219" s="13"/>
      <c r="Q219" s="13"/>
      <c r="R219" s="18"/>
      <c r="S219" s="13"/>
      <c r="T219" s="13"/>
      <c r="U219" s="10"/>
      <c r="V219" s="2"/>
      <c r="X219" s="13"/>
      <c r="Y219" s="3"/>
      <c r="Z219" s="3"/>
      <c r="AA219" s="12"/>
      <c r="AB219" s="10"/>
      <c r="AC219" s="10"/>
      <c r="AD219" s="10"/>
      <c r="AE219" s="10"/>
      <c r="AI219" s="35"/>
      <c r="AJ219"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19" s="19" t="str">
        <f>IFERROR(IF(OR(TRIM(Table24[[#This Row],[DOB]])="",TRIM(Table24[[#This Row],[Date of Call]])=""),"Cannot be calculated",DATEDIF(Table24[[#This Row],[DOB]],Table24[[#This Row],[Date of Call]],"Y")),"Cannot be calculated")</f>
        <v>Cannot be calculated</v>
      </c>
      <c r="AL219"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19" s="19">
        <f>IFERROR(DATEDIF(Table24[[#This Row],[Date of Call]],Table24[[#This Row],[Follow-up Date]],"D"),"Cannot be calculated")</f>
        <v>0</v>
      </c>
      <c r="AN219" s="19" t="str">
        <f>IF(OR(Table24[[#This Row],[Client Age]]&lt;18,Table24[[#This Row],[If client DOB unknown, is client under 18?]]="Yes"),"Yes","No")</f>
        <v>No</v>
      </c>
      <c r="AO219" s="13" t="str">
        <f>IF(Table24[[#This Row],[Time of Inital Call]]="","",IFERROR(MROUND(Table24[[#This Row],[Time of Inital Call]],"1:00"),""))</f>
        <v/>
      </c>
      <c r="AP219" s="19" t="str">
        <f>IF(Table24[[#This Row],[Date of Call]]="","",TEXT(Table24[[#This Row],[Date of Call]],"dddd"))</f>
        <v/>
      </c>
      <c r="AQ219" s="19" t="str">
        <f>IFERROR(VLOOKUP(Table24[[#This Row],[Residence Zip Code]],Table27[],3,FALSE),"")</f>
        <v/>
      </c>
    </row>
    <row r="220" spans="1:43" x14ac:dyDescent="0.25">
      <c r="A220" s="10"/>
      <c r="C220" s="10"/>
      <c r="D220" s="11"/>
      <c r="E220" s="12"/>
      <c r="F220" s="12"/>
      <c r="G220" s="12"/>
      <c r="H220" s="10"/>
      <c r="I220" s="12"/>
      <c r="J220" s="12"/>
      <c r="K220" s="12"/>
      <c r="L220" s="12"/>
      <c r="M220" s="16"/>
      <c r="N220" s="18"/>
      <c r="O220" s="13"/>
      <c r="P220" s="13"/>
      <c r="Q220" s="13"/>
      <c r="R220" s="18"/>
      <c r="S220" s="13"/>
      <c r="T220" s="13"/>
      <c r="U220" s="10"/>
      <c r="V220" s="2"/>
      <c r="X220" s="13"/>
      <c r="Y220" s="3"/>
      <c r="Z220" s="3"/>
      <c r="AA220" s="12"/>
      <c r="AB220" s="10"/>
      <c r="AC220" s="10"/>
      <c r="AD220" s="10"/>
      <c r="AE220" s="10"/>
      <c r="AI220" s="35"/>
      <c r="AJ220"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20" s="19" t="str">
        <f>IFERROR(IF(OR(TRIM(Table24[[#This Row],[DOB]])="",TRIM(Table24[[#This Row],[Date of Call]])=""),"Cannot be calculated",DATEDIF(Table24[[#This Row],[DOB]],Table24[[#This Row],[Date of Call]],"Y")),"Cannot be calculated")</f>
        <v>Cannot be calculated</v>
      </c>
      <c r="AL220"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20" s="19">
        <f>IFERROR(DATEDIF(Table24[[#This Row],[Date of Call]],Table24[[#This Row],[Follow-up Date]],"D"),"Cannot be calculated")</f>
        <v>0</v>
      </c>
      <c r="AN220" s="19" t="str">
        <f>IF(OR(Table24[[#This Row],[Client Age]]&lt;18,Table24[[#This Row],[If client DOB unknown, is client under 18?]]="Yes"),"Yes","No")</f>
        <v>No</v>
      </c>
      <c r="AO220" s="13" t="str">
        <f>IF(Table24[[#This Row],[Time of Inital Call]]="","",IFERROR(MROUND(Table24[[#This Row],[Time of Inital Call]],"1:00"),""))</f>
        <v/>
      </c>
      <c r="AP220" s="19" t="str">
        <f>IF(Table24[[#This Row],[Date of Call]]="","",TEXT(Table24[[#This Row],[Date of Call]],"dddd"))</f>
        <v/>
      </c>
      <c r="AQ220" s="19" t="str">
        <f>IFERROR(VLOOKUP(Table24[[#This Row],[Residence Zip Code]],Table27[],3,FALSE),"")</f>
        <v/>
      </c>
    </row>
    <row r="221" spans="1:43" x14ac:dyDescent="0.25">
      <c r="A221" s="10"/>
      <c r="C221" s="10"/>
      <c r="D221" s="11"/>
      <c r="E221" s="12"/>
      <c r="F221" s="12"/>
      <c r="G221" s="12"/>
      <c r="H221" s="10"/>
      <c r="I221" s="12"/>
      <c r="J221" s="12"/>
      <c r="K221" s="12"/>
      <c r="L221" s="12"/>
      <c r="M221" s="16"/>
      <c r="N221" s="18"/>
      <c r="O221" s="13"/>
      <c r="P221" s="13"/>
      <c r="Q221" s="13"/>
      <c r="R221" s="18"/>
      <c r="S221" s="13"/>
      <c r="T221" s="13"/>
      <c r="U221" s="10"/>
      <c r="V221" s="2"/>
      <c r="X221" s="13"/>
      <c r="Y221" s="3"/>
      <c r="Z221" s="3"/>
      <c r="AA221" s="12"/>
      <c r="AB221" s="10"/>
      <c r="AC221" s="10"/>
      <c r="AD221" s="10"/>
      <c r="AE221" s="10"/>
      <c r="AI221" s="35"/>
      <c r="AJ221"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21" s="19" t="str">
        <f>IFERROR(IF(OR(TRIM(Table24[[#This Row],[DOB]])="",TRIM(Table24[[#This Row],[Date of Call]])=""),"Cannot be calculated",DATEDIF(Table24[[#This Row],[DOB]],Table24[[#This Row],[Date of Call]],"Y")),"Cannot be calculated")</f>
        <v>Cannot be calculated</v>
      </c>
      <c r="AL221"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21" s="19">
        <f>IFERROR(DATEDIF(Table24[[#This Row],[Date of Call]],Table24[[#This Row],[Follow-up Date]],"D"),"Cannot be calculated")</f>
        <v>0</v>
      </c>
      <c r="AN221" s="19" t="str">
        <f>IF(OR(Table24[[#This Row],[Client Age]]&lt;18,Table24[[#This Row],[If client DOB unknown, is client under 18?]]="Yes"),"Yes","No")</f>
        <v>No</v>
      </c>
      <c r="AO221" s="13" t="str">
        <f>IF(Table24[[#This Row],[Time of Inital Call]]="","",IFERROR(MROUND(Table24[[#This Row],[Time of Inital Call]],"1:00"),""))</f>
        <v/>
      </c>
      <c r="AP221" s="19" t="str">
        <f>IF(Table24[[#This Row],[Date of Call]]="","",TEXT(Table24[[#This Row],[Date of Call]],"dddd"))</f>
        <v/>
      </c>
      <c r="AQ221" s="19" t="str">
        <f>IFERROR(VLOOKUP(Table24[[#This Row],[Residence Zip Code]],Table27[],3,FALSE),"")</f>
        <v/>
      </c>
    </row>
    <row r="222" spans="1:43" x14ac:dyDescent="0.25">
      <c r="A222" s="10"/>
      <c r="C222" s="10"/>
      <c r="D222" s="11"/>
      <c r="E222" s="12"/>
      <c r="F222" s="12"/>
      <c r="G222" s="12"/>
      <c r="H222" s="10"/>
      <c r="I222" s="12"/>
      <c r="J222" s="12"/>
      <c r="K222" s="12"/>
      <c r="L222" s="12"/>
      <c r="M222" s="16"/>
      <c r="N222" s="18"/>
      <c r="O222" s="13"/>
      <c r="P222" s="13"/>
      <c r="Q222" s="13"/>
      <c r="R222" s="18"/>
      <c r="S222" s="13"/>
      <c r="T222" s="13"/>
      <c r="U222" s="10"/>
      <c r="V222" s="2"/>
      <c r="X222" s="13"/>
      <c r="Y222" s="3"/>
      <c r="Z222" s="3"/>
      <c r="AA222" s="12"/>
      <c r="AB222" s="10"/>
      <c r="AC222" s="10"/>
      <c r="AD222" s="10"/>
      <c r="AE222" s="10"/>
      <c r="AI222" s="35"/>
      <c r="AJ222"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22" s="19" t="str">
        <f>IFERROR(IF(OR(TRIM(Table24[[#This Row],[DOB]])="",TRIM(Table24[[#This Row],[Date of Call]])=""),"Cannot be calculated",DATEDIF(Table24[[#This Row],[DOB]],Table24[[#This Row],[Date of Call]],"Y")),"Cannot be calculated")</f>
        <v>Cannot be calculated</v>
      </c>
      <c r="AL222"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22" s="19">
        <f>IFERROR(DATEDIF(Table24[[#This Row],[Date of Call]],Table24[[#This Row],[Follow-up Date]],"D"),"Cannot be calculated")</f>
        <v>0</v>
      </c>
      <c r="AN222" s="19" t="str">
        <f>IF(OR(Table24[[#This Row],[Client Age]]&lt;18,Table24[[#This Row],[If client DOB unknown, is client under 18?]]="Yes"),"Yes","No")</f>
        <v>No</v>
      </c>
      <c r="AO222" s="13" t="str">
        <f>IF(Table24[[#This Row],[Time of Inital Call]]="","",IFERROR(MROUND(Table24[[#This Row],[Time of Inital Call]],"1:00"),""))</f>
        <v/>
      </c>
      <c r="AP222" s="19" t="str">
        <f>IF(Table24[[#This Row],[Date of Call]]="","",TEXT(Table24[[#This Row],[Date of Call]],"dddd"))</f>
        <v/>
      </c>
      <c r="AQ222" s="19" t="str">
        <f>IFERROR(VLOOKUP(Table24[[#This Row],[Residence Zip Code]],Table27[],3,FALSE),"")</f>
        <v/>
      </c>
    </row>
    <row r="223" spans="1:43" x14ac:dyDescent="0.25">
      <c r="A223" s="10"/>
      <c r="C223" s="10"/>
      <c r="D223" s="11"/>
      <c r="E223" s="12"/>
      <c r="F223" s="12"/>
      <c r="G223" s="12"/>
      <c r="H223" s="10"/>
      <c r="I223" s="12"/>
      <c r="J223" s="12"/>
      <c r="K223" s="12"/>
      <c r="L223" s="12"/>
      <c r="M223" s="16"/>
      <c r="N223" s="18"/>
      <c r="O223" s="13"/>
      <c r="P223" s="13"/>
      <c r="Q223" s="13"/>
      <c r="R223" s="18"/>
      <c r="S223" s="13"/>
      <c r="T223" s="13"/>
      <c r="U223" s="10"/>
      <c r="V223" s="2"/>
      <c r="X223" s="13"/>
      <c r="Y223" s="3"/>
      <c r="Z223" s="3"/>
      <c r="AA223" s="12"/>
      <c r="AB223" s="10"/>
      <c r="AC223" s="10"/>
      <c r="AD223" s="10"/>
      <c r="AE223" s="10"/>
      <c r="AI223" s="35"/>
      <c r="AJ223"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23" s="19" t="str">
        <f>IFERROR(IF(OR(TRIM(Table24[[#This Row],[DOB]])="",TRIM(Table24[[#This Row],[Date of Call]])=""),"Cannot be calculated",DATEDIF(Table24[[#This Row],[DOB]],Table24[[#This Row],[Date of Call]],"Y")),"Cannot be calculated")</f>
        <v>Cannot be calculated</v>
      </c>
      <c r="AL223"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23" s="19">
        <f>IFERROR(DATEDIF(Table24[[#This Row],[Date of Call]],Table24[[#This Row],[Follow-up Date]],"D"),"Cannot be calculated")</f>
        <v>0</v>
      </c>
      <c r="AN223" s="19" t="str">
        <f>IF(OR(Table24[[#This Row],[Client Age]]&lt;18,Table24[[#This Row],[If client DOB unknown, is client under 18?]]="Yes"),"Yes","No")</f>
        <v>No</v>
      </c>
      <c r="AO223" s="13" t="str">
        <f>IF(Table24[[#This Row],[Time of Inital Call]]="","",IFERROR(MROUND(Table24[[#This Row],[Time of Inital Call]],"1:00"),""))</f>
        <v/>
      </c>
      <c r="AP223" s="19" t="str">
        <f>IF(Table24[[#This Row],[Date of Call]]="","",TEXT(Table24[[#This Row],[Date of Call]],"dddd"))</f>
        <v/>
      </c>
      <c r="AQ223" s="19" t="str">
        <f>IFERROR(VLOOKUP(Table24[[#This Row],[Residence Zip Code]],Table27[],3,FALSE),"")</f>
        <v/>
      </c>
    </row>
    <row r="224" spans="1:43" x14ac:dyDescent="0.25">
      <c r="A224" s="10"/>
      <c r="C224" s="10"/>
      <c r="D224" s="11"/>
      <c r="E224" s="12"/>
      <c r="F224" s="12"/>
      <c r="G224" s="12"/>
      <c r="H224" s="10"/>
      <c r="I224" s="12"/>
      <c r="J224" s="12"/>
      <c r="K224" s="12"/>
      <c r="L224" s="12"/>
      <c r="M224" s="16"/>
      <c r="N224" s="18"/>
      <c r="O224" s="13"/>
      <c r="P224" s="13"/>
      <c r="Q224" s="13"/>
      <c r="R224" s="18"/>
      <c r="S224" s="13"/>
      <c r="T224" s="13"/>
      <c r="U224" s="10"/>
      <c r="V224" s="2"/>
      <c r="X224" s="13"/>
      <c r="Y224" s="3"/>
      <c r="Z224" s="3"/>
      <c r="AA224" s="12"/>
      <c r="AB224" s="10"/>
      <c r="AC224" s="10"/>
      <c r="AD224" s="10"/>
      <c r="AE224" s="10"/>
      <c r="AI224" s="35"/>
      <c r="AJ224"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24" s="19" t="str">
        <f>IFERROR(IF(OR(TRIM(Table24[[#This Row],[DOB]])="",TRIM(Table24[[#This Row],[Date of Call]])=""),"Cannot be calculated",DATEDIF(Table24[[#This Row],[DOB]],Table24[[#This Row],[Date of Call]],"Y")),"Cannot be calculated")</f>
        <v>Cannot be calculated</v>
      </c>
      <c r="AL224"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24" s="19">
        <f>IFERROR(DATEDIF(Table24[[#This Row],[Date of Call]],Table24[[#This Row],[Follow-up Date]],"D"),"Cannot be calculated")</f>
        <v>0</v>
      </c>
      <c r="AN224" s="19" t="str">
        <f>IF(OR(Table24[[#This Row],[Client Age]]&lt;18,Table24[[#This Row],[If client DOB unknown, is client under 18?]]="Yes"),"Yes","No")</f>
        <v>No</v>
      </c>
      <c r="AO224" s="13" t="str">
        <f>IF(Table24[[#This Row],[Time of Inital Call]]="","",IFERROR(MROUND(Table24[[#This Row],[Time of Inital Call]],"1:00"),""))</f>
        <v/>
      </c>
      <c r="AP224" s="19" t="str">
        <f>IF(Table24[[#This Row],[Date of Call]]="","",TEXT(Table24[[#This Row],[Date of Call]],"dddd"))</f>
        <v/>
      </c>
      <c r="AQ224" s="19" t="str">
        <f>IFERROR(VLOOKUP(Table24[[#This Row],[Residence Zip Code]],Table27[],3,FALSE),"")</f>
        <v/>
      </c>
    </row>
    <row r="225" spans="1:43" x14ac:dyDescent="0.25">
      <c r="A225" s="10"/>
      <c r="C225" s="10"/>
      <c r="D225" s="11"/>
      <c r="E225" s="12"/>
      <c r="F225" s="12"/>
      <c r="G225" s="12"/>
      <c r="H225" s="10"/>
      <c r="I225" s="12"/>
      <c r="J225" s="12"/>
      <c r="K225" s="12"/>
      <c r="L225" s="12"/>
      <c r="M225" s="16"/>
      <c r="N225" s="18"/>
      <c r="O225" s="13"/>
      <c r="P225" s="13"/>
      <c r="Q225" s="13"/>
      <c r="R225" s="18"/>
      <c r="S225" s="13"/>
      <c r="T225" s="13"/>
      <c r="U225" s="10"/>
      <c r="V225" s="2"/>
      <c r="X225" s="13"/>
      <c r="Y225" s="3"/>
      <c r="Z225" s="3"/>
      <c r="AA225" s="12"/>
      <c r="AB225" s="10"/>
      <c r="AC225" s="10"/>
      <c r="AD225" s="10"/>
      <c r="AE225" s="10"/>
      <c r="AI225" s="35"/>
      <c r="AJ225"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25" s="19" t="str">
        <f>IFERROR(IF(OR(TRIM(Table24[[#This Row],[DOB]])="",TRIM(Table24[[#This Row],[Date of Call]])=""),"Cannot be calculated",DATEDIF(Table24[[#This Row],[DOB]],Table24[[#This Row],[Date of Call]],"Y")),"Cannot be calculated")</f>
        <v>Cannot be calculated</v>
      </c>
      <c r="AL225"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25" s="19">
        <f>IFERROR(DATEDIF(Table24[[#This Row],[Date of Call]],Table24[[#This Row],[Follow-up Date]],"D"),"Cannot be calculated")</f>
        <v>0</v>
      </c>
      <c r="AN225" s="19" t="str">
        <f>IF(OR(Table24[[#This Row],[Client Age]]&lt;18,Table24[[#This Row],[If client DOB unknown, is client under 18?]]="Yes"),"Yes","No")</f>
        <v>No</v>
      </c>
      <c r="AO225" s="13" t="str">
        <f>IF(Table24[[#This Row],[Time of Inital Call]]="","",IFERROR(MROUND(Table24[[#This Row],[Time of Inital Call]],"1:00"),""))</f>
        <v/>
      </c>
      <c r="AP225" s="19" t="str">
        <f>IF(Table24[[#This Row],[Date of Call]]="","",TEXT(Table24[[#This Row],[Date of Call]],"dddd"))</f>
        <v/>
      </c>
      <c r="AQ225" s="19" t="str">
        <f>IFERROR(VLOOKUP(Table24[[#This Row],[Residence Zip Code]],Table27[],3,FALSE),"")</f>
        <v/>
      </c>
    </row>
    <row r="226" spans="1:43" x14ac:dyDescent="0.25">
      <c r="A226" s="10"/>
      <c r="C226" s="10"/>
      <c r="D226" s="11"/>
      <c r="E226" s="12"/>
      <c r="F226" s="12"/>
      <c r="G226" s="12"/>
      <c r="H226" s="10"/>
      <c r="I226" s="12"/>
      <c r="J226" s="12"/>
      <c r="K226" s="12"/>
      <c r="L226" s="12"/>
      <c r="M226" s="16"/>
      <c r="N226" s="18"/>
      <c r="O226" s="13"/>
      <c r="P226" s="13"/>
      <c r="Q226" s="13"/>
      <c r="R226" s="18"/>
      <c r="S226" s="13"/>
      <c r="T226" s="13"/>
      <c r="U226" s="10"/>
      <c r="V226" s="2"/>
      <c r="X226" s="13"/>
      <c r="Y226" s="3"/>
      <c r="Z226" s="3"/>
      <c r="AA226" s="12"/>
      <c r="AB226" s="10"/>
      <c r="AC226" s="10"/>
      <c r="AD226" s="10"/>
      <c r="AE226" s="10"/>
      <c r="AI226" s="35"/>
      <c r="AJ226"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26" s="19" t="str">
        <f>IFERROR(IF(OR(TRIM(Table24[[#This Row],[DOB]])="",TRIM(Table24[[#This Row],[Date of Call]])=""),"Cannot be calculated",DATEDIF(Table24[[#This Row],[DOB]],Table24[[#This Row],[Date of Call]],"Y")),"Cannot be calculated")</f>
        <v>Cannot be calculated</v>
      </c>
      <c r="AL226"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26" s="19">
        <f>IFERROR(DATEDIF(Table24[[#This Row],[Date of Call]],Table24[[#This Row],[Follow-up Date]],"D"),"Cannot be calculated")</f>
        <v>0</v>
      </c>
      <c r="AN226" s="19" t="str">
        <f>IF(OR(Table24[[#This Row],[Client Age]]&lt;18,Table24[[#This Row],[If client DOB unknown, is client under 18?]]="Yes"),"Yes","No")</f>
        <v>No</v>
      </c>
      <c r="AO226" s="13" t="str">
        <f>IF(Table24[[#This Row],[Time of Inital Call]]="","",IFERROR(MROUND(Table24[[#This Row],[Time of Inital Call]],"1:00"),""))</f>
        <v/>
      </c>
      <c r="AP226" s="19" t="str">
        <f>IF(Table24[[#This Row],[Date of Call]]="","",TEXT(Table24[[#This Row],[Date of Call]],"dddd"))</f>
        <v/>
      </c>
      <c r="AQ226" s="19" t="str">
        <f>IFERROR(VLOOKUP(Table24[[#This Row],[Residence Zip Code]],Table27[],3,FALSE),"")</f>
        <v/>
      </c>
    </row>
    <row r="227" spans="1:43" x14ac:dyDescent="0.25">
      <c r="A227" s="10"/>
      <c r="C227" s="10"/>
      <c r="D227" s="11"/>
      <c r="E227" s="12"/>
      <c r="F227" s="12"/>
      <c r="G227" s="12"/>
      <c r="H227" s="10"/>
      <c r="I227" s="12"/>
      <c r="J227" s="12"/>
      <c r="K227" s="12"/>
      <c r="L227" s="12"/>
      <c r="M227" s="16"/>
      <c r="N227" s="18"/>
      <c r="O227" s="13"/>
      <c r="P227" s="13"/>
      <c r="Q227" s="13"/>
      <c r="R227" s="18"/>
      <c r="S227" s="13"/>
      <c r="T227" s="13"/>
      <c r="U227" s="10"/>
      <c r="V227" s="2"/>
      <c r="X227" s="13"/>
      <c r="Y227" s="3"/>
      <c r="Z227" s="3"/>
      <c r="AA227" s="12"/>
      <c r="AB227" s="10"/>
      <c r="AC227" s="10"/>
      <c r="AD227" s="10"/>
      <c r="AE227" s="10"/>
      <c r="AI227" s="35"/>
      <c r="AJ227"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27" s="19" t="str">
        <f>IFERROR(IF(OR(TRIM(Table24[[#This Row],[DOB]])="",TRIM(Table24[[#This Row],[Date of Call]])=""),"Cannot be calculated",DATEDIF(Table24[[#This Row],[DOB]],Table24[[#This Row],[Date of Call]],"Y")),"Cannot be calculated")</f>
        <v>Cannot be calculated</v>
      </c>
      <c r="AL227"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27" s="19">
        <f>IFERROR(DATEDIF(Table24[[#This Row],[Date of Call]],Table24[[#This Row],[Follow-up Date]],"D"),"Cannot be calculated")</f>
        <v>0</v>
      </c>
      <c r="AN227" s="19" t="str">
        <f>IF(OR(Table24[[#This Row],[Client Age]]&lt;18,Table24[[#This Row],[If client DOB unknown, is client under 18?]]="Yes"),"Yes","No")</f>
        <v>No</v>
      </c>
      <c r="AO227" s="13" t="str">
        <f>IF(Table24[[#This Row],[Time of Inital Call]]="","",IFERROR(MROUND(Table24[[#This Row],[Time of Inital Call]],"1:00"),""))</f>
        <v/>
      </c>
      <c r="AP227" s="19" t="str">
        <f>IF(Table24[[#This Row],[Date of Call]]="","",TEXT(Table24[[#This Row],[Date of Call]],"dddd"))</f>
        <v/>
      </c>
      <c r="AQ227" s="19" t="str">
        <f>IFERROR(VLOOKUP(Table24[[#This Row],[Residence Zip Code]],Table27[],3,FALSE),"")</f>
        <v/>
      </c>
    </row>
    <row r="228" spans="1:43" x14ac:dyDescent="0.25">
      <c r="A228" s="10"/>
      <c r="C228" s="10"/>
      <c r="D228" s="11"/>
      <c r="E228" s="12"/>
      <c r="F228" s="12"/>
      <c r="G228" s="12"/>
      <c r="H228" s="10"/>
      <c r="I228" s="12"/>
      <c r="J228" s="12"/>
      <c r="K228" s="12"/>
      <c r="L228" s="12"/>
      <c r="M228" s="16"/>
      <c r="N228" s="18"/>
      <c r="O228" s="13"/>
      <c r="P228" s="13"/>
      <c r="Q228" s="13"/>
      <c r="R228" s="18"/>
      <c r="S228" s="13"/>
      <c r="T228" s="13"/>
      <c r="U228" s="10"/>
      <c r="V228" s="2"/>
      <c r="X228" s="13"/>
      <c r="Y228" s="3"/>
      <c r="Z228" s="3"/>
      <c r="AA228" s="12"/>
      <c r="AB228" s="10"/>
      <c r="AC228" s="10"/>
      <c r="AD228" s="10"/>
      <c r="AE228" s="10"/>
      <c r="AI228" s="35"/>
      <c r="AJ228"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28" s="19" t="str">
        <f>IFERROR(IF(OR(TRIM(Table24[[#This Row],[DOB]])="",TRIM(Table24[[#This Row],[Date of Call]])=""),"Cannot be calculated",DATEDIF(Table24[[#This Row],[DOB]],Table24[[#This Row],[Date of Call]],"Y")),"Cannot be calculated")</f>
        <v>Cannot be calculated</v>
      </c>
      <c r="AL228"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28" s="19">
        <f>IFERROR(DATEDIF(Table24[[#This Row],[Date of Call]],Table24[[#This Row],[Follow-up Date]],"D"),"Cannot be calculated")</f>
        <v>0</v>
      </c>
      <c r="AN228" s="19" t="str">
        <f>IF(OR(Table24[[#This Row],[Client Age]]&lt;18,Table24[[#This Row],[If client DOB unknown, is client under 18?]]="Yes"),"Yes","No")</f>
        <v>No</v>
      </c>
      <c r="AO228" s="13" t="str">
        <f>IF(Table24[[#This Row],[Time of Inital Call]]="","",IFERROR(MROUND(Table24[[#This Row],[Time of Inital Call]],"1:00"),""))</f>
        <v/>
      </c>
      <c r="AP228" s="19" t="str">
        <f>IF(Table24[[#This Row],[Date of Call]]="","",TEXT(Table24[[#This Row],[Date of Call]],"dddd"))</f>
        <v/>
      </c>
      <c r="AQ228" s="19" t="str">
        <f>IFERROR(VLOOKUP(Table24[[#This Row],[Residence Zip Code]],Table27[],3,FALSE),"")</f>
        <v/>
      </c>
    </row>
    <row r="229" spans="1:43" x14ac:dyDescent="0.25">
      <c r="A229" s="10"/>
      <c r="C229" s="10"/>
      <c r="D229" s="11"/>
      <c r="E229" s="12"/>
      <c r="F229" s="12"/>
      <c r="G229" s="12"/>
      <c r="H229" s="10"/>
      <c r="I229" s="12"/>
      <c r="J229" s="12"/>
      <c r="K229" s="12"/>
      <c r="L229" s="12"/>
      <c r="M229" s="16"/>
      <c r="N229" s="18"/>
      <c r="O229" s="13"/>
      <c r="P229" s="13"/>
      <c r="Q229" s="13"/>
      <c r="R229" s="18"/>
      <c r="S229" s="13"/>
      <c r="T229" s="13"/>
      <c r="U229" s="10"/>
      <c r="V229" s="2"/>
      <c r="X229" s="13"/>
      <c r="Y229" s="3"/>
      <c r="Z229" s="3"/>
      <c r="AA229" s="12"/>
      <c r="AB229" s="10"/>
      <c r="AC229" s="10"/>
      <c r="AD229" s="10"/>
      <c r="AE229" s="10"/>
      <c r="AI229" s="35"/>
      <c r="AJ229"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29" s="19" t="str">
        <f>IFERROR(IF(OR(TRIM(Table24[[#This Row],[DOB]])="",TRIM(Table24[[#This Row],[Date of Call]])=""),"Cannot be calculated",DATEDIF(Table24[[#This Row],[DOB]],Table24[[#This Row],[Date of Call]],"Y")),"Cannot be calculated")</f>
        <v>Cannot be calculated</v>
      </c>
      <c r="AL229"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29" s="19">
        <f>IFERROR(DATEDIF(Table24[[#This Row],[Date of Call]],Table24[[#This Row],[Follow-up Date]],"D"),"Cannot be calculated")</f>
        <v>0</v>
      </c>
      <c r="AN229" s="19" t="str">
        <f>IF(OR(Table24[[#This Row],[Client Age]]&lt;18,Table24[[#This Row],[If client DOB unknown, is client under 18?]]="Yes"),"Yes","No")</f>
        <v>No</v>
      </c>
      <c r="AO229" s="13" t="str">
        <f>IF(Table24[[#This Row],[Time of Inital Call]]="","",IFERROR(MROUND(Table24[[#This Row],[Time of Inital Call]],"1:00"),""))</f>
        <v/>
      </c>
      <c r="AP229" s="19" t="str">
        <f>IF(Table24[[#This Row],[Date of Call]]="","",TEXT(Table24[[#This Row],[Date of Call]],"dddd"))</f>
        <v/>
      </c>
      <c r="AQ229" s="19" t="str">
        <f>IFERROR(VLOOKUP(Table24[[#This Row],[Residence Zip Code]],Table27[],3,FALSE),"")</f>
        <v/>
      </c>
    </row>
    <row r="230" spans="1:43" x14ac:dyDescent="0.25">
      <c r="A230" s="10"/>
      <c r="C230" s="10"/>
      <c r="D230" s="11"/>
      <c r="E230" s="12"/>
      <c r="F230" s="12"/>
      <c r="G230" s="12"/>
      <c r="H230" s="10"/>
      <c r="I230" s="12"/>
      <c r="J230" s="12"/>
      <c r="K230" s="12"/>
      <c r="L230" s="12"/>
      <c r="M230" s="16"/>
      <c r="N230" s="18"/>
      <c r="O230" s="13"/>
      <c r="P230" s="13"/>
      <c r="Q230" s="13"/>
      <c r="R230" s="18"/>
      <c r="S230" s="13"/>
      <c r="T230" s="13"/>
      <c r="U230" s="10"/>
      <c r="V230" s="2"/>
      <c r="X230" s="13"/>
      <c r="Y230" s="3"/>
      <c r="Z230" s="3"/>
      <c r="AA230" s="12"/>
      <c r="AB230" s="10"/>
      <c r="AC230" s="10"/>
      <c r="AD230" s="10"/>
      <c r="AE230" s="10"/>
      <c r="AI230" s="35"/>
      <c r="AJ230"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30" s="19" t="str">
        <f>IFERROR(IF(OR(TRIM(Table24[[#This Row],[DOB]])="",TRIM(Table24[[#This Row],[Date of Call]])=""),"Cannot be calculated",DATEDIF(Table24[[#This Row],[DOB]],Table24[[#This Row],[Date of Call]],"Y")),"Cannot be calculated")</f>
        <v>Cannot be calculated</v>
      </c>
      <c r="AL230"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30" s="19">
        <f>IFERROR(DATEDIF(Table24[[#This Row],[Date of Call]],Table24[[#This Row],[Follow-up Date]],"D"),"Cannot be calculated")</f>
        <v>0</v>
      </c>
      <c r="AN230" s="19" t="str">
        <f>IF(OR(Table24[[#This Row],[Client Age]]&lt;18,Table24[[#This Row],[If client DOB unknown, is client under 18?]]="Yes"),"Yes","No")</f>
        <v>No</v>
      </c>
      <c r="AO230" s="13" t="str">
        <f>IF(Table24[[#This Row],[Time of Inital Call]]="","",IFERROR(MROUND(Table24[[#This Row],[Time of Inital Call]],"1:00"),""))</f>
        <v/>
      </c>
      <c r="AP230" s="19" t="str">
        <f>IF(Table24[[#This Row],[Date of Call]]="","",TEXT(Table24[[#This Row],[Date of Call]],"dddd"))</f>
        <v/>
      </c>
      <c r="AQ230" s="19" t="str">
        <f>IFERROR(VLOOKUP(Table24[[#This Row],[Residence Zip Code]],Table27[],3,FALSE),"")</f>
        <v/>
      </c>
    </row>
    <row r="231" spans="1:43" x14ac:dyDescent="0.25">
      <c r="A231" s="10"/>
      <c r="C231" s="10"/>
      <c r="D231" s="11"/>
      <c r="E231" s="12"/>
      <c r="F231" s="12"/>
      <c r="G231" s="12"/>
      <c r="H231" s="10"/>
      <c r="I231" s="12"/>
      <c r="J231" s="12"/>
      <c r="K231" s="12"/>
      <c r="L231" s="12"/>
      <c r="M231" s="16"/>
      <c r="N231" s="18"/>
      <c r="O231" s="13"/>
      <c r="P231" s="13"/>
      <c r="Q231" s="13"/>
      <c r="R231" s="18"/>
      <c r="S231" s="13"/>
      <c r="T231" s="13"/>
      <c r="U231" s="10"/>
      <c r="V231" s="2"/>
      <c r="X231" s="13"/>
      <c r="Y231" s="3"/>
      <c r="Z231" s="3"/>
      <c r="AA231" s="12"/>
      <c r="AB231" s="10"/>
      <c r="AC231" s="10"/>
      <c r="AD231" s="10"/>
      <c r="AE231" s="10"/>
      <c r="AI231" s="35"/>
      <c r="AJ231"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31" s="19" t="str">
        <f>IFERROR(IF(OR(TRIM(Table24[[#This Row],[DOB]])="",TRIM(Table24[[#This Row],[Date of Call]])=""),"Cannot be calculated",DATEDIF(Table24[[#This Row],[DOB]],Table24[[#This Row],[Date of Call]],"Y")),"Cannot be calculated")</f>
        <v>Cannot be calculated</v>
      </c>
      <c r="AL231"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31" s="19">
        <f>IFERROR(DATEDIF(Table24[[#This Row],[Date of Call]],Table24[[#This Row],[Follow-up Date]],"D"),"Cannot be calculated")</f>
        <v>0</v>
      </c>
      <c r="AN231" s="19" t="str">
        <f>IF(OR(Table24[[#This Row],[Client Age]]&lt;18,Table24[[#This Row],[If client DOB unknown, is client under 18?]]="Yes"),"Yes","No")</f>
        <v>No</v>
      </c>
      <c r="AO231" s="13" t="str">
        <f>IF(Table24[[#This Row],[Time of Inital Call]]="","",IFERROR(MROUND(Table24[[#This Row],[Time of Inital Call]],"1:00"),""))</f>
        <v/>
      </c>
      <c r="AP231" s="19" t="str">
        <f>IF(Table24[[#This Row],[Date of Call]]="","",TEXT(Table24[[#This Row],[Date of Call]],"dddd"))</f>
        <v/>
      </c>
      <c r="AQ231" s="19" t="str">
        <f>IFERROR(VLOOKUP(Table24[[#This Row],[Residence Zip Code]],Table27[],3,FALSE),"")</f>
        <v/>
      </c>
    </row>
    <row r="232" spans="1:43" x14ac:dyDescent="0.25">
      <c r="A232" s="10"/>
      <c r="C232" s="10"/>
      <c r="D232" s="11"/>
      <c r="E232" s="12"/>
      <c r="F232" s="12"/>
      <c r="G232" s="12"/>
      <c r="H232" s="10"/>
      <c r="I232" s="12"/>
      <c r="J232" s="12"/>
      <c r="K232" s="12"/>
      <c r="L232" s="12"/>
      <c r="M232" s="16"/>
      <c r="N232" s="18"/>
      <c r="O232" s="13"/>
      <c r="P232" s="13"/>
      <c r="Q232" s="13"/>
      <c r="R232" s="18"/>
      <c r="S232" s="13"/>
      <c r="T232" s="13"/>
      <c r="U232" s="10"/>
      <c r="V232" s="2"/>
      <c r="X232" s="13"/>
      <c r="Y232" s="3"/>
      <c r="Z232" s="3"/>
      <c r="AA232" s="12"/>
      <c r="AB232" s="10"/>
      <c r="AC232" s="10"/>
      <c r="AD232" s="10"/>
      <c r="AE232" s="10"/>
      <c r="AI232" s="35"/>
      <c r="AJ232"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32" s="19" t="str">
        <f>IFERROR(IF(OR(TRIM(Table24[[#This Row],[DOB]])="",TRIM(Table24[[#This Row],[Date of Call]])=""),"Cannot be calculated",DATEDIF(Table24[[#This Row],[DOB]],Table24[[#This Row],[Date of Call]],"Y")),"Cannot be calculated")</f>
        <v>Cannot be calculated</v>
      </c>
      <c r="AL232"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32" s="19">
        <f>IFERROR(DATEDIF(Table24[[#This Row],[Date of Call]],Table24[[#This Row],[Follow-up Date]],"D"),"Cannot be calculated")</f>
        <v>0</v>
      </c>
      <c r="AN232" s="19" t="str">
        <f>IF(OR(Table24[[#This Row],[Client Age]]&lt;18,Table24[[#This Row],[If client DOB unknown, is client under 18?]]="Yes"),"Yes","No")</f>
        <v>No</v>
      </c>
      <c r="AO232" s="13" t="str">
        <f>IF(Table24[[#This Row],[Time of Inital Call]]="","",IFERROR(MROUND(Table24[[#This Row],[Time of Inital Call]],"1:00"),""))</f>
        <v/>
      </c>
      <c r="AP232" s="19" t="str">
        <f>IF(Table24[[#This Row],[Date of Call]]="","",TEXT(Table24[[#This Row],[Date of Call]],"dddd"))</f>
        <v/>
      </c>
      <c r="AQ232" s="19" t="str">
        <f>IFERROR(VLOOKUP(Table24[[#This Row],[Residence Zip Code]],Table27[],3,FALSE),"")</f>
        <v/>
      </c>
    </row>
    <row r="233" spans="1:43" x14ac:dyDescent="0.25">
      <c r="A233" s="10"/>
      <c r="C233" s="10"/>
      <c r="D233" s="11"/>
      <c r="E233" s="12"/>
      <c r="F233" s="12"/>
      <c r="G233" s="12"/>
      <c r="H233" s="10"/>
      <c r="I233" s="12"/>
      <c r="J233" s="12"/>
      <c r="K233" s="12"/>
      <c r="L233" s="12"/>
      <c r="M233" s="16"/>
      <c r="N233" s="18"/>
      <c r="O233" s="13"/>
      <c r="P233" s="13"/>
      <c r="Q233" s="13"/>
      <c r="R233" s="18"/>
      <c r="S233" s="13"/>
      <c r="T233" s="13"/>
      <c r="U233" s="10"/>
      <c r="V233" s="2"/>
      <c r="X233" s="13"/>
      <c r="Y233" s="3"/>
      <c r="Z233" s="3"/>
      <c r="AA233" s="12"/>
      <c r="AB233" s="10"/>
      <c r="AC233" s="10"/>
      <c r="AD233" s="10"/>
      <c r="AE233" s="10"/>
      <c r="AI233" s="35"/>
      <c r="AJ233"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33" s="19" t="str">
        <f>IFERROR(IF(OR(TRIM(Table24[[#This Row],[DOB]])="",TRIM(Table24[[#This Row],[Date of Call]])=""),"Cannot be calculated",DATEDIF(Table24[[#This Row],[DOB]],Table24[[#This Row],[Date of Call]],"Y")),"Cannot be calculated")</f>
        <v>Cannot be calculated</v>
      </c>
      <c r="AL233"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33" s="19">
        <f>IFERROR(DATEDIF(Table24[[#This Row],[Date of Call]],Table24[[#This Row],[Follow-up Date]],"D"),"Cannot be calculated")</f>
        <v>0</v>
      </c>
      <c r="AN233" s="19" t="str">
        <f>IF(OR(Table24[[#This Row],[Client Age]]&lt;18,Table24[[#This Row],[If client DOB unknown, is client under 18?]]="Yes"),"Yes","No")</f>
        <v>No</v>
      </c>
      <c r="AO233" s="13" t="str">
        <f>IF(Table24[[#This Row],[Time of Inital Call]]="","",IFERROR(MROUND(Table24[[#This Row],[Time of Inital Call]],"1:00"),""))</f>
        <v/>
      </c>
      <c r="AP233" s="19" t="str">
        <f>IF(Table24[[#This Row],[Date of Call]]="","",TEXT(Table24[[#This Row],[Date of Call]],"dddd"))</f>
        <v/>
      </c>
      <c r="AQ233" s="19" t="str">
        <f>IFERROR(VLOOKUP(Table24[[#This Row],[Residence Zip Code]],Table27[],3,FALSE),"")</f>
        <v/>
      </c>
    </row>
    <row r="234" spans="1:43" x14ac:dyDescent="0.25">
      <c r="A234" s="10"/>
      <c r="C234" s="10"/>
      <c r="D234" s="11"/>
      <c r="E234" s="12"/>
      <c r="F234" s="12"/>
      <c r="G234" s="12"/>
      <c r="H234" s="10"/>
      <c r="I234" s="12"/>
      <c r="J234" s="12"/>
      <c r="K234" s="12"/>
      <c r="L234" s="12"/>
      <c r="M234" s="16"/>
      <c r="N234" s="18"/>
      <c r="O234" s="13"/>
      <c r="P234" s="13"/>
      <c r="Q234" s="13"/>
      <c r="R234" s="18"/>
      <c r="S234" s="13"/>
      <c r="T234" s="13"/>
      <c r="U234" s="10"/>
      <c r="V234" s="2"/>
      <c r="X234" s="13"/>
      <c r="Y234" s="3"/>
      <c r="Z234" s="3"/>
      <c r="AA234" s="12"/>
      <c r="AB234" s="10"/>
      <c r="AC234" s="10"/>
      <c r="AD234" s="10"/>
      <c r="AE234" s="10"/>
      <c r="AI234" s="35"/>
      <c r="AJ234"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34" s="19" t="str">
        <f>IFERROR(IF(OR(TRIM(Table24[[#This Row],[DOB]])="",TRIM(Table24[[#This Row],[Date of Call]])=""),"Cannot be calculated",DATEDIF(Table24[[#This Row],[DOB]],Table24[[#This Row],[Date of Call]],"Y")),"Cannot be calculated")</f>
        <v>Cannot be calculated</v>
      </c>
      <c r="AL234"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34" s="19">
        <f>IFERROR(DATEDIF(Table24[[#This Row],[Date of Call]],Table24[[#This Row],[Follow-up Date]],"D"),"Cannot be calculated")</f>
        <v>0</v>
      </c>
      <c r="AN234" s="19" t="str">
        <f>IF(OR(Table24[[#This Row],[Client Age]]&lt;18,Table24[[#This Row],[If client DOB unknown, is client under 18?]]="Yes"),"Yes","No")</f>
        <v>No</v>
      </c>
      <c r="AO234" s="13" t="str">
        <f>IF(Table24[[#This Row],[Time of Inital Call]]="","",IFERROR(MROUND(Table24[[#This Row],[Time of Inital Call]],"1:00"),""))</f>
        <v/>
      </c>
      <c r="AP234" s="19" t="str">
        <f>IF(Table24[[#This Row],[Date of Call]]="","",TEXT(Table24[[#This Row],[Date of Call]],"dddd"))</f>
        <v/>
      </c>
      <c r="AQ234" s="19" t="str">
        <f>IFERROR(VLOOKUP(Table24[[#This Row],[Residence Zip Code]],Table27[],3,FALSE),"")</f>
        <v/>
      </c>
    </row>
    <row r="235" spans="1:43" x14ac:dyDescent="0.25">
      <c r="A235" s="10"/>
      <c r="C235" s="10"/>
      <c r="D235" s="11"/>
      <c r="E235" s="12"/>
      <c r="F235" s="12"/>
      <c r="G235" s="12"/>
      <c r="H235" s="10"/>
      <c r="I235" s="12"/>
      <c r="J235" s="12"/>
      <c r="K235" s="12"/>
      <c r="L235" s="12"/>
      <c r="M235" s="16"/>
      <c r="N235" s="18"/>
      <c r="O235" s="13"/>
      <c r="P235" s="13"/>
      <c r="Q235" s="13"/>
      <c r="R235" s="18"/>
      <c r="S235" s="13"/>
      <c r="T235" s="13"/>
      <c r="U235" s="10"/>
      <c r="V235" s="2"/>
      <c r="X235" s="13"/>
      <c r="Y235" s="3"/>
      <c r="Z235" s="3"/>
      <c r="AA235" s="12"/>
      <c r="AB235" s="10"/>
      <c r="AC235" s="10"/>
      <c r="AD235" s="10"/>
      <c r="AE235" s="10"/>
      <c r="AI235" s="35"/>
      <c r="AJ235"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35" s="19" t="str">
        <f>IFERROR(IF(OR(TRIM(Table24[[#This Row],[DOB]])="",TRIM(Table24[[#This Row],[Date of Call]])=""),"Cannot be calculated",DATEDIF(Table24[[#This Row],[DOB]],Table24[[#This Row],[Date of Call]],"Y")),"Cannot be calculated")</f>
        <v>Cannot be calculated</v>
      </c>
      <c r="AL235"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35" s="19">
        <f>IFERROR(DATEDIF(Table24[[#This Row],[Date of Call]],Table24[[#This Row],[Follow-up Date]],"D"),"Cannot be calculated")</f>
        <v>0</v>
      </c>
      <c r="AN235" s="19" t="str">
        <f>IF(OR(Table24[[#This Row],[Client Age]]&lt;18,Table24[[#This Row],[If client DOB unknown, is client under 18?]]="Yes"),"Yes","No")</f>
        <v>No</v>
      </c>
      <c r="AO235" s="13" t="str">
        <f>IF(Table24[[#This Row],[Time of Inital Call]]="","",IFERROR(MROUND(Table24[[#This Row],[Time of Inital Call]],"1:00"),""))</f>
        <v/>
      </c>
      <c r="AP235" s="19" t="str">
        <f>IF(Table24[[#This Row],[Date of Call]]="","",TEXT(Table24[[#This Row],[Date of Call]],"dddd"))</f>
        <v/>
      </c>
      <c r="AQ235" s="19" t="str">
        <f>IFERROR(VLOOKUP(Table24[[#This Row],[Residence Zip Code]],Table27[],3,FALSE),"")</f>
        <v/>
      </c>
    </row>
    <row r="236" spans="1:43" x14ac:dyDescent="0.25">
      <c r="A236" s="10"/>
      <c r="C236" s="10"/>
      <c r="D236" s="11"/>
      <c r="E236" s="12"/>
      <c r="F236" s="12"/>
      <c r="G236" s="12"/>
      <c r="H236" s="10"/>
      <c r="I236" s="12"/>
      <c r="J236" s="12"/>
      <c r="K236" s="12"/>
      <c r="L236" s="12"/>
      <c r="M236" s="16"/>
      <c r="N236" s="18"/>
      <c r="O236" s="13"/>
      <c r="P236" s="13"/>
      <c r="Q236" s="13"/>
      <c r="R236" s="18"/>
      <c r="S236" s="13"/>
      <c r="T236" s="13"/>
      <c r="U236" s="10"/>
      <c r="V236" s="2"/>
      <c r="X236" s="13"/>
      <c r="Y236" s="3"/>
      <c r="Z236" s="3"/>
      <c r="AA236" s="12"/>
      <c r="AB236" s="10"/>
      <c r="AC236" s="10"/>
      <c r="AD236" s="10"/>
      <c r="AE236" s="10"/>
      <c r="AI236" s="35"/>
      <c r="AJ236"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36" s="19" t="str">
        <f>IFERROR(IF(OR(TRIM(Table24[[#This Row],[DOB]])="",TRIM(Table24[[#This Row],[Date of Call]])=""),"Cannot be calculated",DATEDIF(Table24[[#This Row],[DOB]],Table24[[#This Row],[Date of Call]],"Y")),"Cannot be calculated")</f>
        <v>Cannot be calculated</v>
      </c>
      <c r="AL236"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36" s="19">
        <f>IFERROR(DATEDIF(Table24[[#This Row],[Date of Call]],Table24[[#This Row],[Follow-up Date]],"D"),"Cannot be calculated")</f>
        <v>0</v>
      </c>
      <c r="AN236" s="19" t="str">
        <f>IF(OR(Table24[[#This Row],[Client Age]]&lt;18,Table24[[#This Row],[If client DOB unknown, is client under 18?]]="Yes"),"Yes","No")</f>
        <v>No</v>
      </c>
      <c r="AO236" s="13" t="str">
        <f>IF(Table24[[#This Row],[Time of Inital Call]]="","",IFERROR(MROUND(Table24[[#This Row],[Time of Inital Call]],"1:00"),""))</f>
        <v/>
      </c>
      <c r="AP236" s="19" t="str">
        <f>IF(Table24[[#This Row],[Date of Call]]="","",TEXT(Table24[[#This Row],[Date of Call]],"dddd"))</f>
        <v/>
      </c>
      <c r="AQ236" s="19" t="str">
        <f>IFERROR(VLOOKUP(Table24[[#This Row],[Residence Zip Code]],Table27[],3,FALSE),"")</f>
        <v/>
      </c>
    </row>
    <row r="237" spans="1:43" x14ac:dyDescent="0.25">
      <c r="A237" s="10"/>
      <c r="C237" s="10"/>
      <c r="D237" s="11"/>
      <c r="E237" s="12"/>
      <c r="F237" s="12"/>
      <c r="G237" s="12"/>
      <c r="H237" s="10"/>
      <c r="I237" s="12"/>
      <c r="J237" s="12"/>
      <c r="K237" s="12"/>
      <c r="L237" s="12"/>
      <c r="M237" s="16"/>
      <c r="N237" s="18"/>
      <c r="O237" s="13"/>
      <c r="P237" s="13"/>
      <c r="Q237" s="13"/>
      <c r="R237" s="18"/>
      <c r="S237" s="13"/>
      <c r="T237" s="13"/>
      <c r="U237" s="10"/>
      <c r="V237" s="2"/>
      <c r="X237" s="13"/>
      <c r="Y237" s="3"/>
      <c r="Z237" s="3"/>
      <c r="AA237" s="12"/>
      <c r="AB237" s="10"/>
      <c r="AC237" s="10"/>
      <c r="AD237" s="10"/>
      <c r="AE237" s="10"/>
      <c r="AI237" s="35"/>
      <c r="AJ237"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37" s="19" t="str">
        <f>IFERROR(IF(OR(TRIM(Table24[[#This Row],[DOB]])="",TRIM(Table24[[#This Row],[Date of Call]])=""),"Cannot be calculated",DATEDIF(Table24[[#This Row],[DOB]],Table24[[#This Row],[Date of Call]],"Y")),"Cannot be calculated")</f>
        <v>Cannot be calculated</v>
      </c>
      <c r="AL237"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37" s="19">
        <f>IFERROR(DATEDIF(Table24[[#This Row],[Date of Call]],Table24[[#This Row],[Follow-up Date]],"D"),"Cannot be calculated")</f>
        <v>0</v>
      </c>
      <c r="AN237" s="19" t="str">
        <f>IF(OR(Table24[[#This Row],[Client Age]]&lt;18,Table24[[#This Row],[If client DOB unknown, is client under 18?]]="Yes"),"Yes","No")</f>
        <v>No</v>
      </c>
      <c r="AO237" s="13" t="str">
        <f>IF(Table24[[#This Row],[Time of Inital Call]]="","",IFERROR(MROUND(Table24[[#This Row],[Time of Inital Call]],"1:00"),""))</f>
        <v/>
      </c>
      <c r="AP237" s="19" t="str">
        <f>IF(Table24[[#This Row],[Date of Call]]="","",TEXT(Table24[[#This Row],[Date of Call]],"dddd"))</f>
        <v/>
      </c>
      <c r="AQ237" s="19" t="str">
        <f>IFERROR(VLOOKUP(Table24[[#This Row],[Residence Zip Code]],Table27[],3,FALSE),"")</f>
        <v/>
      </c>
    </row>
    <row r="238" spans="1:43" x14ac:dyDescent="0.25">
      <c r="A238" s="10"/>
      <c r="C238" s="10"/>
      <c r="D238" s="11"/>
      <c r="E238" s="12"/>
      <c r="F238" s="12"/>
      <c r="G238" s="12"/>
      <c r="H238" s="10"/>
      <c r="I238" s="12"/>
      <c r="J238" s="12"/>
      <c r="K238" s="12"/>
      <c r="L238" s="12"/>
      <c r="M238" s="16"/>
      <c r="N238" s="18"/>
      <c r="O238" s="13"/>
      <c r="P238" s="13"/>
      <c r="Q238" s="13"/>
      <c r="R238" s="18"/>
      <c r="S238" s="13"/>
      <c r="T238" s="13"/>
      <c r="U238" s="10"/>
      <c r="V238" s="2"/>
      <c r="X238" s="13"/>
      <c r="Y238" s="3"/>
      <c r="Z238" s="3"/>
      <c r="AA238" s="12"/>
      <c r="AB238" s="10"/>
      <c r="AC238" s="10"/>
      <c r="AD238" s="10"/>
      <c r="AE238" s="10"/>
      <c r="AI238" s="35"/>
      <c r="AJ238"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38" s="19" t="str">
        <f>IFERROR(IF(OR(TRIM(Table24[[#This Row],[DOB]])="",TRIM(Table24[[#This Row],[Date of Call]])=""),"Cannot be calculated",DATEDIF(Table24[[#This Row],[DOB]],Table24[[#This Row],[Date of Call]],"Y")),"Cannot be calculated")</f>
        <v>Cannot be calculated</v>
      </c>
      <c r="AL238"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38" s="19">
        <f>IFERROR(DATEDIF(Table24[[#This Row],[Date of Call]],Table24[[#This Row],[Follow-up Date]],"D"),"Cannot be calculated")</f>
        <v>0</v>
      </c>
      <c r="AN238" s="19" t="str">
        <f>IF(OR(Table24[[#This Row],[Client Age]]&lt;18,Table24[[#This Row],[If client DOB unknown, is client under 18?]]="Yes"),"Yes","No")</f>
        <v>No</v>
      </c>
      <c r="AO238" s="13" t="str">
        <f>IF(Table24[[#This Row],[Time of Inital Call]]="","",IFERROR(MROUND(Table24[[#This Row],[Time of Inital Call]],"1:00"),""))</f>
        <v/>
      </c>
      <c r="AP238" s="19" t="str">
        <f>IF(Table24[[#This Row],[Date of Call]]="","",TEXT(Table24[[#This Row],[Date of Call]],"dddd"))</f>
        <v/>
      </c>
      <c r="AQ238" s="19" t="str">
        <f>IFERROR(VLOOKUP(Table24[[#This Row],[Residence Zip Code]],Table27[],3,FALSE),"")</f>
        <v/>
      </c>
    </row>
    <row r="239" spans="1:43" x14ac:dyDescent="0.25">
      <c r="A239" s="10"/>
      <c r="C239" s="10"/>
      <c r="D239" s="11"/>
      <c r="E239" s="12"/>
      <c r="F239" s="12"/>
      <c r="G239" s="12"/>
      <c r="H239" s="10"/>
      <c r="I239" s="12"/>
      <c r="J239" s="12"/>
      <c r="K239" s="12"/>
      <c r="L239" s="12"/>
      <c r="M239" s="16"/>
      <c r="N239" s="18"/>
      <c r="O239" s="13"/>
      <c r="P239" s="13"/>
      <c r="Q239" s="13"/>
      <c r="R239" s="18"/>
      <c r="S239" s="13"/>
      <c r="T239" s="13"/>
      <c r="U239" s="10"/>
      <c r="V239" s="2"/>
      <c r="X239" s="13"/>
      <c r="Y239" s="3"/>
      <c r="Z239" s="3"/>
      <c r="AA239" s="12"/>
      <c r="AB239" s="10"/>
      <c r="AC239" s="10"/>
      <c r="AD239" s="10"/>
      <c r="AE239" s="10"/>
      <c r="AI239" s="35"/>
      <c r="AJ239"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39" s="19" t="str">
        <f>IFERROR(IF(OR(TRIM(Table24[[#This Row],[DOB]])="",TRIM(Table24[[#This Row],[Date of Call]])=""),"Cannot be calculated",DATEDIF(Table24[[#This Row],[DOB]],Table24[[#This Row],[Date of Call]],"Y")),"Cannot be calculated")</f>
        <v>Cannot be calculated</v>
      </c>
      <c r="AL239"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39" s="19">
        <f>IFERROR(DATEDIF(Table24[[#This Row],[Date of Call]],Table24[[#This Row],[Follow-up Date]],"D"),"Cannot be calculated")</f>
        <v>0</v>
      </c>
      <c r="AN239" s="19" t="str">
        <f>IF(OR(Table24[[#This Row],[Client Age]]&lt;18,Table24[[#This Row],[If client DOB unknown, is client under 18?]]="Yes"),"Yes","No")</f>
        <v>No</v>
      </c>
      <c r="AO239" s="13" t="str">
        <f>IF(Table24[[#This Row],[Time of Inital Call]]="","",IFERROR(MROUND(Table24[[#This Row],[Time of Inital Call]],"1:00"),""))</f>
        <v/>
      </c>
      <c r="AP239" s="19" t="str">
        <f>IF(Table24[[#This Row],[Date of Call]]="","",TEXT(Table24[[#This Row],[Date of Call]],"dddd"))</f>
        <v/>
      </c>
      <c r="AQ239" s="19" t="str">
        <f>IFERROR(VLOOKUP(Table24[[#This Row],[Residence Zip Code]],Table27[],3,FALSE),"")</f>
        <v/>
      </c>
    </row>
    <row r="240" spans="1:43" x14ac:dyDescent="0.25">
      <c r="A240" s="10"/>
      <c r="C240" s="10"/>
      <c r="D240" s="11"/>
      <c r="E240" s="12"/>
      <c r="F240" s="12"/>
      <c r="G240" s="12"/>
      <c r="H240" s="10"/>
      <c r="I240" s="12"/>
      <c r="J240" s="12"/>
      <c r="K240" s="12"/>
      <c r="L240" s="12"/>
      <c r="M240" s="16"/>
      <c r="N240" s="18"/>
      <c r="O240" s="13"/>
      <c r="P240" s="13"/>
      <c r="Q240" s="13"/>
      <c r="R240" s="18"/>
      <c r="S240" s="13"/>
      <c r="T240" s="13"/>
      <c r="U240" s="10"/>
      <c r="V240" s="2"/>
      <c r="X240" s="13"/>
      <c r="Y240" s="3"/>
      <c r="Z240" s="3"/>
      <c r="AA240" s="12"/>
      <c r="AB240" s="10"/>
      <c r="AC240" s="10"/>
      <c r="AD240" s="10"/>
      <c r="AE240" s="10"/>
      <c r="AI240" s="35"/>
      <c r="AJ240"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40" s="19" t="str">
        <f>IFERROR(IF(OR(TRIM(Table24[[#This Row],[DOB]])="",TRIM(Table24[[#This Row],[Date of Call]])=""),"Cannot be calculated",DATEDIF(Table24[[#This Row],[DOB]],Table24[[#This Row],[Date of Call]],"Y")),"Cannot be calculated")</f>
        <v>Cannot be calculated</v>
      </c>
      <c r="AL240"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40" s="19">
        <f>IFERROR(DATEDIF(Table24[[#This Row],[Date of Call]],Table24[[#This Row],[Follow-up Date]],"D"),"Cannot be calculated")</f>
        <v>0</v>
      </c>
      <c r="AN240" s="19" t="str">
        <f>IF(OR(Table24[[#This Row],[Client Age]]&lt;18,Table24[[#This Row],[If client DOB unknown, is client under 18?]]="Yes"),"Yes","No")</f>
        <v>No</v>
      </c>
      <c r="AO240" s="13" t="str">
        <f>IF(Table24[[#This Row],[Time of Inital Call]]="","",IFERROR(MROUND(Table24[[#This Row],[Time of Inital Call]],"1:00"),""))</f>
        <v/>
      </c>
      <c r="AP240" s="19" t="str">
        <f>IF(Table24[[#This Row],[Date of Call]]="","",TEXT(Table24[[#This Row],[Date of Call]],"dddd"))</f>
        <v/>
      </c>
      <c r="AQ240" s="19" t="str">
        <f>IFERROR(VLOOKUP(Table24[[#This Row],[Residence Zip Code]],Table27[],3,FALSE),"")</f>
        <v/>
      </c>
    </row>
    <row r="241" spans="1:43" x14ac:dyDescent="0.25">
      <c r="A241" s="10"/>
      <c r="C241" s="10"/>
      <c r="D241" s="11"/>
      <c r="E241" s="12"/>
      <c r="F241" s="12"/>
      <c r="G241" s="12"/>
      <c r="H241" s="10"/>
      <c r="I241" s="12"/>
      <c r="J241" s="12"/>
      <c r="K241" s="12"/>
      <c r="L241" s="12"/>
      <c r="M241" s="16"/>
      <c r="N241" s="18"/>
      <c r="O241" s="13"/>
      <c r="P241" s="13"/>
      <c r="Q241" s="13"/>
      <c r="R241" s="18"/>
      <c r="S241" s="13"/>
      <c r="T241" s="13"/>
      <c r="U241" s="10"/>
      <c r="V241" s="2"/>
      <c r="X241" s="13"/>
      <c r="Y241" s="3"/>
      <c r="Z241" s="3"/>
      <c r="AA241" s="12"/>
      <c r="AB241" s="10"/>
      <c r="AC241" s="10"/>
      <c r="AD241" s="10"/>
      <c r="AE241" s="10"/>
      <c r="AI241" s="35"/>
      <c r="AJ241"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41" s="19" t="str">
        <f>IFERROR(IF(OR(TRIM(Table24[[#This Row],[DOB]])="",TRIM(Table24[[#This Row],[Date of Call]])=""),"Cannot be calculated",DATEDIF(Table24[[#This Row],[DOB]],Table24[[#This Row],[Date of Call]],"Y")),"Cannot be calculated")</f>
        <v>Cannot be calculated</v>
      </c>
      <c r="AL241"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41" s="19">
        <f>IFERROR(DATEDIF(Table24[[#This Row],[Date of Call]],Table24[[#This Row],[Follow-up Date]],"D"),"Cannot be calculated")</f>
        <v>0</v>
      </c>
      <c r="AN241" s="19" t="str">
        <f>IF(OR(Table24[[#This Row],[Client Age]]&lt;18,Table24[[#This Row],[If client DOB unknown, is client under 18?]]="Yes"),"Yes","No")</f>
        <v>No</v>
      </c>
      <c r="AO241" s="13" t="str">
        <f>IF(Table24[[#This Row],[Time of Inital Call]]="","",IFERROR(MROUND(Table24[[#This Row],[Time of Inital Call]],"1:00"),""))</f>
        <v/>
      </c>
      <c r="AP241" s="19" t="str">
        <f>IF(Table24[[#This Row],[Date of Call]]="","",TEXT(Table24[[#This Row],[Date of Call]],"dddd"))</f>
        <v/>
      </c>
      <c r="AQ241" s="19" t="str">
        <f>IFERROR(VLOOKUP(Table24[[#This Row],[Residence Zip Code]],Table27[],3,FALSE),"")</f>
        <v/>
      </c>
    </row>
    <row r="242" spans="1:43" x14ac:dyDescent="0.25">
      <c r="A242" s="10"/>
      <c r="C242" s="10"/>
      <c r="D242" s="11"/>
      <c r="E242" s="12"/>
      <c r="F242" s="12"/>
      <c r="G242" s="12"/>
      <c r="H242" s="10"/>
      <c r="I242" s="12"/>
      <c r="J242" s="12"/>
      <c r="K242" s="12"/>
      <c r="L242" s="12"/>
      <c r="M242" s="16"/>
      <c r="N242" s="18"/>
      <c r="O242" s="13"/>
      <c r="P242" s="13"/>
      <c r="Q242" s="13"/>
      <c r="R242" s="18"/>
      <c r="S242" s="13"/>
      <c r="T242" s="13"/>
      <c r="U242" s="10"/>
      <c r="V242" s="2"/>
      <c r="X242" s="13"/>
      <c r="Y242" s="3"/>
      <c r="Z242" s="3"/>
      <c r="AA242" s="12"/>
      <c r="AB242" s="10"/>
      <c r="AC242" s="10"/>
      <c r="AD242" s="10"/>
      <c r="AE242" s="10"/>
      <c r="AI242" s="35"/>
      <c r="AJ242"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42" s="19" t="str">
        <f>IFERROR(IF(OR(TRIM(Table24[[#This Row],[DOB]])="",TRIM(Table24[[#This Row],[Date of Call]])=""),"Cannot be calculated",DATEDIF(Table24[[#This Row],[DOB]],Table24[[#This Row],[Date of Call]],"Y")),"Cannot be calculated")</f>
        <v>Cannot be calculated</v>
      </c>
      <c r="AL242"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42" s="19">
        <f>IFERROR(DATEDIF(Table24[[#This Row],[Date of Call]],Table24[[#This Row],[Follow-up Date]],"D"),"Cannot be calculated")</f>
        <v>0</v>
      </c>
      <c r="AN242" s="19" t="str">
        <f>IF(OR(Table24[[#This Row],[Client Age]]&lt;18,Table24[[#This Row],[If client DOB unknown, is client under 18?]]="Yes"),"Yes","No")</f>
        <v>No</v>
      </c>
      <c r="AO242" s="13" t="str">
        <f>IF(Table24[[#This Row],[Time of Inital Call]]="","",IFERROR(MROUND(Table24[[#This Row],[Time of Inital Call]],"1:00"),""))</f>
        <v/>
      </c>
      <c r="AP242" s="19" t="str">
        <f>IF(Table24[[#This Row],[Date of Call]]="","",TEXT(Table24[[#This Row],[Date of Call]],"dddd"))</f>
        <v/>
      </c>
      <c r="AQ242" s="19" t="str">
        <f>IFERROR(VLOOKUP(Table24[[#This Row],[Residence Zip Code]],Table27[],3,FALSE),"")</f>
        <v/>
      </c>
    </row>
    <row r="243" spans="1:43" x14ac:dyDescent="0.25">
      <c r="A243" s="10"/>
      <c r="C243" s="10"/>
      <c r="D243" s="11"/>
      <c r="E243" s="12"/>
      <c r="F243" s="12"/>
      <c r="G243" s="12"/>
      <c r="H243" s="10"/>
      <c r="I243" s="12"/>
      <c r="J243" s="12"/>
      <c r="K243" s="12"/>
      <c r="L243" s="12"/>
      <c r="M243" s="16"/>
      <c r="N243" s="18"/>
      <c r="O243" s="13"/>
      <c r="P243" s="13"/>
      <c r="Q243" s="13"/>
      <c r="R243" s="18"/>
      <c r="S243" s="13"/>
      <c r="T243" s="13"/>
      <c r="U243" s="10"/>
      <c r="V243" s="2"/>
      <c r="X243" s="13"/>
      <c r="Y243" s="3"/>
      <c r="Z243" s="3"/>
      <c r="AA243" s="12"/>
      <c r="AB243" s="10"/>
      <c r="AC243" s="10"/>
      <c r="AD243" s="10"/>
      <c r="AE243" s="10"/>
      <c r="AI243" s="35"/>
      <c r="AJ243"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43" s="19" t="str">
        <f>IFERROR(IF(OR(TRIM(Table24[[#This Row],[DOB]])="",TRIM(Table24[[#This Row],[Date of Call]])=""),"Cannot be calculated",DATEDIF(Table24[[#This Row],[DOB]],Table24[[#This Row],[Date of Call]],"Y")),"Cannot be calculated")</f>
        <v>Cannot be calculated</v>
      </c>
      <c r="AL243"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43" s="19">
        <f>IFERROR(DATEDIF(Table24[[#This Row],[Date of Call]],Table24[[#This Row],[Follow-up Date]],"D"),"Cannot be calculated")</f>
        <v>0</v>
      </c>
      <c r="AN243" s="19" t="str">
        <f>IF(OR(Table24[[#This Row],[Client Age]]&lt;18,Table24[[#This Row],[If client DOB unknown, is client under 18?]]="Yes"),"Yes","No")</f>
        <v>No</v>
      </c>
      <c r="AO243" s="13" t="str">
        <f>IF(Table24[[#This Row],[Time of Inital Call]]="","",IFERROR(MROUND(Table24[[#This Row],[Time of Inital Call]],"1:00"),""))</f>
        <v/>
      </c>
      <c r="AP243" s="19" t="str">
        <f>IF(Table24[[#This Row],[Date of Call]]="","",TEXT(Table24[[#This Row],[Date of Call]],"dddd"))</f>
        <v/>
      </c>
      <c r="AQ243" s="19" t="str">
        <f>IFERROR(VLOOKUP(Table24[[#This Row],[Residence Zip Code]],Table27[],3,FALSE),"")</f>
        <v/>
      </c>
    </row>
    <row r="244" spans="1:43" x14ac:dyDescent="0.25">
      <c r="A244" s="10"/>
      <c r="C244" s="10"/>
      <c r="D244" s="11"/>
      <c r="E244" s="12"/>
      <c r="F244" s="12"/>
      <c r="G244" s="12"/>
      <c r="H244" s="10"/>
      <c r="I244" s="12"/>
      <c r="J244" s="12"/>
      <c r="K244" s="12"/>
      <c r="L244" s="12"/>
      <c r="M244" s="16"/>
      <c r="N244" s="18"/>
      <c r="O244" s="13"/>
      <c r="P244" s="13"/>
      <c r="Q244" s="13"/>
      <c r="R244" s="18"/>
      <c r="S244" s="13"/>
      <c r="T244" s="13"/>
      <c r="U244" s="10"/>
      <c r="V244" s="2"/>
      <c r="X244" s="13"/>
      <c r="Y244" s="3"/>
      <c r="Z244" s="3"/>
      <c r="AA244" s="12"/>
      <c r="AB244" s="10"/>
      <c r="AC244" s="10"/>
      <c r="AD244" s="10"/>
      <c r="AE244" s="10"/>
      <c r="AI244" s="35"/>
      <c r="AJ244"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44" s="19" t="str">
        <f>IFERROR(IF(OR(TRIM(Table24[[#This Row],[DOB]])="",TRIM(Table24[[#This Row],[Date of Call]])=""),"Cannot be calculated",DATEDIF(Table24[[#This Row],[DOB]],Table24[[#This Row],[Date of Call]],"Y")),"Cannot be calculated")</f>
        <v>Cannot be calculated</v>
      </c>
      <c r="AL244"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44" s="19">
        <f>IFERROR(DATEDIF(Table24[[#This Row],[Date of Call]],Table24[[#This Row],[Follow-up Date]],"D"),"Cannot be calculated")</f>
        <v>0</v>
      </c>
      <c r="AN244" s="19" t="str">
        <f>IF(OR(Table24[[#This Row],[Client Age]]&lt;18,Table24[[#This Row],[If client DOB unknown, is client under 18?]]="Yes"),"Yes","No")</f>
        <v>No</v>
      </c>
      <c r="AO244" s="13" t="str">
        <f>IF(Table24[[#This Row],[Time of Inital Call]]="","",IFERROR(MROUND(Table24[[#This Row],[Time of Inital Call]],"1:00"),""))</f>
        <v/>
      </c>
      <c r="AP244" s="19" t="str">
        <f>IF(Table24[[#This Row],[Date of Call]]="","",TEXT(Table24[[#This Row],[Date of Call]],"dddd"))</f>
        <v/>
      </c>
      <c r="AQ244" s="19" t="str">
        <f>IFERROR(VLOOKUP(Table24[[#This Row],[Residence Zip Code]],Table27[],3,FALSE),"")</f>
        <v/>
      </c>
    </row>
    <row r="245" spans="1:43" x14ac:dyDescent="0.25">
      <c r="A245" s="10"/>
      <c r="C245" s="10"/>
      <c r="D245" s="11"/>
      <c r="E245" s="12"/>
      <c r="F245" s="12"/>
      <c r="G245" s="12"/>
      <c r="H245" s="10"/>
      <c r="I245" s="12"/>
      <c r="J245" s="12"/>
      <c r="K245" s="12"/>
      <c r="L245" s="12"/>
      <c r="M245" s="16"/>
      <c r="N245" s="18"/>
      <c r="O245" s="13"/>
      <c r="P245" s="13"/>
      <c r="Q245" s="13"/>
      <c r="R245" s="18"/>
      <c r="S245" s="13"/>
      <c r="T245" s="13"/>
      <c r="U245" s="10"/>
      <c r="V245" s="2"/>
      <c r="X245" s="13"/>
      <c r="Y245" s="3"/>
      <c r="Z245" s="3"/>
      <c r="AA245" s="12"/>
      <c r="AB245" s="10"/>
      <c r="AC245" s="10"/>
      <c r="AD245" s="10"/>
      <c r="AE245" s="10"/>
      <c r="AI245" s="35"/>
      <c r="AJ245"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45" s="19" t="str">
        <f>IFERROR(IF(OR(TRIM(Table24[[#This Row],[DOB]])="",TRIM(Table24[[#This Row],[Date of Call]])=""),"Cannot be calculated",DATEDIF(Table24[[#This Row],[DOB]],Table24[[#This Row],[Date of Call]],"Y")),"Cannot be calculated")</f>
        <v>Cannot be calculated</v>
      </c>
      <c r="AL245"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45" s="19">
        <f>IFERROR(DATEDIF(Table24[[#This Row],[Date of Call]],Table24[[#This Row],[Follow-up Date]],"D"),"Cannot be calculated")</f>
        <v>0</v>
      </c>
      <c r="AN245" s="19" t="str">
        <f>IF(OR(Table24[[#This Row],[Client Age]]&lt;18,Table24[[#This Row],[If client DOB unknown, is client under 18?]]="Yes"),"Yes","No")</f>
        <v>No</v>
      </c>
      <c r="AO245" s="13" t="str">
        <f>IF(Table24[[#This Row],[Time of Inital Call]]="","",IFERROR(MROUND(Table24[[#This Row],[Time of Inital Call]],"1:00"),""))</f>
        <v/>
      </c>
      <c r="AP245" s="19" t="str">
        <f>IF(Table24[[#This Row],[Date of Call]]="","",TEXT(Table24[[#This Row],[Date of Call]],"dddd"))</f>
        <v/>
      </c>
      <c r="AQ245" s="19" t="str">
        <f>IFERROR(VLOOKUP(Table24[[#This Row],[Residence Zip Code]],Table27[],3,FALSE),"")</f>
        <v/>
      </c>
    </row>
    <row r="246" spans="1:43" x14ac:dyDescent="0.25">
      <c r="A246" s="10"/>
      <c r="C246" s="10"/>
      <c r="D246" s="11"/>
      <c r="E246" s="12"/>
      <c r="F246" s="12"/>
      <c r="G246" s="12"/>
      <c r="H246" s="10"/>
      <c r="I246" s="12"/>
      <c r="J246" s="12"/>
      <c r="K246" s="12"/>
      <c r="L246" s="12"/>
      <c r="M246" s="16"/>
      <c r="N246" s="18"/>
      <c r="O246" s="13"/>
      <c r="P246" s="13"/>
      <c r="Q246" s="13"/>
      <c r="R246" s="18"/>
      <c r="S246" s="13"/>
      <c r="T246" s="13"/>
      <c r="U246" s="10"/>
      <c r="V246" s="2"/>
      <c r="X246" s="13"/>
      <c r="Y246" s="3"/>
      <c r="Z246" s="3"/>
      <c r="AA246" s="12"/>
      <c r="AB246" s="10"/>
      <c r="AC246" s="10"/>
      <c r="AD246" s="10"/>
      <c r="AE246" s="10"/>
      <c r="AI246" s="35"/>
      <c r="AJ246"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46" s="19" t="str">
        <f>IFERROR(IF(OR(TRIM(Table24[[#This Row],[DOB]])="",TRIM(Table24[[#This Row],[Date of Call]])=""),"Cannot be calculated",DATEDIF(Table24[[#This Row],[DOB]],Table24[[#This Row],[Date of Call]],"Y")),"Cannot be calculated")</f>
        <v>Cannot be calculated</v>
      </c>
      <c r="AL246"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46" s="19">
        <f>IFERROR(DATEDIF(Table24[[#This Row],[Date of Call]],Table24[[#This Row],[Follow-up Date]],"D"),"Cannot be calculated")</f>
        <v>0</v>
      </c>
      <c r="AN246" s="19" t="str">
        <f>IF(OR(Table24[[#This Row],[Client Age]]&lt;18,Table24[[#This Row],[If client DOB unknown, is client under 18?]]="Yes"),"Yes","No")</f>
        <v>No</v>
      </c>
      <c r="AO246" s="13" t="str">
        <f>IF(Table24[[#This Row],[Time of Inital Call]]="","",IFERROR(MROUND(Table24[[#This Row],[Time of Inital Call]],"1:00"),""))</f>
        <v/>
      </c>
      <c r="AP246" s="19" t="str">
        <f>IF(Table24[[#This Row],[Date of Call]]="","",TEXT(Table24[[#This Row],[Date of Call]],"dddd"))</f>
        <v/>
      </c>
      <c r="AQ246" s="19" t="str">
        <f>IFERROR(VLOOKUP(Table24[[#This Row],[Residence Zip Code]],Table27[],3,FALSE),"")</f>
        <v/>
      </c>
    </row>
    <row r="247" spans="1:43" x14ac:dyDescent="0.25">
      <c r="A247" s="10"/>
      <c r="C247" s="10"/>
      <c r="D247" s="11"/>
      <c r="E247" s="12"/>
      <c r="F247" s="12"/>
      <c r="G247" s="12"/>
      <c r="H247" s="10"/>
      <c r="I247" s="12"/>
      <c r="J247" s="12"/>
      <c r="K247" s="12"/>
      <c r="L247" s="12"/>
      <c r="M247" s="16"/>
      <c r="N247" s="18"/>
      <c r="O247" s="13"/>
      <c r="P247" s="13"/>
      <c r="Q247" s="13"/>
      <c r="R247" s="18"/>
      <c r="S247" s="13"/>
      <c r="T247" s="13"/>
      <c r="U247" s="10"/>
      <c r="V247" s="2"/>
      <c r="X247" s="13"/>
      <c r="Y247" s="3"/>
      <c r="Z247" s="3"/>
      <c r="AA247" s="12"/>
      <c r="AB247" s="10"/>
      <c r="AC247" s="10"/>
      <c r="AD247" s="10"/>
      <c r="AE247" s="10"/>
      <c r="AI247" s="35"/>
      <c r="AJ247"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47" s="19" t="str">
        <f>IFERROR(IF(OR(TRIM(Table24[[#This Row],[DOB]])="",TRIM(Table24[[#This Row],[Date of Call]])=""),"Cannot be calculated",DATEDIF(Table24[[#This Row],[DOB]],Table24[[#This Row],[Date of Call]],"Y")),"Cannot be calculated")</f>
        <v>Cannot be calculated</v>
      </c>
      <c r="AL247"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47" s="19">
        <f>IFERROR(DATEDIF(Table24[[#This Row],[Date of Call]],Table24[[#This Row],[Follow-up Date]],"D"),"Cannot be calculated")</f>
        <v>0</v>
      </c>
      <c r="AN247" s="19" t="str">
        <f>IF(OR(Table24[[#This Row],[Client Age]]&lt;18,Table24[[#This Row],[If client DOB unknown, is client under 18?]]="Yes"),"Yes","No")</f>
        <v>No</v>
      </c>
      <c r="AO247" s="13" t="str">
        <f>IF(Table24[[#This Row],[Time of Inital Call]]="","",IFERROR(MROUND(Table24[[#This Row],[Time of Inital Call]],"1:00"),""))</f>
        <v/>
      </c>
      <c r="AP247" s="19" t="str">
        <f>IF(Table24[[#This Row],[Date of Call]]="","",TEXT(Table24[[#This Row],[Date of Call]],"dddd"))</f>
        <v/>
      </c>
      <c r="AQ247" s="19" t="str">
        <f>IFERROR(VLOOKUP(Table24[[#This Row],[Residence Zip Code]],Table27[],3,FALSE),"")</f>
        <v/>
      </c>
    </row>
    <row r="248" spans="1:43" x14ac:dyDescent="0.25">
      <c r="A248" s="10"/>
      <c r="C248" s="10"/>
      <c r="D248" s="11"/>
      <c r="E248" s="12"/>
      <c r="F248" s="12"/>
      <c r="G248" s="12"/>
      <c r="H248" s="10"/>
      <c r="I248" s="12"/>
      <c r="J248" s="12"/>
      <c r="K248" s="12"/>
      <c r="L248" s="12"/>
      <c r="M248" s="16"/>
      <c r="N248" s="18"/>
      <c r="O248" s="13"/>
      <c r="P248" s="13"/>
      <c r="Q248" s="13"/>
      <c r="R248" s="18"/>
      <c r="S248" s="13"/>
      <c r="T248" s="13"/>
      <c r="U248" s="10"/>
      <c r="V248" s="2"/>
      <c r="X248" s="13"/>
      <c r="Y248" s="3"/>
      <c r="Z248" s="3"/>
      <c r="AA248" s="12"/>
      <c r="AB248" s="10"/>
      <c r="AC248" s="10"/>
      <c r="AD248" s="10"/>
      <c r="AE248" s="10"/>
      <c r="AI248" s="35"/>
      <c r="AJ248"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48" s="19" t="str">
        <f>IFERROR(IF(OR(TRIM(Table24[[#This Row],[DOB]])="",TRIM(Table24[[#This Row],[Date of Call]])=""),"Cannot be calculated",DATEDIF(Table24[[#This Row],[DOB]],Table24[[#This Row],[Date of Call]],"Y")),"Cannot be calculated")</f>
        <v>Cannot be calculated</v>
      </c>
      <c r="AL248"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48" s="19">
        <f>IFERROR(DATEDIF(Table24[[#This Row],[Date of Call]],Table24[[#This Row],[Follow-up Date]],"D"),"Cannot be calculated")</f>
        <v>0</v>
      </c>
      <c r="AN248" s="19" t="str">
        <f>IF(OR(Table24[[#This Row],[Client Age]]&lt;18,Table24[[#This Row],[If client DOB unknown, is client under 18?]]="Yes"),"Yes","No")</f>
        <v>No</v>
      </c>
      <c r="AO248" s="13" t="str">
        <f>IF(Table24[[#This Row],[Time of Inital Call]]="","",IFERROR(MROUND(Table24[[#This Row],[Time of Inital Call]],"1:00"),""))</f>
        <v/>
      </c>
      <c r="AP248" s="19" t="str">
        <f>IF(Table24[[#This Row],[Date of Call]]="","",TEXT(Table24[[#This Row],[Date of Call]],"dddd"))</f>
        <v/>
      </c>
      <c r="AQ248" s="19" t="str">
        <f>IFERROR(VLOOKUP(Table24[[#This Row],[Residence Zip Code]],Table27[],3,FALSE),"")</f>
        <v/>
      </c>
    </row>
    <row r="249" spans="1:43" x14ac:dyDescent="0.25">
      <c r="A249" s="10"/>
      <c r="C249" s="10"/>
      <c r="D249" s="11"/>
      <c r="E249" s="12"/>
      <c r="F249" s="12"/>
      <c r="G249" s="12"/>
      <c r="H249" s="10"/>
      <c r="I249" s="12"/>
      <c r="J249" s="12"/>
      <c r="K249" s="12"/>
      <c r="L249" s="12"/>
      <c r="M249" s="16"/>
      <c r="N249" s="18"/>
      <c r="O249" s="13"/>
      <c r="P249" s="13"/>
      <c r="Q249" s="13"/>
      <c r="R249" s="18"/>
      <c r="S249" s="13"/>
      <c r="T249" s="13"/>
      <c r="U249" s="10"/>
      <c r="V249" s="2"/>
      <c r="X249" s="13"/>
      <c r="Y249" s="3"/>
      <c r="Z249" s="3"/>
      <c r="AA249" s="12"/>
      <c r="AB249" s="10"/>
      <c r="AC249" s="10"/>
      <c r="AD249" s="10"/>
      <c r="AE249" s="10"/>
      <c r="AI249" s="35"/>
      <c r="AJ249"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49" s="19" t="str">
        <f>IFERROR(IF(OR(TRIM(Table24[[#This Row],[DOB]])="",TRIM(Table24[[#This Row],[Date of Call]])=""),"Cannot be calculated",DATEDIF(Table24[[#This Row],[DOB]],Table24[[#This Row],[Date of Call]],"Y")),"Cannot be calculated")</f>
        <v>Cannot be calculated</v>
      </c>
      <c r="AL249"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49" s="19">
        <f>IFERROR(DATEDIF(Table24[[#This Row],[Date of Call]],Table24[[#This Row],[Follow-up Date]],"D"),"Cannot be calculated")</f>
        <v>0</v>
      </c>
      <c r="AN249" s="19" t="str">
        <f>IF(OR(Table24[[#This Row],[Client Age]]&lt;18,Table24[[#This Row],[If client DOB unknown, is client under 18?]]="Yes"),"Yes","No")</f>
        <v>No</v>
      </c>
      <c r="AO249" s="13" t="str">
        <f>IF(Table24[[#This Row],[Time of Inital Call]]="","",IFERROR(MROUND(Table24[[#This Row],[Time of Inital Call]],"1:00"),""))</f>
        <v/>
      </c>
      <c r="AP249" s="19" t="str">
        <f>IF(Table24[[#This Row],[Date of Call]]="","",TEXT(Table24[[#This Row],[Date of Call]],"dddd"))</f>
        <v/>
      </c>
      <c r="AQ249" s="19" t="str">
        <f>IFERROR(VLOOKUP(Table24[[#This Row],[Residence Zip Code]],Table27[],3,FALSE),"")</f>
        <v/>
      </c>
    </row>
    <row r="250" spans="1:43" x14ac:dyDescent="0.25">
      <c r="A250" s="10"/>
      <c r="C250" s="10"/>
      <c r="D250" s="11"/>
      <c r="E250" s="12"/>
      <c r="F250" s="12"/>
      <c r="G250" s="12"/>
      <c r="H250" s="10"/>
      <c r="I250" s="12"/>
      <c r="J250" s="12"/>
      <c r="K250" s="12"/>
      <c r="L250" s="12"/>
      <c r="M250" s="16"/>
      <c r="N250" s="18"/>
      <c r="O250" s="13"/>
      <c r="P250" s="13"/>
      <c r="Q250" s="13"/>
      <c r="R250" s="18"/>
      <c r="S250" s="13"/>
      <c r="T250" s="13"/>
      <c r="U250" s="10"/>
      <c r="V250" s="2"/>
      <c r="X250" s="13"/>
      <c r="Y250" s="3"/>
      <c r="Z250" s="3"/>
      <c r="AA250" s="12"/>
      <c r="AB250" s="10"/>
      <c r="AC250" s="10"/>
      <c r="AD250" s="10"/>
      <c r="AE250" s="10"/>
      <c r="AI250" s="35"/>
      <c r="AJ250"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50" s="19" t="str">
        <f>IFERROR(IF(OR(TRIM(Table24[[#This Row],[DOB]])="",TRIM(Table24[[#This Row],[Date of Call]])=""),"Cannot be calculated",DATEDIF(Table24[[#This Row],[DOB]],Table24[[#This Row],[Date of Call]],"Y")),"Cannot be calculated")</f>
        <v>Cannot be calculated</v>
      </c>
      <c r="AL250"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50" s="19">
        <f>IFERROR(DATEDIF(Table24[[#This Row],[Date of Call]],Table24[[#This Row],[Follow-up Date]],"D"),"Cannot be calculated")</f>
        <v>0</v>
      </c>
      <c r="AN250" s="19" t="str">
        <f>IF(OR(Table24[[#This Row],[Client Age]]&lt;18,Table24[[#This Row],[If client DOB unknown, is client under 18?]]="Yes"),"Yes","No")</f>
        <v>No</v>
      </c>
      <c r="AO250" s="13" t="str">
        <f>IF(Table24[[#This Row],[Time of Inital Call]]="","",IFERROR(MROUND(Table24[[#This Row],[Time of Inital Call]],"1:00"),""))</f>
        <v/>
      </c>
      <c r="AP250" s="19" t="str">
        <f>IF(Table24[[#This Row],[Date of Call]]="","",TEXT(Table24[[#This Row],[Date of Call]],"dddd"))</f>
        <v/>
      </c>
      <c r="AQ250" s="19" t="str">
        <f>IFERROR(VLOOKUP(Table24[[#This Row],[Residence Zip Code]],Table27[],3,FALSE),"")</f>
        <v/>
      </c>
    </row>
    <row r="251" spans="1:43" x14ac:dyDescent="0.25">
      <c r="A251" s="10"/>
      <c r="C251" s="10"/>
      <c r="D251" s="11"/>
      <c r="E251" s="12"/>
      <c r="F251" s="12"/>
      <c r="G251" s="12"/>
      <c r="H251" s="10"/>
      <c r="I251" s="12"/>
      <c r="J251" s="12"/>
      <c r="K251" s="12"/>
      <c r="L251" s="12"/>
      <c r="M251" s="16"/>
      <c r="N251" s="18"/>
      <c r="O251" s="13"/>
      <c r="P251" s="13"/>
      <c r="Q251" s="13"/>
      <c r="R251" s="18"/>
      <c r="S251" s="13"/>
      <c r="T251" s="13"/>
      <c r="U251" s="10"/>
      <c r="V251" s="2"/>
      <c r="X251" s="13"/>
      <c r="Y251" s="3"/>
      <c r="Z251" s="3"/>
      <c r="AA251" s="12"/>
      <c r="AB251" s="10"/>
      <c r="AC251" s="10"/>
      <c r="AD251" s="10"/>
      <c r="AE251" s="10"/>
      <c r="AI251" s="35"/>
      <c r="AJ251"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51" s="19" t="str">
        <f>IFERROR(IF(OR(TRIM(Table24[[#This Row],[DOB]])="",TRIM(Table24[[#This Row],[Date of Call]])=""),"Cannot be calculated",DATEDIF(Table24[[#This Row],[DOB]],Table24[[#This Row],[Date of Call]],"Y")),"Cannot be calculated")</f>
        <v>Cannot be calculated</v>
      </c>
      <c r="AL251"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51" s="19">
        <f>IFERROR(DATEDIF(Table24[[#This Row],[Date of Call]],Table24[[#This Row],[Follow-up Date]],"D"),"Cannot be calculated")</f>
        <v>0</v>
      </c>
      <c r="AN251" s="19" t="str">
        <f>IF(OR(Table24[[#This Row],[Client Age]]&lt;18,Table24[[#This Row],[If client DOB unknown, is client under 18?]]="Yes"),"Yes","No")</f>
        <v>No</v>
      </c>
      <c r="AO251" s="13" t="str">
        <f>IF(Table24[[#This Row],[Time of Inital Call]]="","",IFERROR(MROUND(Table24[[#This Row],[Time of Inital Call]],"1:00"),""))</f>
        <v/>
      </c>
      <c r="AP251" s="19" t="str">
        <f>IF(Table24[[#This Row],[Date of Call]]="","",TEXT(Table24[[#This Row],[Date of Call]],"dddd"))</f>
        <v/>
      </c>
      <c r="AQ251" s="19" t="str">
        <f>IFERROR(VLOOKUP(Table24[[#This Row],[Residence Zip Code]],Table27[],3,FALSE),"")</f>
        <v/>
      </c>
    </row>
    <row r="252" spans="1:43" x14ac:dyDescent="0.25">
      <c r="A252" s="10"/>
      <c r="C252" s="10"/>
      <c r="D252" s="11"/>
      <c r="E252" s="12"/>
      <c r="F252" s="12"/>
      <c r="G252" s="12"/>
      <c r="H252" s="10"/>
      <c r="I252" s="12"/>
      <c r="J252" s="12"/>
      <c r="K252" s="12"/>
      <c r="L252" s="12"/>
      <c r="M252" s="16"/>
      <c r="N252" s="18"/>
      <c r="O252" s="13"/>
      <c r="P252" s="13"/>
      <c r="Q252" s="13"/>
      <c r="R252" s="18"/>
      <c r="S252" s="13"/>
      <c r="T252" s="13"/>
      <c r="U252" s="10"/>
      <c r="V252" s="2"/>
      <c r="X252" s="13"/>
      <c r="Y252" s="3"/>
      <c r="Z252" s="3"/>
      <c r="AA252" s="12"/>
      <c r="AB252" s="10"/>
      <c r="AC252" s="10"/>
      <c r="AD252" s="10"/>
      <c r="AE252" s="10"/>
      <c r="AI252" s="35"/>
      <c r="AJ252"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52" s="19" t="str">
        <f>IFERROR(IF(OR(TRIM(Table24[[#This Row],[DOB]])="",TRIM(Table24[[#This Row],[Date of Call]])=""),"Cannot be calculated",DATEDIF(Table24[[#This Row],[DOB]],Table24[[#This Row],[Date of Call]],"Y")),"Cannot be calculated")</f>
        <v>Cannot be calculated</v>
      </c>
      <c r="AL252"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52" s="19">
        <f>IFERROR(DATEDIF(Table24[[#This Row],[Date of Call]],Table24[[#This Row],[Follow-up Date]],"D"),"Cannot be calculated")</f>
        <v>0</v>
      </c>
      <c r="AN252" s="19" t="str">
        <f>IF(OR(Table24[[#This Row],[Client Age]]&lt;18,Table24[[#This Row],[If client DOB unknown, is client under 18?]]="Yes"),"Yes","No")</f>
        <v>No</v>
      </c>
      <c r="AO252" s="13" t="str">
        <f>IF(Table24[[#This Row],[Time of Inital Call]]="","",IFERROR(MROUND(Table24[[#This Row],[Time of Inital Call]],"1:00"),""))</f>
        <v/>
      </c>
      <c r="AP252" s="19" t="str">
        <f>IF(Table24[[#This Row],[Date of Call]]="","",TEXT(Table24[[#This Row],[Date of Call]],"dddd"))</f>
        <v/>
      </c>
      <c r="AQ252" s="19" t="str">
        <f>IFERROR(VLOOKUP(Table24[[#This Row],[Residence Zip Code]],Table27[],3,FALSE),"")</f>
        <v/>
      </c>
    </row>
    <row r="253" spans="1:43" x14ac:dyDescent="0.25">
      <c r="A253" s="10"/>
      <c r="C253" s="10"/>
      <c r="D253" s="11"/>
      <c r="E253" s="12"/>
      <c r="F253" s="12"/>
      <c r="G253" s="12"/>
      <c r="H253" s="10"/>
      <c r="I253" s="12"/>
      <c r="J253" s="12"/>
      <c r="K253" s="12"/>
      <c r="L253" s="12"/>
      <c r="M253" s="16"/>
      <c r="N253" s="18"/>
      <c r="O253" s="13"/>
      <c r="P253" s="13"/>
      <c r="Q253" s="13"/>
      <c r="R253" s="18"/>
      <c r="S253" s="13"/>
      <c r="T253" s="13"/>
      <c r="U253" s="10"/>
      <c r="V253" s="2"/>
      <c r="X253" s="13"/>
      <c r="Y253" s="3"/>
      <c r="Z253" s="3"/>
      <c r="AA253" s="12"/>
      <c r="AB253" s="10"/>
      <c r="AC253" s="10"/>
      <c r="AD253" s="10"/>
      <c r="AE253" s="10"/>
      <c r="AI253" s="35"/>
      <c r="AJ253"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53" s="19" t="str">
        <f>IFERROR(IF(OR(TRIM(Table24[[#This Row],[DOB]])="",TRIM(Table24[[#This Row],[Date of Call]])=""),"Cannot be calculated",DATEDIF(Table24[[#This Row],[DOB]],Table24[[#This Row],[Date of Call]],"Y")),"Cannot be calculated")</f>
        <v>Cannot be calculated</v>
      </c>
      <c r="AL253"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53" s="19">
        <f>IFERROR(DATEDIF(Table24[[#This Row],[Date of Call]],Table24[[#This Row],[Follow-up Date]],"D"),"Cannot be calculated")</f>
        <v>0</v>
      </c>
      <c r="AN253" s="19" t="str">
        <f>IF(OR(Table24[[#This Row],[Client Age]]&lt;18,Table24[[#This Row],[If client DOB unknown, is client under 18?]]="Yes"),"Yes","No")</f>
        <v>No</v>
      </c>
      <c r="AO253" s="13" t="str">
        <f>IF(Table24[[#This Row],[Time of Inital Call]]="","",IFERROR(MROUND(Table24[[#This Row],[Time of Inital Call]],"1:00"),""))</f>
        <v/>
      </c>
      <c r="AP253" s="19" t="str">
        <f>IF(Table24[[#This Row],[Date of Call]]="","",TEXT(Table24[[#This Row],[Date of Call]],"dddd"))</f>
        <v/>
      </c>
      <c r="AQ253" s="19" t="str">
        <f>IFERROR(VLOOKUP(Table24[[#This Row],[Residence Zip Code]],Table27[],3,FALSE),"")</f>
        <v/>
      </c>
    </row>
    <row r="254" spans="1:43" x14ac:dyDescent="0.25">
      <c r="A254" s="10"/>
      <c r="C254" s="10"/>
      <c r="D254" s="11"/>
      <c r="E254" s="12"/>
      <c r="F254" s="12"/>
      <c r="G254" s="12"/>
      <c r="H254" s="10"/>
      <c r="I254" s="12"/>
      <c r="J254" s="12"/>
      <c r="K254" s="12"/>
      <c r="L254" s="12"/>
      <c r="M254" s="16"/>
      <c r="N254" s="18"/>
      <c r="O254" s="13"/>
      <c r="P254" s="13"/>
      <c r="Q254" s="13"/>
      <c r="R254" s="18"/>
      <c r="S254" s="13"/>
      <c r="T254" s="13"/>
      <c r="U254" s="10"/>
      <c r="V254" s="2"/>
      <c r="X254" s="13"/>
      <c r="Y254" s="3"/>
      <c r="Z254" s="3"/>
      <c r="AA254" s="12"/>
      <c r="AB254" s="10"/>
      <c r="AC254" s="10"/>
      <c r="AD254" s="10"/>
      <c r="AE254" s="10"/>
      <c r="AI254" s="35"/>
      <c r="AJ254"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54" s="19" t="str">
        <f>IFERROR(IF(OR(TRIM(Table24[[#This Row],[DOB]])="",TRIM(Table24[[#This Row],[Date of Call]])=""),"Cannot be calculated",DATEDIF(Table24[[#This Row],[DOB]],Table24[[#This Row],[Date of Call]],"Y")),"Cannot be calculated")</f>
        <v>Cannot be calculated</v>
      </c>
      <c r="AL254"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54" s="19">
        <f>IFERROR(DATEDIF(Table24[[#This Row],[Date of Call]],Table24[[#This Row],[Follow-up Date]],"D"),"Cannot be calculated")</f>
        <v>0</v>
      </c>
      <c r="AN254" s="19" t="str">
        <f>IF(OR(Table24[[#This Row],[Client Age]]&lt;18,Table24[[#This Row],[If client DOB unknown, is client under 18?]]="Yes"),"Yes","No")</f>
        <v>No</v>
      </c>
      <c r="AO254" s="13" t="str">
        <f>IF(Table24[[#This Row],[Time of Inital Call]]="","",IFERROR(MROUND(Table24[[#This Row],[Time of Inital Call]],"1:00"),""))</f>
        <v/>
      </c>
      <c r="AP254" s="19" t="str">
        <f>IF(Table24[[#This Row],[Date of Call]]="","",TEXT(Table24[[#This Row],[Date of Call]],"dddd"))</f>
        <v/>
      </c>
      <c r="AQ254" s="19" t="str">
        <f>IFERROR(VLOOKUP(Table24[[#This Row],[Residence Zip Code]],Table27[],3,FALSE),"")</f>
        <v/>
      </c>
    </row>
    <row r="255" spans="1:43" x14ac:dyDescent="0.25">
      <c r="A255" s="10"/>
      <c r="C255" s="10"/>
      <c r="D255" s="11"/>
      <c r="E255" s="12"/>
      <c r="F255" s="12"/>
      <c r="G255" s="12"/>
      <c r="H255" s="10"/>
      <c r="I255" s="12"/>
      <c r="J255" s="12"/>
      <c r="K255" s="12"/>
      <c r="L255" s="12"/>
      <c r="M255" s="16"/>
      <c r="N255" s="18"/>
      <c r="O255" s="13"/>
      <c r="P255" s="13"/>
      <c r="Q255" s="13"/>
      <c r="R255" s="18"/>
      <c r="S255" s="13"/>
      <c r="T255" s="13"/>
      <c r="U255" s="10"/>
      <c r="V255" s="2"/>
      <c r="X255" s="13"/>
      <c r="Y255" s="3"/>
      <c r="Z255" s="3"/>
      <c r="AA255" s="12"/>
      <c r="AB255" s="10"/>
      <c r="AC255" s="10"/>
      <c r="AD255" s="10"/>
      <c r="AE255" s="10"/>
      <c r="AI255" s="35"/>
      <c r="AJ255"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55" s="19" t="str">
        <f>IFERROR(IF(OR(TRIM(Table24[[#This Row],[DOB]])="",TRIM(Table24[[#This Row],[Date of Call]])=""),"Cannot be calculated",DATEDIF(Table24[[#This Row],[DOB]],Table24[[#This Row],[Date of Call]],"Y")),"Cannot be calculated")</f>
        <v>Cannot be calculated</v>
      </c>
      <c r="AL255"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55" s="19">
        <f>IFERROR(DATEDIF(Table24[[#This Row],[Date of Call]],Table24[[#This Row],[Follow-up Date]],"D"),"Cannot be calculated")</f>
        <v>0</v>
      </c>
      <c r="AN255" s="19" t="str">
        <f>IF(OR(Table24[[#This Row],[Client Age]]&lt;18,Table24[[#This Row],[If client DOB unknown, is client under 18?]]="Yes"),"Yes","No")</f>
        <v>No</v>
      </c>
      <c r="AO255" s="13" t="str">
        <f>IF(Table24[[#This Row],[Time of Inital Call]]="","",IFERROR(MROUND(Table24[[#This Row],[Time of Inital Call]],"1:00"),""))</f>
        <v/>
      </c>
      <c r="AP255" s="19" t="str">
        <f>IF(Table24[[#This Row],[Date of Call]]="","",TEXT(Table24[[#This Row],[Date of Call]],"dddd"))</f>
        <v/>
      </c>
      <c r="AQ255" s="19" t="str">
        <f>IFERROR(VLOOKUP(Table24[[#This Row],[Residence Zip Code]],Table27[],3,FALSE),"")</f>
        <v/>
      </c>
    </row>
    <row r="256" spans="1:43" x14ac:dyDescent="0.25">
      <c r="A256" s="10"/>
      <c r="C256" s="10"/>
      <c r="D256" s="11"/>
      <c r="E256" s="12"/>
      <c r="F256" s="12"/>
      <c r="G256" s="12"/>
      <c r="H256" s="10"/>
      <c r="I256" s="12"/>
      <c r="J256" s="12"/>
      <c r="K256" s="12"/>
      <c r="L256" s="12"/>
      <c r="M256" s="16"/>
      <c r="N256" s="18"/>
      <c r="O256" s="13"/>
      <c r="P256" s="13"/>
      <c r="Q256" s="13"/>
      <c r="R256" s="18"/>
      <c r="S256" s="13"/>
      <c r="T256" s="13"/>
      <c r="U256" s="10"/>
      <c r="V256" s="2"/>
      <c r="X256" s="13"/>
      <c r="Y256" s="3"/>
      <c r="Z256" s="3"/>
      <c r="AA256" s="12"/>
      <c r="AB256" s="10"/>
      <c r="AC256" s="10"/>
      <c r="AD256" s="10"/>
      <c r="AE256" s="10"/>
      <c r="AI256" s="35"/>
      <c r="AJ256"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56" s="19" t="str">
        <f>IFERROR(IF(OR(TRIM(Table24[[#This Row],[DOB]])="",TRIM(Table24[[#This Row],[Date of Call]])=""),"Cannot be calculated",DATEDIF(Table24[[#This Row],[DOB]],Table24[[#This Row],[Date of Call]],"Y")),"Cannot be calculated")</f>
        <v>Cannot be calculated</v>
      </c>
      <c r="AL256"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56" s="19">
        <f>IFERROR(DATEDIF(Table24[[#This Row],[Date of Call]],Table24[[#This Row],[Follow-up Date]],"D"),"Cannot be calculated")</f>
        <v>0</v>
      </c>
      <c r="AN256" s="19" t="str">
        <f>IF(OR(Table24[[#This Row],[Client Age]]&lt;18,Table24[[#This Row],[If client DOB unknown, is client under 18?]]="Yes"),"Yes","No")</f>
        <v>No</v>
      </c>
      <c r="AO256" s="13" t="str">
        <f>IF(Table24[[#This Row],[Time of Inital Call]]="","",IFERROR(MROUND(Table24[[#This Row],[Time of Inital Call]],"1:00"),""))</f>
        <v/>
      </c>
      <c r="AP256" s="19" t="str">
        <f>IF(Table24[[#This Row],[Date of Call]]="","",TEXT(Table24[[#This Row],[Date of Call]],"dddd"))</f>
        <v/>
      </c>
      <c r="AQ256" s="19" t="str">
        <f>IFERROR(VLOOKUP(Table24[[#This Row],[Residence Zip Code]],Table27[],3,FALSE),"")</f>
        <v/>
      </c>
    </row>
    <row r="257" spans="1:43" x14ac:dyDescent="0.25">
      <c r="A257" s="10"/>
      <c r="C257" s="10"/>
      <c r="D257" s="11"/>
      <c r="E257" s="12"/>
      <c r="F257" s="12"/>
      <c r="G257" s="12"/>
      <c r="H257" s="10"/>
      <c r="I257" s="12"/>
      <c r="J257" s="12"/>
      <c r="K257" s="12"/>
      <c r="L257" s="12"/>
      <c r="M257" s="16"/>
      <c r="N257" s="18"/>
      <c r="O257" s="13"/>
      <c r="P257" s="13"/>
      <c r="Q257" s="13"/>
      <c r="R257" s="18"/>
      <c r="S257" s="13"/>
      <c r="T257" s="13"/>
      <c r="U257" s="10"/>
      <c r="V257" s="2"/>
      <c r="X257" s="13"/>
      <c r="Y257" s="3"/>
      <c r="Z257" s="3"/>
      <c r="AA257" s="12"/>
      <c r="AB257" s="10"/>
      <c r="AC257" s="10"/>
      <c r="AD257" s="10"/>
      <c r="AE257" s="10"/>
      <c r="AI257" s="35"/>
      <c r="AJ257"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57" s="19" t="str">
        <f>IFERROR(IF(OR(TRIM(Table24[[#This Row],[DOB]])="",TRIM(Table24[[#This Row],[Date of Call]])=""),"Cannot be calculated",DATEDIF(Table24[[#This Row],[DOB]],Table24[[#This Row],[Date of Call]],"Y")),"Cannot be calculated")</f>
        <v>Cannot be calculated</v>
      </c>
      <c r="AL257"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57" s="19">
        <f>IFERROR(DATEDIF(Table24[[#This Row],[Date of Call]],Table24[[#This Row],[Follow-up Date]],"D"),"Cannot be calculated")</f>
        <v>0</v>
      </c>
      <c r="AN257" s="19" t="str">
        <f>IF(OR(Table24[[#This Row],[Client Age]]&lt;18,Table24[[#This Row],[If client DOB unknown, is client under 18?]]="Yes"),"Yes","No")</f>
        <v>No</v>
      </c>
      <c r="AO257" s="13" t="str">
        <f>IF(Table24[[#This Row],[Time of Inital Call]]="","",IFERROR(MROUND(Table24[[#This Row],[Time of Inital Call]],"1:00"),""))</f>
        <v/>
      </c>
      <c r="AP257" s="19" t="str">
        <f>IF(Table24[[#This Row],[Date of Call]]="","",TEXT(Table24[[#This Row],[Date of Call]],"dddd"))</f>
        <v/>
      </c>
      <c r="AQ257" s="19" t="str">
        <f>IFERROR(VLOOKUP(Table24[[#This Row],[Residence Zip Code]],Table27[],3,FALSE),"")</f>
        <v/>
      </c>
    </row>
    <row r="258" spans="1:43" x14ac:dyDescent="0.25">
      <c r="A258" s="10"/>
      <c r="C258" s="10"/>
      <c r="D258" s="11"/>
      <c r="E258" s="12"/>
      <c r="F258" s="12"/>
      <c r="G258" s="12"/>
      <c r="H258" s="10"/>
      <c r="I258" s="12"/>
      <c r="J258" s="12"/>
      <c r="K258" s="12"/>
      <c r="L258" s="12"/>
      <c r="M258" s="16"/>
      <c r="N258" s="18"/>
      <c r="O258" s="13"/>
      <c r="P258" s="13"/>
      <c r="Q258" s="13"/>
      <c r="R258" s="18"/>
      <c r="S258" s="13"/>
      <c r="T258" s="13"/>
      <c r="U258" s="10"/>
      <c r="V258" s="2"/>
      <c r="X258" s="13"/>
      <c r="Y258" s="3"/>
      <c r="Z258" s="3"/>
      <c r="AA258" s="12"/>
      <c r="AB258" s="10"/>
      <c r="AC258" s="10"/>
      <c r="AD258" s="10"/>
      <c r="AE258" s="10"/>
      <c r="AI258" s="35"/>
      <c r="AJ258"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58" s="19" t="str">
        <f>IFERROR(IF(OR(TRIM(Table24[[#This Row],[DOB]])="",TRIM(Table24[[#This Row],[Date of Call]])=""),"Cannot be calculated",DATEDIF(Table24[[#This Row],[DOB]],Table24[[#This Row],[Date of Call]],"Y")),"Cannot be calculated")</f>
        <v>Cannot be calculated</v>
      </c>
      <c r="AL258"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58" s="19">
        <f>IFERROR(DATEDIF(Table24[[#This Row],[Date of Call]],Table24[[#This Row],[Follow-up Date]],"D"),"Cannot be calculated")</f>
        <v>0</v>
      </c>
      <c r="AN258" s="19" t="str">
        <f>IF(OR(Table24[[#This Row],[Client Age]]&lt;18,Table24[[#This Row],[If client DOB unknown, is client under 18?]]="Yes"),"Yes","No")</f>
        <v>No</v>
      </c>
      <c r="AO258" s="13" t="str">
        <f>IF(Table24[[#This Row],[Time of Inital Call]]="","",IFERROR(MROUND(Table24[[#This Row],[Time of Inital Call]],"1:00"),""))</f>
        <v/>
      </c>
      <c r="AP258" s="19" t="str">
        <f>IF(Table24[[#This Row],[Date of Call]]="","",TEXT(Table24[[#This Row],[Date of Call]],"dddd"))</f>
        <v/>
      </c>
      <c r="AQ258" s="19" t="str">
        <f>IFERROR(VLOOKUP(Table24[[#This Row],[Residence Zip Code]],Table27[],3,FALSE),"")</f>
        <v/>
      </c>
    </row>
    <row r="259" spans="1:43" x14ac:dyDescent="0.25">
      <c r="A259" s="10"/>
      <c r="C259" s="10"/>
      <c r="D259" s="11"/>
      <c r="E259" s="12"/>
      <c r="F259" s="12"/>
      <c r="G259" s="12"/>
      <c r="H259" s="10"/>
      <c r="I259" s="12"/>
      <c r="J259" s="12"/>
      <c r="K259" s="12"/>
      <c r="L259" s="12"/>
      <c r="M259" s="16"/>
      <c r="N259" s="18"/>
      <c r="O259" s="13"/>
      <c r="P259" s="13"/>
      <c r="Q259" s="13"/>
      <c r="R259" s="18"/>
      <c r="S259" s="13"/>
      <c r="T259" s="13"/>
      <c r="U259" s="10"/>
      <c r="V259" s="2"/>
      <c r="X259" s="13"/>
      <c r="Y259" s="3"/>
      <c r="Z259" s="3"/>
      <c r="AA259" s="12"/>
      <c r="AB259" s="10"/>
      <c r="AC259" s="10"/>
      <c r="AD259" s="10"/>
      <c r="AE259" s="10"/>
      <c r="AI259" s="35"/>
      <c r="AJ259"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59" s="19" t="str">
        <f>IFERROR(IF(OR(TRIM(Table24[[#This Row],[DOB]])="",TRIM(Table24[[#This Row],[Date of Call]])=""),"Cannot be calculated",DATEDIF(Table24[[#This Row],[DOB]],Table24[[#This Row],[Date of Call]],"Y")),"Cannot be calculated")</f>
        <v>Cannot be calculated</v>
      </c>
      <c r="AL259"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59" s="19">
        <f>IFERROR(DATEDIF(Table24[[#This Row],[Date of Call]],Table24[[#This Row],[Follow-up Date]],"D"),"Cannot be calculated")</f>
        <v>0</v>
      </c>
      <c r="AN259" s="19" t="str">
        <f>IF(OR(Table24[[#This Row],[Client Age]]&lt;18,Table24[[#This Row],[If client DOB unknown, is client under 18?]]="Yes"),"Yes","No")</f>
        <v>No</v>
      </c>
      <c r="AO259" s="13" t="str">
        <f>IF(Table24[[#This Row],[Time of Inital Call]]="","",IFERROR(MROUND(Table24[[#This Row],[Time of Inital Call]],"1:00"),""))</f>
        <v/>
      </c>
      <c r="AP259" s="19" t="str">
        <f>IF(Table24[[#This Row],[Date of Call]]="","",TEXT(Table24[[#This Row],[Date of Call]],"dddd"))</f>
        <v/>
      </c>
      <c r="AQ259" s="19" t="str">
        <f>IFERROR(VLOOKUP(Table24[[#This Row],[Residence Zip Code]],Table27[],3,FALSE),"")</f>
        <v/>
      </c>
    </row>
    <row r="260" spans="1:43" x14ac:dyDescent="0.25">
      <c r="A260" s="10"/>
      <c r="C260" s="10"/>
      <c r="D260" s="11"/>
      <c r="E260" s="12"/>
      <c r="F260" s="12"/>
      <c r="G260" s="12"/>
      <c r="H260" s="10"/>
      <c r="I260" s="12"/>
      <c r="J260" s="12"/>
      <c r="K260" s="12"/>
      <c r="L260" s="12"/>
      <c r="M260" s="16"/>
      <c r="N260" s="18"/>
      <c r="O260" s="13"/>
      <c r="P260" s="13"/>
      <c r="Q260" s="13"/>
      <c r="R260" s="18"/>
      <c r="S260" s="13"/>
      <c r="T260" s="13"/>
      <c r="U260" s="10"/>
      <c r="V260" s="2"/>
      <c r="X260" s="13"/>
      <c r="Y260" s="3"/>
      <c r="Z260" s="3"/>
      <c r="AA260" s="12"/>
      <c r="AB260" s="10"/>
      <c r="AC260" s="10"/>
      <c r="AD260" s="10"/>
      <c r="AE260" s="10"/>
      <c r="AI260" s="35"/>
      <c r="AJ260"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60" s="19" t="str">
        <f>IFERROR(IF(OR(TRIM(Table24[[#This Row],[DOB]])="",TRIM(Table24[[#This Row],[Date of Call]])=""),"Cannot be calculated",DATEDIF(Table24[[#This Row],[DOB]],Table24[[#This Row],[Date of Call]],"Y")),"Cannot be calculated")</f>
        <v>Cannot be calculated</v>
      </c>
      <c r="AL260"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60" s="19">
        <f>IFERROR(DATEDIF(Table24[[#This Row],[Date of Call]],Table24[[#This Row],[Follow-up Date]],"D"),"Cannot be calculated")</f>
        <v>0</v>
      </c>
      <c r="AN260" s="19" t="str">
        <f>IF(OR(Table24[[#This Row],[Client Age]]&lt;18,Table24[[#This Row],[If client DOB unknown, is client under 18?]]="Yes"),"Yes","No")</f>
        <v>No</v>
      </c>
      <c r="AO260" s="13" t="str">
        <f>IF(Table24[[#This Row],[Time of Inital Call]]="","",IFERROR(MROUND(Table24[[#This Row],[Time of Inital Call]],"1:00"),""))</f>
        <v/>
      </c>
      <c r="AP260" s="19" t="str">
        <f>IF(Table24[[#This Row],[Date of Call]]="","",TEXT(Table24[[#This Row],[Date of Call]],"dddd"))</f>
        <v/>
      </c>
      <c r="AQ260" s="19" t="str">
        <f>IFERROR(VLOOKUP(Table24[[#This Row],[Residence Zip Code]],Table27[],3,FALSE),"")</f>
        <v/>
      </c>
    </row>
    <row r="261" spans="1:43" x14ac:dyDescent="0.25">
      <c r="A261" s="10"/>
      <c r="C261" s="10"/>
      <c r="D261" s="11"/>
      <c r="E261" s="12"/>
      <c r="F261" s="12"/>
      <c r="G261" s="12"/>
      <c r="H261" s="10"/>
      <c r="I261" s="12"/>
      <c r="J261" s="12"/>
      <c r="K261" s="12"/>
      <c r="L261" s="12"/>
      <c r="M261" s="16"/>
      <c r="N261" s="18"/>
      <c r="O261" s="13"/>
      <c r="P261" s="13"/>
      <c r="Q261" s="13"/>
      <c r="R261" s="18"/>
      <c r="S261" s="13"/>
      <c r="T261" s="13"/>
      <c r="U261" s="10"/>
      <c r="V261" s="2"/>
      <c r="X261" s="13"/>
      <c r="Y261" s="3"/>
      <c r="Z261" s="3"/>
      <c r="AA261" s="12"/>
      <c r="AB261" s="10"/>
      <c r="AC261" s="10"/>
      <c r="AD261" s="10"/>
      <c r="AE261" s="10"/>
      <c r="AI261" s="35"/>
      <c r="AJ261"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61" s="19" t="str">
        <f>IFERROR(IF(OR(TRIM(Table24[[#This Row],[DOB]])="",TRIM(Table24[[#This Row],[Date of Call]])=""),"Cannot be calculated",DATEDIF(Table24[[#This Row],[DOB]],Table24[[#This Row],[Date of Call]],"Y")),"Cannot be calculated")</f>
        <v>Cannot be calculated</v>
      </c>
      <c r="AL261"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61" s="19">
        <f>IFERROR(DATEDIF(Table24[[#This Row],[Date of Call]],Table24[[#This Row],[Follow-up Date]],"D"),"Cannot be calculated")</f>
        <v>0</v>
      </c>
      <c r="AN261" s="19" t="str">
        <f>IF(OR(Table24[[#This Row],[Client Age]]&lt;18,Table24[[#This Row],[If client DOB unknown, is client under 18?]]="Yes"),"Yes","No")</f>
        <v>No</v>
      </c>
      <c r="AO261" s="13" t="str">
        <f>IF(Table24[[#This Row],[Time of Inital Call]]="","",IFERROR(MROUND(Table24[[#This Row],[Time of Inital Call]],"1:00"),""))</f>
        <v/>
      </c>
      <c r="AP261" s="19" t="str">
        <f>IF(Table24[[#This Row],[Date of Call]]="","",TEXT(Table24[[#This Row],[Date of Call]],"dddd"))</f>
        <v/>
      </c>
      <c r="AQ261" s="19" t="str">
        <f>IFERROR(VLOOKUP(Table24[[#This Row],[Residence Zip Code]],Table27[],3,FALSE),"")</f>
        <v/>
      </c>
    </row>
    <row r="262" spans="1:43" x14ac:dyDescent="0.25">
      <c r="A262" s="10"/>
      <c r="C262" s="10"/>
      <c r="D262" s="11"/>
      <c r="E262" s="12"/>
      <c r="F262" s="12"/>
      <c r="G262" s="12"/>
      <c r="H262" s="10"/>
      <c r="I262" s="12"/>
      <c r="J262" s="12"/>
      <c r="K262" s="12"/>
      <c r="L262" s="12"/>
      <c r="M262" s="16"/>
      <c r="N262" s="18"/>
      <c r="O262" s="13"/>
      <c r="P262" s="13"/>
      <c r="Q262" s="13"/>
      <c r="R262" s="18"/>
      <c r="S262" s="13"/>
      <c r="T262" s="13"/>
      <c r="U262" s="10"/>
      <c r="V262" s="2"/>
      <c r="X262" s="13"/>
      <c r="Y262" s="3"/>
      <c r="Z262" s="3"/>
      <c r="AA262" s="12"/>
      <c r="AB262" s="10"/>
      <c r="AC262" s="10"/>
      <c r="AD262" s="10"/>
      <c r="AE262" s="10"/>
      <c r="AI262" s="35"/>
      <c r="AJ262"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62" s="19" t="str">
        <f>IFERROR(IF(OR(TRIM(Table24[[#This Row],[DOB]])="",TRIM(Table24[[#This Row],[Date of Call]])=""),"Cannot be calculated",DATEDIF(Table24[[#This Row],[DOB]],Table24[[#This Row],[Date of Call]],"Y")),"Cannot be calculated")</f>
        <v>Cannot be calculated</v>
      </c>
      <c r="AL262"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62" s="19">
        <f>IFERROR(DATEDIF(Table24[[#This Row],[Date of Call]],Table24[[#This Row],[Follow-up Date]],"D"),"Cannot be calculated")</f>
        <v>0</v>
      </c>
      <c r="AN262" s="19" t="str">
        <f>IF(OR(Table24[[#This Row],[Client Age]]&lt;18,Table24[[#This Row],[If client DOB unknown, is client under 18?]]="Yes"),"Yes","No")</f>
        <v>No</v>
      </c>
      <c r="AO262" s="13" t="str">
        <f>IF(Table24[[#This Row],[Time of Inital Call]]="","",IFERROR(MROUND(Table24[[#This Row],[Time of Inital Call]],"1:00"),""))</f>
        <v/>
      </c>
      <c r="AP262" s="19" t="str">
        <f>IF(Table24[[#This Row],[Date of Call]]="","",TEXT(Table24[[#This Row],[Date of Call]],"dddd"))</f>
        <v/>
      </c>
      <c r="AQ262" s="19" t="str">
        <f>IFERROR(VLOOKUP(Table24[[#This Row],[Residence Zip Code]],Table27[],3,FALSE),"")</f>
        <v/>
      </c>
    </row>
    <row r="263" spans="1:43" x14ac:dyDescent="0.25">
      <c r="A263" s="10"/>
      <c r="C263" s="10"/>
      <c r="D263" s="11"/>
      <c r="E263" s="12"/>
      <c r="F263" s="12"/>
      <c r="G263" s="12"/>
      <c r="H263" s="10"/>
      <c r="I263" s="12"/>
      <c r="J263" s="12"/>
      <c r="K263" s="12"/>
      <c r="L263" s="12"/>
      <c r="M263" s="16"/>
      <c r="N263" s="18"/>
      <c r="O263" s="13"/>
      <c r="P263" s="13"/>
      <c r="Q263" s="13"/>
      <c r="R263" s="18"/>
      <c r="S263" s="13"/>
      <c r="T263" s="13"/>
      <c r="U263" s="10"/>
      <c r="V263" s="2"/>
      <c r="X263" s="13"/>
      <c r="Y263" s="3"/>
      <c r="Z263" s="3"/>
      <c r="AA263" s="12"/>
      <c r="AB263" s="10"/>
      <c r="AC263" s="10"/>
      <c r="AD263" s="10"/>
      <c r="AE263" s="10"/>
      <c r="AI263" s="35"/>
      <c r="AJ263"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63" s="19" t="str">
        <f>IFERROR(IF(OR(TRIM(Table24[[#This Row],[DOB]])="",TRIM(Table24[[#This Row],[Date of Call]])=""),"Cannot be calculated",DATEDIF(Table24[[#This Row],[DOB]],Table24[[#This Row],[Date of Call]],"Y")),"Cannot be calculated")</f>
        <v>Cannot be calculated</v>
      </c>
      <c r="AL263"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63" s="19">
        <f>IFERROR(DATEDIF(Table24[[#This Row],[Date of Call]],Table24[[#This Row],[Follow-up Date]],"D"),"Cannot be calculated")</f>
        <v>0</v>
      </c>
      <c r="AN263" s="19" t="str">
        <f>IF(OR(Table24[[#This Row],[Client Age]]&lt;18,Table24[[#This Row],[If client DOB unknown, is client under 18?]]="Yes"),"Yes","No")</f>
        <v>No</v>
      </c>
      <c r="AO263" s="13" t="str">
        <f>IF(Table24[[#This Row],[Time of Inital Call]]="","",IFERROR(MROUND(Table24[[#This Row],[Time of Inital Call]],"1:00"),""))</f>
        <v/>
      </c>
      <c r="AP263" s="19" t="str">
        <f>IF(Table24[[#This Row],[Date of Call]]="","",TEXT(Table24[[#This Row],[Date of Call]],"dddd"))</f>
        <v/>
      </c>
      <c r="AQ263" s="19" t="str">
        <f>IFERROR(VLOOKUP(Table24[[#This Row],[Residence Zip Code]],Table27[],3,FALSE),"")</f>
        <v/>
      </c>
    </row>
    <row r="264" spans="1:43" x14ac:dyDescent="0.25">
      <c r="A264" s="10"/>
      <c r="C264" s="10"/>
      <c r="D264" s="11"/>
      <c r="E264" s="12"/>
      <c r="F264" s="12"/>
      <c r="G264" s="12"/>
      <c r="H264" s="10"/>
      <c r="I264" s="12"/>
      <c r="J264" s="12"/>
      <c r="K264" s="12"/>
      <c r="L264" s="12"/>
      <c r="M264" s="16"/>
      <c r="N264" s="18"/>
      <c r="O264" s="13"/>
      <c r="P264" s="13"/>
      <c r="Q264" s="13"/>
      <c r="R264" s="18"/>
      <c r="S264" s="13"/>
      <c r="T264" s="13"/>
      <c r="U264" s="10"/>
      <c r="V264" s="2"/>
      <c r="X264" s="13"/>
      <c r="Y264" s="3"/>
      <c r="Z264" s="3"/>
      <c r="AA264" s="12"/>
      <c r="AB264" s="10"/>
      <c r="AC264" s="10"/>
      <c r="AD264" s="10"/>
      <c r="AE264" s="10"/>
      <c r="AI264" s="35"/>
      <c r="AJ264"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64" s="19" t="str">
        <f>IFERROR(IF(OR(TRIM(Table24[[#This Row],[DOB]])="",TRIM(Table24[[#This Row],[Date of Call]])=""),"Cannot be calculated",DATEDIF(Table24[[#This Row],[DOB]],Table24[[#This Row],[Date of Call]],"Y")),"Cannot be calculated")</f>
        <v>Cannot be calculated</v>
      </c>
      <c r="AL264"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64" s="19">
        <f>IFERROR(DATEDIF(Table24[[#This Row],[Date of Call]],Table24[[#This Row],[Follow-up Date]],"D"),"Cannot be calculated")</f>
        <v>0</v>
      </c>
      <c r="AN264" s="19" t="str">
        <f>IF(OR(Table24[[#This Row],[Client Age]]&lt;18,Table24[[#This Row],[If client DOB unknown, is client under 18?]]="Yes"),"Yes","No")</f>
        <v>No</v>
      </c>
      <c r="AO264" s="13" t="str">
        <f>IF(Table24[[#This Row],[Time of Inital Call]]="","",IFERROR(MROUND(Table24[[#This Row],[Time of Inital Call]],"1:00"),""))</f>
        <v/>
      </c>
      <c r="AP264" s="19" t="str">
        <f>IF(Table24[[#This Row],[Date of Call]]="","",TEXT(Table24[[#This Row],[Date of Call]],"dddd"))</f>
        <v/>
      </c>
      <c r="AQ264" s="19" t="str">
        <f>IFERROR(VLOOKUP(Table24[[#This Row],[Residence Zip Code]],Table27[],3,FALSE),"")</f>
        <v/>
      </c>
    </row>
    <row r="265" spans="1:43" x14ac:dyDescent="0.25">
      <c r="A265" s="10"/>
      <c r="C265" s="10"/>
      <c r="D265" s="11"/>
      <c r="E265" s="12"/>
      <c r="F265" s="12"/>
      <c r="G265" s="12"/>
      <c r="H265" s="10"/>
      <c r="I265" s="12"/>
      <c r="J265" s="12"/>
      <c r="K265" s="12"/>
      <c r="L265" s="12"/>
      <c r="M265" s="16"/>
      <c r="N265" s="18"/>
      <c r="O265" s="13"/>
      <c r="P265" s="13"/>
      <c r="Q265" s="13"/>
      <c r="R265" s="18"/>
      <c r="S265" s="13"/>
      <c r="T265" s="13"/>
      <c r="U265" s="10"/>
      <c r="V265" s="2"/>
      <c r="X265" s="13"/>
      <c r="Y265" s="3"/>
      <c r="Z265" s="3"/>
      <c r="AA265" s="12"/>
      <c r="AB265" s="10"/>
      <c r="AC265" s="10"/>
      <c r="AD265" s="10"/>
      <c r="AE265" s="10"/>
      <c r="AI265" s="35"/>
      <c r="AJ265"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65" s="19" t="str">
        <f>IFERROR(IF(OR(TRIM(Table24[[#This Row],[DOB]])="",TRIM(Table24[[#This Row],[Date of Call]])=""),"Cannot be calculated",DATEDIF(Table24[[#This Row],[DOB]],Table24[[#This Row],[Date of Call]],"Y")),"Cannot be calculated")</f>
        <v>Cannot be calculated</v>
      </c>
      <c r="AL265"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65" s="19">
        <f>IFERROR(DATEDIF(Table24[[#This Row],[Date of Call]],Table24[[#This Row],[Follow-up Date]],"D"),"Cannot be calculated")</f>
        <v>0</v>
      </c>
      <c r="AN265" s="19" t="str">
        <f>IF(OR(Table24[[#This Row],[Client Age]]&lt;18,Table24[[#This Row],[If client DOB unknown, is client under 18?]]="Yes"),"Yes","No")</f>
        <v>No</v>
      </c>
      <c r="AO265" s="13" t="str">
        <f>IF(Table24[[#This Row],[Time of Inital Call]]="","",IFERROR(MROUND(Table24[[#This Row],[Time of Inital Call]],"1:00"),""))</f>
        <v/>
      </c>
      <c r="AP265" s="19" t="str">
        <f>IF(Table24[[#This Row],[Date of Call]]="","",TEXT(Table24[[#This Row],[Date of Call]],"dddd"))</f>
        <v/>
      </c>
      <c r="AQ265" s="19" t="str">
        <f>IFERROR(VLOOKUP(Table24[[#This Row],[Residence Zip Code]],Table27[],3,FALSE),"")</f>
        <v/>
      </c>
    </row>
    <row r="266" spans="1:43" x14ac:dyDescent="0.25">
      <c r="A266" s="10"/>
      <c r="C266" s="10"/>
      <c r="D266" s="11"/>
      <c r="E266" s="12"/>
      <c r="F266" s="12"/>
      <c r="G266" s="12"/>
      <c r="H266" s="10"/>
      <c r="I266" s="12"/>
      <c r="J266" s="12"/>
      <c r="K266" s="12"/>
      <c r="L266" s="12"/>
      <c r="M266" s="16"/>
      <c r="N266" s="18"/>
      <c r="O266" s="13"/>
      <c r="P266" s="13"/>
      <c r="Q266" s="13"/>
      <c r="R266" s="18"/>
      <c r="S266" s="13"/>
      <c r="T266" s="13"/>
      <c r="U266" s="10"/>
      <c r="V266" s="2"/>
      <c r="X266" s="13"/>
      <c r="Y266" s="3"/>
      <c r="Z266" s="3"/>
      <c r="AA266" s="12"/>
      <c r="AB266" s="10"/>
      <c r="AC266" s="10"/>
      <c r="AD266" s="10"/>
      <c r="AE266" s="10"/>
      <c r="AI266" s="35"/>
      <c r="AJ266"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66" s="19" t="str">
        <f>IFERROR(IF(OR(TRIM(Table24[[#This Row],[DOB]])="",TRIM(Table24[[#This Row],[Date of Call]])=""),"Cannot be calculated",DATEDIF(Table24[[#This Row],[DOB]],Table24[[#This Row],[Date of Call]],"Y")),"Cannot be calculated")</f>
        <v>Cannot be calculated</v>
      </c>
      <c r="AL266"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66" s="19">
        <f>IFERROR(DATEDIF(Table24[[#This Row],[Date of Call]],Table24[[#This Row],[Follow-up Date]],"D"),"Cannot be calculated")</f>
        <v>0</v>
      </c>
      <c r="AN266" s="19" t="str">
        <f>IF(OR(Table24[[#This Row],[Client Age]]&lt;18,Table24[[#This Row],[If client DOB unknown, is client under 18?]]="Yes"),"Yes","No")</f>
        <v>No</v>
      </c>
      <c r="AO266" s="13" t="str">
        <f>IF(Table24[[#This Row],[Time of Inital Call]]="","",IFERROR(MROUND(Table24[[#This Row],[Time of Inital Call]],"1:00"),""))</f>
        <v/>
      </c>
      <c r="AP266" s="19" t="str">
        <f>IF(Table24[[#This Row],[Date of Call]]="","",TEXT(Table24[[#This Row],[Date of Call]],"dddd"))</f>
        <v/>
      </c>
      <c r="AQ266" s="19" t="str">
        <f>IFERROR(VLOOKUP(Table24[[#This Row],[Residence Zip Code]],Table27[],3,FALSE),"")</f>
        <v/>
      </c>
    </row>
    <row r="267" spans="1:43" x14ac:dyDescent="0.25">
      <c r="A267" s="10"/>
      <c r="C267" s="10"/>
      <c r="D267" s="11"/>
      <c r="E267" s="12"/>
      <c r="F267" s="12"/>
      <c r="G267" s="12"/>
      <c r="H267" s="10"/>
      <c r="I267" s="12"/>
      <c r="J267" s="12"/>
      <c r="K267" s="12"/>
      <c r="L267" s="12"/>
      <c r="M267" s="16"/>
      <c r="N267" s="18"/>
      <c r="O267" s="13"/>
      <c r="P267" s="13"/>
      <c r="Q267" s="13"/>
      <c r="R267" s="18"/>
      <c r="S267" s="13"/>
      <c r="T267" s="13"/>
      <c r="U267" s="10"/>
      <c r="V267" s="2"/>
      <c r="X267" s="13"/>
      <c r="Y267" s="3"/>
      <c r="Z267" s="3"/>
      <c r="AA267" s="12"/>
      <c r="AB267" s="10"/>
      <c r="AC267" s="10"/>
      <c r="AD267" s="10"/>
      <c r="AE267" s="10"/>
      <c r="AI267" s="35"/>
      <c r="AJ267"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67" s="19" t="str">
        <f>IFERROR(IF(OR(TRIM(Table24[[#This Row],[DOB]])="",TRIM(Table24[[#This Row],[Date of Call]])=""),"Cannot be calculated",DATEDIF(Table24[[#This Row],[DOB]],Table24[[#This Row],[Date of Call]],"Y")),"Cannot be calculated")</f>
        <v>Cannot be calculated</v>
      </c>
      <c r="AL267"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67" s="19">
        <f>IFERROR(DATEDIF(Table24[[#This Row],[Date of Call]],Table24[[#This Row],[Follow-up Date]],"D"),"Cannot be calculated")</f>
        <v>0</v>
      </c>
      <c r="AN267" s="19" t="str">
        <f>IF(OR(Table24[[#This Row],[Client Age]]&lt;18,Table24[[#This Row],[If client DOB unknown, is client under 18?]]="Yes"),"Yes","No")</f>
        <v>No</v>
      </c>
      <c r="AO267" s="13" t="str">
        <f>IF(Table24[[#This Row],[Time of Inital Call]]="","",IFERROR(MROUND(Table24[[#This Row],[Time of Inital Call]],"1:00"),""))</f>
        <v/>
      </c>
      <c r="AP267" s="19" t="str">
        <f>IF(Table24[[#This Row],[Date of Call]]="","",TEXT(Table24[[#This Row],[Date of Call]],"dddd"))</f>
        <v/>
      </c>
      <c r="AQ267" s="19" t="str">
        <f>IFERROR(VLOOKUP(Table24[[#This Row],[Residence Zip Code]],Table27[],3,FALSE),"")</f>
        <v/>
      </c>
    </row>
    <row r="268" spans="1:43" x14ac:dyDescent="0.25">
      <c r="A268" s="10"/>
      <c r="C268" s="10"/>
      <c r="D268" s="11"/>
      <c r="E268" s="12"/>
      <c r="F268" s="12"/>
      <c r="G268" s="12"/>
      <c r="H268" s="10"/>
      <c r="I268" s="12"/>
      <c r="J268" s="12"/>
      <c r="K268" s="12"/>
      <c r="L268" s="12"/>
      <c r="M268" s="16"/>
      <c r="N268" s="18"/>
      <c r="O268" s="13"/>
      <c r="P268" s="13"/>
      <c r="Q268" s="13"/>
      <c r="R268" s="18"/>
      <c r="S268" s="13"/>
      <c r="T268" s="13"/>
      <c r="U268" s="10"/>
      <c r="V268" s="2"/>
      <c r="X268" s="13"/>
      <c r="Y268" s="3"/>
      <c r="Z268" s="3"/>
      <c r="AA268" s="12"/>
      <c r="AB268" s="10"/>
      <c r="AC268" s="10"/>
      <c r="AD268" s="10"/>
      <c r="AE268" s="10"/>
      <c r="AI268" s="35"/>
      <c r="AJ268"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68" s="19" t="str">
        <f>IFERROR(IF(OR(TRIM(Table24[[#This Row],[DOB]])="",TRIM(Table24[[#This Row],[Date of Call]])=""),"Cannot be calculated",DATEDIF(Table24[[#This Row],[DOB]],Table24[[#This Row],[Date of Call]],"Y")),"Cannot be calculated")</f>
        <v>Cannot be calculated</v>
      </c>
      <c r="AL268"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68" s="19">
        <f>IFERROR(DATEDIF(Table24[[#This Row],[Date of Call]],Table24[[#This Row],[Follow-up Date]],"D"),"Cannot be calculated")</f>
        <v>0</v>
      </c>
      <c r="AN268" s="19" t="str">
        <f>IF(OR(Table24[[#This Row],[Client Age]]&lt;18,Table24[[#This Row],[If client DOB unknown, is client under 18?]]="Yes"),"Yes","No")</f>
        <v>No</v>
      </c>
      <c r="AO268" s="13" t="str">
        <f>IF(Table24[[#This Row],[Time of Inital Call]]="","",IFERROR(MROUND(Table24[[#This Row],[Time of Inital Call]],"1:00"),""))</f>
        <v/>
      </c>
      <c r="AP268" s="19" t="str">
        <f>IF(Table24[[#This Row],[Date of Call]]="","",TEXT(Table24[[#This Row],[Date of Call]],"dddd"))</f>
        <v/>
      </c>
      <c r="AQ268" s="19" t="str">
        <f>IFERROR(VLOOKUP(Table24[[#This Row],[Residence Zip Code]],Table27[],3,FALSE),"")</f>
        <v/>
      </c>
    </row>
    <row r="269" spans="1:43" x14ac:dyDescent="0.25">
      <c r="A269" s="10"/>
      <c r="C269" s="10"/>
      <c r="D269" s="11"/>
      <c r="E269" s="12"/>
      <c r="F269" s="12"/>
      <c r="G269" s="12"/>
      <c r="H269" s="10"/>
      <c r="I269" s="12"/>
      <c r="J269" s="12"/>
      <c r="K269" s="12"/>
      <c r="L269" s="12"/>
      <c r="M269" s="16"/>
      <c r="N269" s="18"/>
      <c r="O269" s="13"/>
      <c r="P269" s="13"/>
      <c r="Q269" s="13"/>
      <c r="R269" s="18"/>
      <c r="S269" s="13"/>
      <c r="T269" s="13"/>
      <c r="U269" s="10"/>
      <c r="V269" s="2"/>
      <c r="X269" s="13"/>
      <c r="Y269" s="3"/>
      <c r="Z269" s="3"/>
      <c r="AA269" s="12"/>
      <c r="AB269" s="10"/>
      <c r="AC269" s="10"/>
      <c r="AD269" s="10"/>
      <c r="AE269" s="10"/>
      <c r="AI269" s="35"/>
      <c r="AJ269"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69" s="19" t="str">
        <f>IFERROR(IF(OR(TRIM(Table24[[#This Row],[DOB]])="",TRIM(Table24[[#This Row],[Date of Call]])=""),"Cannot be calculated",DATEDIF(Table24[[#This Row],[DOB]],Table24[[#This Row],[Date of Call]],"Y")),"Cannot be calculated")</f>
        <v>Cannot be calculated</v>
      </c>
      <c r="AL269"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69" s="19">
        <f>IFERROR(DATEDIF(Table24[[#This Row],[Date of Call]],Table24[[#This Row],[Follow-up Date]],"D"),"Cannot be calculated")</f>
        <v>0</v>
      </c>
      <c r="AN269" s="19" t="str">
        <f>IF(OR(Table24[[#This Row],[Client Age]]&lt;18,Table24[[#This Row],[If client DOB unknown, is client under 18?]]="Yes"),"Yes","No")</f>
        <v>No</v>
      </c>
      <c r="AO269" s="13" t="str">
        <f>IF(Table24[[#This Row],[Time of Inital Call]]="","",IFERROR(MROUND(Table24[[#This Row],[Time of Inital Call]],"1:00"),""))</f>
        <v/>
      </c>
      <c r="AP269" s="19" t="str">
        <f>IF(Table24[[#This Row],[Date of Call]]="","",TEXT(Table24[[#This Row],[Date of Call]],"dddd"))</f>
        <v/>
      </c>
      <c r="AQ269" s="19" t="str">
        <f>IFERROR(VLOOKUP(Table24[[#This Row],[Residence Zip Code]],Table27[],3,FALSE),"")</f>
        <v/>
      </c>
    </row>
    <row r="270" spans="1:43" x14ac:dyDescent="0.25">
      <c r="A270" s="10"/>
      <c r="C270" s="10"/>
      <c r="D270" s="11"/>
      <c r="E270" s="12"/>
      <c r="F270" s="12"/>
      <c r="G270" s="12"/>
      <c r="H270" s="10"/>
      <c r="I270" s="12"/>
      <c r="J270" s="12"/>
      <c r="K270" s="12"/>
      <c r="L270" s="12"/>
      <c r="M270" s="16"/>
      <c r="N270" s="18"/>
      <c r="O270" s="13"/>
      <c r="P270" s="13"/>
      <c r="Q270" s="13"/>
      <c r="R270" s="18"/>
      <c r="S270" s="13"/>
      <c r="T270" s="13"/>
      <c r="U270" s="10"/>
      <c r="V270" s="2"/>
      <c r="X270" s="13"/>
      <c r="Y270" s="3"/>
      <c r="Z270" s="3"/>
      <c r="AA270" s="12"/>
      <c r="AB270" s="10"/>
      <c r="AC270" s="10"/>
      <c r="AD270" s="10"/>
      <c r="AE270" s="10"/>
      <c r="AI270" s="35"/>
      <c r="AJ270"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70" s="19" t="str">
        <f>IFERROR(IF(OR(TRIM(Table24[[#This Row],[DOB]])="",TRIM(Table24[[#This Row],[Date of Call]])=""),"Cannot be calculated",DATEDIF(Table24[[#This Row],[DOB]],Table24[[#This Row],[Date of Call]],"Y")),"Cannot be calculated")</f>
        <v>Cannot be calculated</v>
      </c>
      <c r="AL270"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70" s="19">
        <f>IFERROR(DATEDIF(Table24[[#This Row],[Date of Call]],Table24[[#This Row],[Follow-up Date]],"D"),"Cannot be calculated")</f>
        <v>0</v>
      </c>
      <c r="AN270" s="19" t="str">
        <f>IF(OR(Table24[[#This Row],[Client Age]]&lt;18,Table24[[#This Row],[If client DOB unknown, is client under 18?]]="Yes"),"Yes","No")</f>
        <v>No</v>
      </c>
      <c r="AO270" s="13" t="str">
        <f>IF(Table24[[#This Row],[Time of Inital Call]]="","",IFERROR(MROUND(Table24[[#This Row],[Time of Inital Call]],"1:00"),""))</f>
        <v/>
      </c>
      <c r="AP270" s="19" t="str">
        <f>IF(Table24[[#This Row],[Date of Call]]="","",TEXT(Table24[[#This Row],[Date of Call]],"dddd"))</f>
        <v/>
      </c>
      <c r="AQ270" s="19" t="str">
        <f>IFERROR(VLOOKUP(Table24[[#This Row],[Residence Zip Code]],Table27[],3,FALSE),"")</f>
        <v/>
      </c>
    </row>
    <row r="271" spans="1:43" x14ac:dyDescent="0.25">
      <c r="A271" s="10"/>
      <c r="C271" s="10"/>
      <c r="D271" s="11"/>
      <c r="E271" s="12"/>
      <c r="F271" s="12"/>
      <c r="G271" s="12"/>
      <c r="H271" s="10"/>
      <c r="I271" s="12"/>
      <c r="J271" s="12"/>
      <c r="K271" s="12"/>
      <c r="L271" s="12"/>
      <c r="M271" s="16"/>
      <c r="N271" s="18"/>
      <c r="O271" s="13"/>
      <c r="P271" s="13"/>
      <c r="Q271" s="13"/>
      <c r="R271" s="18"/>
      <c r="S271" s="13"/>
      <c r="T271" s="13"/>
      <c r="U271" s="10"/>
      <c r="V271" s="2"/>
      <c r="X271" s="13"/>
      <c r="Y271" s="3"/>
      <c r="Z271" s="3"/>
      <c r="AA271" s="12"/>
      <c r="AB271" s="10"/>
      <c r="AC271" s="10"/>
      <c r="AD271" s="10"/>
      <c r="AE271" s="10"/>
      <c r="AI271" s="35"/>
      <c r="AJ271"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71" s="19" t="str">
        <f>IFERROR(IF(OR(TRIM(Table24[[#This Row],[DOB]])="",TRIM(Table24[[#This Row],[Date of Call]])=""),"Cannot be calculated",DATEDIF(Table24[[#This Row],[DOB]],Table24[[#This Row],[Date of Call]],"Y")),"Cannot be calculated")</f>
        <v>Cannot be calculated</v>
      </c>
      <c r="AL271"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71" s="19">
        <f>IFERROR(DATEDIF(Table24[[#This Row],[Date of Call]],Table24[[#This Row],[Follow-up Date]],"D"),"Cannot be calculated")</f>
        <v>0</v>
      </c>
      <c r="AN271" s="19" t="str">
        <f>IF(OR(Table24[[#This Row],[Client Age]]&lt;18,Table24[[#This Row],[If client DOB unknown, is client under 18?]]="Yes"),"Yes","No")</f>
        <v>No</v>
      </c>
      <c r="AO271" s="13" t="str">
        <f>IF(Table24[[#This Row],[Time of Inital Call]]="","",IFERROR(MROUND(Table24[[#This Row],[Time of Inital Call]],"1:00"),""))</f>
        <v/>
      </c>
      <c r="AP271" s="19" t="str">
        <f>IF(Table24[[#This Row],[Date of Call]]="","",TEXT(Table24[[#This Row],[Date of Call]],"dddd"))</f>
        <v/>
      </c>
      <c r="AQ271" s="19" t="str">
        <f>IFERROR(VLOOKUP(Table24[[#This Row],[Residence Zip Code]],Table27[],3,FALSE),"")</f>
        <v/>
      </c>
    </row>
    <row r="272" spans="1:43" x14ac:dyDescent="0.25">
      <c r="A272" s="10"/>
      <c r="C272" s="10"/>
      <c r="D272" s="11"/>
      <c r="E272" s="12"/>
      <c r="F272" s="12"/>
      <c r="G272" s="12"/>
      <c r="H272" s="10"/>
      <c r="I272" s="12"/>
      <c r="J272" s="12"/>
      <c r="K272" s="12"/>
      <c r="L272" s="12"/>
      <c r="M272" s="16"/>
      <c r="N272" s="18"/>
      <c r="O272" s="13"/>
      <c r="P272" s="13"/>
      <c r="Q272" s="13"/>
      <c r="R272" s="18"/>
      <c r="S272" s="13"/>
      <c r="T272" s="13"/>
      <c r="U272" s="10"/>
      <c r="V272" s="2"/>
      <c r="X272" s="13"/>
      <c r="Y272" s="3"/>
      <c r="Z272" s="3"/>
      <c r="AA272" s="12"/>
      <c r="AB272" s="10"/>
      <c r="AC272" s="10"/>
      <c r="AD272" s="10"/>
      <c r="AE272" s="10"/>
      <c r="AI272" s="35"/>
      <c r="AJ272"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72" s="19" t="str">
        <f>IFERROR(IF(OR(TRIM(Table24[[#This Row],[DOB]])="",TRIM(Table24[[#This Row],[Date of Call]])=""),"Cannot be calculated",DATEDIF(Table24[[#This Row],[DOB]],Table24[[#This Row],[Date of Call]],"Y")),"Cannot be calculated")</f>
        <v>Cannot be calculated</v>
      </c>
      <c r="AL272"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72" s="19">
        <f>IFERROR(DATEDIF(Table24[[#This Row],[Date of Call]],Table24[[#This Row],[Follow-up Date]],"D"),"Cannot be calculated")</f>
        <v>0</v>
      </c>
      <c r="AN272" s="19" t="str">
        <f>IF(OR(Table24[[#This Row],[Client Age]]&lt;18,Table24[[#This Row],[If client DOB unknown, is client under 18?]]="Yes"),"Yes","No")</f>
        <v>No</v>
      </c>
      <c r="AO272" s="13" t="str">
        <f>IF(Table24[[#This Row],[Time of Inital Call]]="","",IFERROR(MROUND(Table24[[#This Row],[Time of Inital Call]],"1:00"),""))</f>
        <v/>
      </c>
      <c r="AP272" s="19" t="str">
        <f>IF(Table24[[#This Row],[Date of Call]]="","",TEXT(Table24[[#This Row],[Date of Call]],"dddd"))</f>
        <v/>
      </c>
      <c r="AQ272" s="19" t="str">
        <f>IFERROR(VLOOKUP(Table24[[#This Row],[Residence Zip Code]],Table27[],3,FALSE),"")</f>
        <v/>
      </c>
    </row>
    <row r="273" spans="1:43" x14ac:dyDescent="0.25">
      <c r="A273" s="10"/>
      <c r="C273" s="10"/>
      <c r="D273" s="11"/>
      <c r="E273" s="12"/>
      <c r="F273" s="12"/>
      <c r="G273" s="12"/>
      <c r="H273" s="10"/>
      <c r="I273" s="12"/>
      <c r="J273" s="12"/>
      <c r="K273" s="12"/>
      <c r="L273" s="12"/>
      <c r="M273" s="16"/>
      <c r="N273" s="18"/>
      <c r="O273" s="13"/>
      <c r="P273" s="13"/>
      <c r="Q273" s="13"/>
      <c r="R273" s="18"/>
      <c r="S273" s="13"/>
      <c r="T273" s="13"/>
      <c r="U273" s="10"/>
      <c r="V273" s="2"/>
      <c r="X273" s="13"/>
      <c r="Y273" s="3"/>
      <c r="Z273" s="3"/>
      <c r="AA273" s="12"/>
      <c r="AB273" s="10"/>
      <c r="AC273" s="10"/>
      <c r="AD273" s="10"/>
      <c r="AE273" s="10"/>
      <c r="AI273" s="35"/>
      <c r="AJ273"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73" s="19" t="str">
        <f>IFERROR(IF(OR(TRIM(Table24[[#This Row],[DOB]])="",TRIM(Table24[[#This Row],[Date of Call]])=""),"Cannot be calculated",DATEDIF(Table24[[#This Row],[DOB]],Table24[[#This Row],[Date of Call]],"Y")),"Cannot be calculated")</f>
        <v>Cannot be calculated</v>
      </c>
      <c r="AL273"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73" s="19">
        <f>IFERROR(DATEDIF(Table24[[#This Row],[Date of Call]],Table24[[#This Row],[Follow-up Date]],"D"),"Cannot be calculated")</f>
        <v>0</v>
      </c>
      <c r="AN273" s="19" t="str">
        <f>IF(OR(Table24[[#This Row],[Client Age]]&lt;18,Table24[[#This Row],[If client DOB unknown, is client under 18?]]="Yes"),"Yes","No")</f>
        <v>No</v>
      </c>
      <c r="AO273" s="13" t="str">
        <f>IF(Table24[[#This Row],[Time of Inital Call]]="","",IFERROR(MROUND(Table24[[#This Row],[Time of Inital Call]],"1:00"),""))</f>
        <v/>
      </c>
      <c r="AP273" s="19" t="str">
        <f>IF(Table24[[#This Row],[Date of Call]]="","",TEXT(Table24[[#This Row],[Date of Call]],"dddd"))</f>
        <v/>
      </c>
      <c r="AQ273" s="19" t="str">
        <f>IFERROR(VLOOKUP(Table24[[#This Row],[Residence Zip Code]],Table27[],3,FALSE),"")</f>
        <v/>
      </c>
    </row>
    <row r="274" spans="1:43" x14ac:dyDescent="0.25">
      <c r="A274" s="10"/>
      <c r="C274" s="10"/>
      <c r="D274" s="11"/>
      <c r="E274" s="12"/>
      <c r="F274" s="12"/>
      <c r="G274" s="12"/>
      <c r="H274" s="10"/>
      <c r="I274" s="12"/>
      <c r="J274" s="12"/>
      <c r="K274" s="12"/>
      <c r="L274" s="12"/>
      <c r="M274" s="16"/>
      <c r="N274" s="18"/>
      <c r="O274" s="13"/>
      <c r="P274" s="13"/>
      <c r="Q274" s="13"/>
      <c r="R274" s="18"/>
      <c r="S274" s="13"/>
      <c r="T274" s="13"/>
      <c r="U274" s="10"/>
      <c r="V274" s="2"/>
      <c r="X274" s="13"/>
      <c r="Y274" s="3"/>
      <c r="Z274" s="3"/>
      <c r="AA274" s="12"/>
      <c r="AB274" s="10"/>
      <c r="AC274" s="10"/>
      <c r="AD274" s="10"/>
      <c r="AE274" s="10"/>
      <c r="AI274" s="35"/>
      <c r="AJ274"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74" s="19" t="str">
        <f>IFERROR(IF(OR(TRIM(Table24[[#This Row],[DOB]])="",TRIM(Table24[[#This Row],[Date of Call]])=""),"Cannot be calculated",DATEDIF(Table24[[#This Row],[DOB]],Table24[[#This Row],[Date of Call]],"Y")),"Cannot be calculated")</f>
        <v>Cannot be calculated</v>
      </c>
      <c r="AL274"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74" s="19">
        <f>IFERROR(DATEDIF(Table24[[#This Row],[Date of Call]],Table24[[#This Row],[Follow-up Date]],"D"),"Cannot be calculated")</f>
        <v>0</v>
      </c>
      <c r="AN274" s="19" t="str">
        <f>IF(OR(Table24[[#This Row],[Client Age]]&lt;18,Table24[[#This Row],[If client DOB unknown, is client under 18?]]="Yes"),"Yes","No")</f>
        <v>No</v>
      </c>
      <c r="AO274" s="13" t="str">
        <f>IF(Table24[[#This Row],[Time of Inital Call]]="","",IFERROR(MROUND(Table24[[#This Row],[Time of Inital Call]],"1:00"),""))</f>
        <v/>
      </c>
      <c r="AP274" s="19" t="str">
        <f>IF(Table24[[#This Row],[Date of Call]]="","",TEXT(Table24[[#This Row],[Date of Call]],"dddd"))</f>
        <v/>
      </c>
      <c r="AQ274" s="19" t="str">
        <f>IFERROR(VLOOKUP(Table24[[#This Row],[Residence Zip Code]],Table27[],3,FALSE),"")</f>
        <v/>
      </c>
    </row>
    <row r="275" spans="1:43" x14ac:dyDescent="0.25">
      <c r="A275" s="10"/>
      <c r="C275" s="10"/>
      <c r="D275" s="11"/>
      <c r="E275" s="12"/>
      <c r="F275" s="12"/>
      <c r="G275" s="12"/>
      <c r="H275" s="10"/>
      <c r="I275" s="12"/>
      <c r="J275" s="12"/>
      <c r="K275" s="12"/>
      <c r="L275" s="12"/>
      <c r="M275" s="16"/>
      <c r="N275" s="18"/>
      <c r="O275" s="13"/>
      <c r="P275" s="13"/>
      <c r="Q275" s="13"/>
      <c r="R275" s="18"/>
      <c r="S275" s="13"/>
      <c r="T275" s="13"/>
      <c r="U275" s="10"/>
      <c r="V275" s="2"/>
      <c r="X275" s="13"/>
      <c r="Y275" s="3"/>
      <c r="Z275" s="3"/>
      <c r="AA275" s="12"/>
      <c r="AB275" s="10"/>
      <c r="AC275" s="10"/>
      <c r="AD275" s="10"/>
      <c r="AE275" s="10"/>
      <c r="AI275" s="35"/>
      <c r="AJ275"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75" s="19" t="str">
        <f>IFERROR(IF(OR(TRIM(Table24[[#This Row],[DOB]])="",TRIM(Table24[[#This Row],[Date of Call]])=""),"Cannot be calculated",DATEDIF(Table24[[#This Row],[DOB]],Table24[[#This Row],[Date of Call]],"Y")),"Cannot be calculated")</f>
        <v>Cannot be calculated</v>
      </c>
      <c r="AL275"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75" s="19">
        <f>IFERROR(DATEDIF(Table24[[#This Row],[Date of Call]],Table24[[#This Row],[Follow-up Date]],"D"),"Cannot be calculated")</f>
        <v>0</v>
      </c>
      <c r="AN275" s="19" t="str">
        <f>IF(OR(Table24[[#This Row],[Client Age]]&lt;18,Table24[[#This Row],[If client DOB unknown, is client under 18?]]="Yes"),"Yes","No")</f>
        <v>No</v>
      </c>
      <c r="AO275" s="13" t="str">
        <f>IF(Table24[[#This Row],[Time of Inital Call]]="","",IFERROR(MROUND(Table24[[#This Row],[Time of Inital Call]],"1:00"),""))</f>
        <v/>
      </c>
      <c r="AP275" s="19" t="str">
        <f>IF(Table24[[#This Row],[Date of Call]]="","",TEXT(Table24[[#This Row],[Date of Call]],"dddd"))</f>
        <v/>
      </c>
      <c r="AQ275" s="19" t="str">
        <f>IFERROR(VLOOKUP(Table24[[#This Row],[Residence Zip Code]],Table27[],3,FALSE),"")</f>
        <v/>
      </c>
    </row>
    <row r="276" spans="1:43" x14ac:dyDescent="0.25">
      <c r="A276" s="10"/>
      <c r="C276" s="10"/>
      <c r="D276" s="11"/>
      <c r="E276" s="12"/>
      <c r="F276" s="12"/>
      <c r="G276" s="12"/>
      <c r="H276" s="10"/>
      <c r="I276" s="12"/>
      <c r="J276" s="12"/>
      <c r="K276" s="12"/>
      <c r="L276" s="12"/>
      <c r="M276" s="16"/>
      <c r="N276" s="18"/>
      <c r="O276" s="13"/>
      <c r="P276" s="13"/>
      <c r="Q276" s="13"/>
      <c r="R276" s="18"/>
      <c r="S276" s="13"/>
      <c r="T276" s="13"/>
      <c r="U276" s="10"/>
      <c r="V276" s="2"/>
      <c r="X276" s="13"/>
      <c r="Y276" s="3"/>
      <c r="Z276" s="3"/>
      <c r="AA276" s="12"/>
      <c r="AB276" s="10"/>
      <c r="AC276" s="10"/>
      <c r="AD276" s="10"/>
      <c r="AE276" s="10"/>
      <c r="AI276" s="35"/>
      <c r="AJ276"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76" s="19" t="str">
        <f>IFERROR(IF(OR(TRIM(Table24[[#This Row],[DOB]])="",TRIM(Table24[[#This Row],[Date of Call]])=""),"Cannot be calculated",DATEDIF(Table24[[#This Row],[DOB]],Table24[[#This Row],[Date of Call]],"Y")),"Cannot be calculated")</f>
        <v>Cannot be calculated</v>
      </c>
      <c r="AL276"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76" s="19">
        <f>IFERROR(DATEDIF(Table24[[#This Row],[Date of Call]],Table24[[#This Row],[Follow-up Date]],"D"),"Cannot be calculated")</f>
        <v>0</v>
      </c>
      <c r="AN276" s="19" t="str">
        <f>IF(OR(Table24[[#This Row],[Client Age]]&lt;18,Table24[[#This Row],[If client DOB unknown, is client under 18?]]="Yes"),"Yes","No")</f>
        <v>No</v>
      </c>
      <c r="AO276" s="13" t="str">
        <f>IF(Table24[[#This Row],[Time of Inital Call]]="","",IFERROR(MROUND(Table24[[#This Row],[Time of Inital Call]],"1:00"),""))</f>
        <v/>
      </c>
      <c r="AP276" s="19" t="str">
        <f>IF(Table24[[#This Row],[Date of Call]]="","",TEXT(Table24[[#This Row],[Date of Call]],"dddd"))</f>
        <v/>
      </c>
      <c r="AQ276" s="19" t="str">
        <f>IFERROR(VLOOKUP(Table24[[#This Row],[Residence Zip Code]],Table27[],3,FALSE),"")</f>
        <v/>
      </c>
    </row>
    <row r="277" spans="1:43" x14ac:dyDescent="0.25">
      <c r="A277" s="10"/>
      <c r="C277" s="10"/>
      <c r="D277" s="11"/>
      <c r="E277" s="12"/>
      <c r="F277" s="12"/>
      <c r="G277" s="12"/>
      <c r="H277" s="10"/>
      <c r="I277" s="12"/>
      <c r="J277" s="12"/>
      <c r="K277" s="12"/>
      <c r="L277" s="12"/>
      <c r="M277" s="16"/>
      <c r="N277" s="18"/>
      <c r="O277" s="13"/>
      <c r="P277" s="13"/>
      <c r="Q277" s="13"/>
      <c r="R277" s="18"/>
      <c r="S277" s="13"/>
      <c r="T277" s="13"/>
      <c r="U277" s="10"/>
      <c r="V277" s="2"/>
      <c r="X277" s="13"/>
      <c r="Y277" s="3"/>
      <c r="Z277" s="3"/>
      <c r="AA277" s="12"/>
      <c r="AB277" s="10"/>
      <c r="AC277" s="10"/>
      <c r="AD277" s="10"/>
      <c r="AE277" s="10"/>
      <c r="AI277" s="35"/>
      <c r="AJ277"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77" s="19" t="str">
        <f>IFERROR(IF(OR(TRIM(Table24[[#This Row],[DOB]])="",TRIM(Table24[[#This Row],[Date of Call]])=""),"Cannot be calculated",DATEDIF(Table24[[#This Row],[DOB]],Table24[[#This Row],[Date of Call]],"Y")),"Cannot be calculated")</f>
        <v>Cannot be calculated</v>
      </c>
      <c r="AL277"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77" s="19">
        <f>IFERROR(DATEDIF(Table24[[#This Row],[Date of Call]],Table24[[#This Row],[Follow-up Date]],"D"),"Cannot be calculated")</f>
        <v>0</v>
      </c>
      <c r="AN277" s="19" t="str">
        <f>IF(OR(Table24[[#This Row],[Client Age]]&lt;18,Table24[[#This Row],[If client DOB unknown, is client under 18?]]="Yes"),"Yes","No")</f>
        <v>No</v>
      </c>
      <c r="AO277" s="13" t="str">
        <f>IF(Table24[[#This Row],[Time of Inital Call]]="","",IFERROR(MROUND(Table24[[#This Row],[Time of Inital Call]],"1:00"),""))</f>
        <v/>
      </c>
      <c r="AP277" s="19" t="str">
        <f>IF(Table24[[#This Row],[Date of Call]]="","",TEXT(Table24[[#This Row],[Date of Call]],"dddd"))</f>
        <v/>
      </c>
      <c r="AQ277" s="19" t="str">
        <f>IFERROR(VLOOKUP(Table24[[#This Row],[Residence Zip Code]],Table27[],3,FALSE),"")</f>
        <v/>
      </c>
    </row>
    <row r="278" spans="1:43" x14ac:dyDescent="0.25">
      <c r="A278" s="10"/>
      <c r="C278" s="10"/>
      <c r="D278" s="11"/>
      <c r="E278" s="12"/>
      <c r="F278" s="12"/>
      <c r="G278" s="12"/>
      <c r="H278" s="10"/>
      <c r="I278" s="12"/>
      <c r="J278" s="12"/>
      <c r="K278" s="12"/>
      <c r="L278" s="12"/>
      <c r="M278" s="16"/>
      <c r="N278" s="18"/>
      <c r="O278" s="13"/>
      <c r="P278" s="13"/>
      <c r="Q278" s="13"/>
      <c r="R278" s="18"/>
      <c r="S278" s="13"/>
      <c r="T278" s="13"/>
      <c r="U278" s="10"/>
      <c r="V278" s="2"/>
      <c r="X278" s="13"/>
      <c r="Y278" s="3"/>
      <c r="Z278" s="3"/>
      <c r="AA278" s="12"/>
      <c r="AB278" s="10"/>
      <c r="AC278" s="10"/>
      <c r="AD278" s="10"/>
      <c r="AE278" s="10"/>
      <c r="AI278" s="35"/>
      <c r="AJ278"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78" s="19" t="str">
        <f>IFERROR(IF(OR(TRIM(Table24[[#This Row],[DOB]])="",TRIM(Table24[[#This Row],[Date of Call]])=""),"Cannot be calculated",DATEDIF(Table24[[#This Row],[DOB]],Table24[[#This Row],[Date of Call]],"Y")),"Cannot be calculated")</f>
        <v>Cannot be calculated</v>
      </c>
      <c r="AL278"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78" s="19">
        <f>IFERROR(DATEDIF(Table24[[#This Row],[Date of Call]],Table24[[#This Row],[Follow-up Date]],"D"),"Cannot be calculated")</f>
        <v>0</v>
      </c>
      <c r="AN278" s="19" t="str">
        <f>IF(OR(Table24[[#This Row],[Client Age]]&lt;18,Table24[[#This Row],[If client DOB unknown, is client under 18?]]="Yes"),"Yes","No")</f>
        <v>No</v>
      </c>
      <c r="AO278" s="13" t="str">
        <f>IF(Table24[[#This Row],[Time of Inital Call]]="","",IFERROR(MROUND(Table24[[#This Row],[Time of Inital Call]],"1:00"),""))</f>
        <v/>
      </c>
      <c r="AP278" s="19" t="str">
        <f>IF(Table24[[#This Row],[Date of Call]]="","",TEXT(Table24[[#This Row],[Date of Call]],"dddd"))</f>
        <v/>
      </c>
      <c r="AQ278" s="19" t="str">
        <f>IFERROR(VLOOKUP(Table24[[#This Row],[Residence Zip Code]],Table27[],3,FALSE),"")</f>
        <v/>
      </c>
    </row>
    <row r="279" spans="1:43" x14ac:dyDescent="0.25">
      <c r="A279" s="10"/>
      <c r="C279" s="10"/>
      <c r="D279" s="11"/>
      <c r="E279" s="12"/>
      <c r="F279" s="12"/>
      <c r="G279" s="12"/>
      <c r="H279" s="10"/>
      <c r="I279" s="12"/>
      <c r="J279" s="12"/>
      <c r="K279" s="12"/>
      <c r="L279" s="12"/>
      <c r="M279" s="16"/>
      <c r="N279" s="18"/>
      <c r="O279" s="13"/>
      <c r="P279" s="13"/>
      <c r="Q279" s="13"/>
      <c r="R279" s="18"/>
      <c r="S279" s="13"/>
      <c r="T279" s="13"/>
      <c r="U279" s="10"/>
      <c r="V279" s="2"/>
      <c r="X279" s="13"/>
      <c r="Y279" s="3"/>
      <c r="Z279" s="3"/>
      <c r="AA279" s="12"/>
      <c r="AB279" s="10"/>
      <c r="AC279" s="10"/>
      <c r="AD279" s="10"/>
      <c r="AE279" s="10"/>
      <c r="AI279" s="35"/>
      <c r="AJ279"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79" s="19" t="str">
        <f>IFERROR(IF(OR(TRIM(Table24[[#This Row],[DOB]])="",TRIM(Table24[[#This Row],[Date of Call]])=""),"Cannot be calculated",DATEDIF(Table24[[#This Row],[DOB]],Table24[[#This Row],[Date of Call]],"Y")),"Cannot be calculated")</f>
        <v>Cannot be calculated</v>
      </c>
      <c r="AL279"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79" s="19">
        <f>IFERROR(DATEDIF(Table24[[#This Row],[Date of Call]],Table24[[#This Row],[Follow-up Date]],"D"),"Cannot be calculated")</f>
        <v>0</v>
      </c>
      <c r="AN279" s="19" t="str">
        <f>IF(OR(Table24[[#This Row],[Client Age]]&lt;18,Table24[[#This Row],[If client DOB unknown, is client under 18?]]="Yes"),"Yes","No")</f>
        <v>No</v>
      </c>
      <c r="AO279" s="13" t="str">
        <f>IF(Table24[[#This Row],[Time of Inital Call]]="","",IFERROR(MROUND(Table24[[#This Row],[Time of Inital Call]],"1:00"),""))</f>
        <v/>
      </c>
      <c r="AP279" s="19" t="str">
        <f>IF(Table24[[#This Row],[Date of Call]]="","",TEXT(Table24[[#This Row],[Date of Call]],"dddd"))</f>
        <v/>
      </c>
      <c r="AQ279" s="19" t="str">
        <f>IFERROR(VLOOKUP(Table24[[#This Row],[Residence Zip Code]],Table27[],3,FALSE),"")</f>
        <v/>
      </c>
    </row>
    <row r="280" spans="1:43" x14ac:dyDescent="0.25">
      <c r="A280" s="10"/>
      <c r="C280" s="10"/>
      <c r="D280" s="11"/>
      <c r="E280" s="12"/>
      <c r="F280" s="12"/>
      <c r="G280" s="12"/>
      <c r="H280" s="10"/>
      <c r="I280" s="12"/>
      <c r="J280" s="12"/>
      <c r="K280" s="12"/>
      <c r="L280" s="12"/>
      <c r="M280" s="16"/>
      <c r="N280" s="18"/>
      <c r="O280" s="13"/>
      <c r="P280" s="13"/>
      <c r="Q280" s="13"/>
      <c r="R280" s="18"/>
      <c r="S280" s="13"/>
      <c r="T280" s="13"/>
      <c r="U280" s="10"/>
      <c r="V280" s="2"/>
      <c r="X280" s="13"/>
      <c r="Y280" s="3"/>
      <c r="Z280" s="3"/>
      <c r="AA280" s="12"/>
      <c r="AB280" s="10"/>
      <c r="AC280" s="10"/>
      <c r="AD280" s="10"/>
      <c r="AE280" s="10"/>
      <c r="AI280" s="35"/>
      <c r="AJ280"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80" s="19" t="str">
        <f>IFERROR(IF(OR(TRIM(Table24[[#This Row],[DOB]])="",TRIM(Table24[[#This Row],[Date of Call]])=""),"Cannot be calculated",DATEDIF(Table24[[#This Row],[DOB]],Table24[[#This Row],[Date of Call]],"Y")),"Cannot be calculated")</f>
        <v>Cannot be calculated</v>
      </c>
      <c r="AL280"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80" s="19">
        <f>IFERROR(DATEDIF(Table24[[#This Row],[Date of Call]],Table24[[#This Row],[Follow-up Date]],"D"),"Cannot be calculated")</f>
        <v>0</v>
      </c>
      <c r="AN280" s="19" t="str">
        <f>IF(OR(Table24[[#This Row],[Client Age]]&lt;18,Table24[[#This Row],[If client DOB unknown, is client under 18?]]="Yes"),"Yes","No")</f>
        <v>No</v>
      </c>
      <c r="AO280" s="13" t="str">
        <f>IF(Table24[[#This Row],[Time of Inital Call]]="","",IFERROR(MROUND(Table24[[#This Row],[Time of Inital Call]],"1:00"),""))</f>
        <v/>
      </c>
      <c r="AP280" s="19" t="str">
        <f>IF(Table24[[#This Row],[Date of Call]]="","",TEXT(Table24[[#This Row],[Date of Call]],"dddd"))</f>
        <v/>
      </c>
      <c r="AQ280" s="19" t="str">
        <f>IFERROR(VLOOKUP(Table24[[#This Row],[Residence Zip Code]],Table27[],3,FALSE),"")</f>
        <v/>
      </c>
    </row>
    <row r="281" spans="1:43" x14ac:dyDescent="0.25">
      <c r="A281" s="10"/>
      <c r="C281" s="10"/>
      <c r="D281" s="11"/>
      <c r="E281" s="12"/>
      <c r="F281" s="12"/>
      <c r="G281" s="12"/>
      <c r="H281" s="10"/>
      <c r="I281" s="12"/>
      <c r="J281" s="12"/>
      <c r="K281" s="12"/>
      <c r="L281" s="12"/>
      <c r="M281" s="16"/>
      <c r="N281" s="18"/>
      <c r="O281" s="13"/>
      <c r="P281" s="13"/>
      <c r="Q281" s="13"/>
      <c r="R281" s="18"/>
      <c r="S281" s="13"/>
      <c r="T281" s="13"/>
      <c r="U281" s="10"/>
      <c r="V281" s="2"/>
      <c r="X281" s="13"/>
      <c r="Y281" s="3"/>
      <c r="Z281" s="3"/>
      <c r="AA281" s="12"/>
      <c r="AB281" s="10"/>
      <c r="AC281" s="10"/>
      <c r="AD281" s="10"/>
      <c r="AE281" s="10"/>
      <c r="AI281" s="35"/>
      <c r="AJ281"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81" s="19" t="str">
        <f>IFERROR(IF(OR(TRIM(Table24[[#This Row],[DOB]])="",TRIM(Table24[[#This Row],[Date of Call]])=""),"Cannot be calculated",DATEDIF(Table24[[#This Row],[DOB]],Table24[[#This Row],[Date of Call]],"Y")),"Cannot be calculated")</f>
        <v>Cannot be calculated</v>
      </c>
      <c r="AL281"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81" s="19">
        <f>IFERROR(DATEDIF(Table24[[#This Row],[Date of Call]],Table24[[#This Row],[Follow-up Date]],"D"),"Cannot be calculated")</f>
        <v>0</v>
      </c>
      <c r="AN281" s="19" t="str">
        <f>IF(OR(Table24[[#This Row],[Client Age]]&lt;18,Table24[[#This Row],[If client DOB unknown, is client under 18?]]="Yes"),"Yes","No")</f>
        <v>No</v>
      </c>
      <c r="AO281" s="13" t="str">
        <f>IF(Table24[[#This Row],[Time of Inital Call]]="","",IFERROR(MROUND(Table24[[#This Row],[Time of Inital Call]],"1:00"),""))</f>
        <v/>
      </c>
      <c r="AP281" s="19" t="str">
        <f>IF(Table24[[#This Row],[Date of Call]]="","",TEXT(Table24[[#This Row],[Date of Call]],"dddd"))</f>
        <v/>
      </c>
      <c r="AQ281" s="19" t="str">
        <f>IFERROR(VLOOKUP(Table24[[#This Row],[Residence Zip Code]],Table27[],3,FALSE),"")</f>
        <v/>
      </c>
    </row>
    <row r="282" spans="1:43" x14ac:dyDescent="0.25">
      <c r="A282" s="10"/>
      <c r="C282" s="10"/>
      <c r="D282" s="11"/>
      <c r="E282" s="12"/>
      <c r="F282" s="12"/>
      <c r="G282" s="12"/>
      <c r="H282" s="10"/>
      <c r="I282" s="12"/>
      <c r="J282" s="12"/>
      <c r="K282" s="12"/>
      <c r="L282" s="12"/>
      <c r="M282" s="16"/>
      <c r="N282" s="18"/>
      <c r="O282" s="13"/>
      <c r="P282" s="13"/>
      <c r="Q282" s="13"/>
      <c r="R282" s="18"/>
      <c r="S282" s="13"/>
      <c r="T282" s="13"/>
      <c r="U282" s="10"/>
      <c r="V282" s="2"/>
      <c r="X282" s="13"/>
      <c r="Y282" s="3"/>
      <c r="Z282" s="3"/>
      <c r="AA282" s="12"/>
      <c r="AB282" s="10"/>
      <c r="AC282" s="10"/>
      <c r="AD282" s="10"/>
      <c r="AE282" s="10"/>
      <c r="AI282" s="35"/>
      <c r="AJ282"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82" s="19" t="str">
        <f>IFERROR(IF(OR(TRIM(Table24[[#This Row],[DOB]])="",TRIM(Table24[[#This Row],[Date of Call]])=""),"Cannot be calculated",DATEDIF(Table24[[#This Row],[DOB]],Table24[[#This Row],[Date of Call]],"Y")),"Cannot be calculated")</f>
        <v>Cannot be calculated</v>
      </c>
      <c r="AL282"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82" s="19">
        <f>IFERROR(DATEDIF(Table24[[#This Row],[Date of Call]],Table24[[#This Row],[Follow-up Date]],"D"),"Cannot be calculated")</f>
        <v>0</v>
      </c>
      <c r="AN282" s="19" t="str">
        <f>IF(OR(Table24[[#This Row],[Client Age]]&lt;18,Table24[[#This Row],[If client DOB unknown, is client under 18?]]="Yes"),"Yes","No")</f>
        <v>No</v>
      </c>
      <c r="AO282" s="13" t="str">
        <f>IF(Table24[[#This Row],[Time of Inital Call]]="","",IFERROR(MROUND(Table24[[#This Row],[Time of Inital Call]],"1:00"),""))</f>
        <v/>
      </c>
      <c r="AP282" s="19" t="str">
        <f>IF(Table24[[#This Row],[Date of Call]]="","",TEXT(Table24[[#This Row],[Date of Call]],"dddd"))</f>
        <v/>
      </c>
      <c r="AQ282" s="19" t="str">
        <f>IFERROR(VLOOKUP(Table24[[#This Row],[Residence Zip Code]],Table27[],3,FALSE),"")</f>
        <v/>
      </c>
    </row>
    <row r="283" spans="1:43" x14ac:dyDescent="0.25">
      <c r="A283" s="10"/>
      <c r="C283" s="10"/>
      <c r="D283" s="11"/>
      <c r="E283" s="12"/>
      <c r="F283" s="12"/>
      <c r="G283" s="12"/>
      <c r="H283" s="10"/>
      <c r="I283" s="12"/>
      <c r="J283" s="12"/>
      <c r="K283" s="12"/>
      <c r="L283" s="12"/>
      <c r="M283" s="16"/>
      <c r="N283" s="18"/>
      <c r="O283" s="13"/>
      <c r="P283" s="13"/>
      <c r="Q283" s="13"/>
      <c r="R283" s="18"/>
      <c r="S283" s="13"/>
      <c r="T283" s="13"/>
      <c r="U283" s="10"/>
      <c r="V283" s="2"/>
      <c r="X283" s="13"/>
      <c r="Y283" s="3"/>
      <c r="Z283" s="3"/>
      <c r="AA283" s="12"/>
      <c r="AB283" s="10"/>
      <c r="AC283" s="10"/>
      <c r="AD283" s="10"/>
      <c r="AE283" s="10"/>
      <c r="AI283" s="35"/>
      <c r="AJ283"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83" s="19" t="str">
        <f>IFERROR(IF(OR(TRIM(Table24[[#This Row],[DOB]])="",TRIM(Table24[[#This Row],[Date of Call]])=""),"Cannot be calculated",DATEDIF(Table24[[#This Row],[DOB]],Table24[[#This Row],[Date of Call]],"Y")),"Cannot be calculated")</f>
        <v>Cannot be calculated</v>
      </c>
      <c r="AL283"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83" s="19">
        <f>IFERROR(DATEDIF(Table24[[#This Row],[Date of Call]],Table24[[#This Row],[Follow-up Date]],"D"),"Cannot be calculated")</f>
        <v>0</v>
      </c>
      <c r="AN283" s="19" t="str">
        <f>IF(OR(Table24[[#This Row],[Client Age]]&lt;18,Table24[[#This Row],[If client DOB unknown, is client under 18?]]="Yes"),"Yes","No")</f>
        <v>No</v>
      </c>
      <c r="AO283" s="13" t="str">
        <f>IF(Table24[[#This Row],[Time of Inital Call]]="","",IFERROR(MROUND(Table24[[#This Row],[Time of Inital Call]],"1:00"),""))</f>
        <v/>
      </c>
      <c r="AP283" s="19" t="str">
        <f>IF(Table24[[#This Row],[Date of Call]]="","",TEXT(Table24[[#This Row],[Date of Call]],"dddd"))</f>
        <v/>
      </c>
      <c r="AQ283" s="19" t="str">
        <f>IFERROR(VLOOKUP(Table24[[#This Row],[Residence Zip Code]],Table27[],3,FALSE),"")</f>
        <v/>
      </c>
    </row>
    <row r="284" spans="1:43" x14ac:dyDescent="0.25">
      <c r="A284" s="10"/>
      <c r="C284" s="10"/>
      <c r="D284" s="11"/>
      <c r="E284" s="12"/>
      <c r="F284" s="12"/>
      <c r="G284" s="12"/>
      <c r="H284" s="10"/>
      <c r="I284" s="12"/>
      <c r="J284" s="12"/>
      <c r="K284" s="12"/>
      <c r="L284" s="12"/>
      <c r="M284" s="16"/>
      <c r="N284" s="18"/>
      <c r="O284" s="13"/>
      <c r="P284" s="13"/>
      <c r="Q284" s="13"/>
      <c r="R284" s="18"/>
      <c r="S284" s="13"/>
      <c r="T284" s="13"/>
      <c r="U284" s="10"/>
      <c r="V284" s="2"/>
      <c r="X284" s="13"/>
      <c r="Y284" s="3"/>
      <c r="Z284" s="3"/>
      <c r="AA284" s="12"/>
      <c r="AB284" s="10"/>
      <c r="AC284" s="10"/>
      <c r="AD284" s="10"/>
      <c r="AE284" s="10"/>
      <c r="AI284" s="35"/>
      <c r="AJ284"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84" s="19" t="str">
        <f>IFERROR(IF(OR(TRIM(Table24[[#This Row],[DOB]])="",TRIM(Table24[[#This Row],[Date of Call]])=""),"Cannot be calculated",DATEDIF(Table24[[#This Row],[DOB]],Table24[[#This Row],[Date of Call]],"Y")),"Cannot be calculated")</f>
        <v>Cannot be calculated</v>
      </c>
      <c r="AL284"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84" s="19">
        <f>IFERROR(DATEDIF(Table24[[#This Row],[Date of Call]],Table24[[#This Row],[Follow-up Date]],"D"),"Cannot be calculated")</f>
        <v>0</v>
      </c>
      <c r="AN284" s="19" t="str">
        <f>IF(OR(Table24[[#This Row],[Client Age]]&lt;18,Table24[[#This Row],[If client DOB unknown, is client under 18?]]="Yes"),"Yes","No")</f>
        <v>No</v>
      </c>
      <c r="AO284" s="13" t="str">
        <f>IF(Table24[[#This Row],[Time of Inital Call]]="","",IFERROR(MROUND(Table24[[#This Row],[Time of Inital Call]],"1:00"),""))</f>
        <v/>
      </c>
      <c r="AP284" s="19" t="str">
        <f>IF(Table24[[#This Row],[Date of Call]]="","",TEXT(Table24[[#This Row],[Date of Call]],"dddd"))</f>
        <v/>
      </c>
      <c r="AQ284" s="19" t="str">
        <f>IFERROR(VLOOKUP(Table24[[#This Row],[Residence Zip Code]],Table27[],3,FALSE),"")</f>
        <v/>
      </c>
    </row>
    <row r="285" spans="1:43" x14ac:dyDescent="0.25">
      <c r="A285" s="10"/>
      <c r="C285" s="10"/>
      <c r="D285" s="11"/>
      <c r="E285" s="12"/>
      <c r="F285" s="12"/>
      <c r="G285" s="12"/>
      <c r="H285" s="10"/>
      <c r="I285" s="12"/>
      <c r="J285" s="12"/>
      <c r="K285" s="12"/>
      <c r="L285" s="12"/>
      <c r="M285" s="16"/>
      <c r="N285" s="18"/>
      <c r="O285" s="13"/>
      <c r="P285" s="13"/>
      <c r="Q285" s="13"/>
      <c r="R285" s="18"/>
      <c r="S285" s="13"/>
      <c r="T285" s="13"/>
      <c r="U285" s="10"/>
      <c r="V285" s="2"/>
      <c r="X285" s="13"/>
      <c r="Y285" s="3"/>
      <c r="Z285" s="3"/>
      <c r="AA285" s="12"/>
      <c r="AB285" s="10"/>
      <c r="AC285" s="10"/>
      <c r="AD285" s="10"/>
      <c r="AE285" s="10"/>
      <c r="AI285" s="35"/>
      <c r="AJ285"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85" s="19" t="str">
        <f>IFERROR(IF(OR(TRIM(Table24[[#This Row],[DOB]])="",TRIM(Table24[[#This Row],[Date of Call]])=""),"Cannot be calculated",DATEDIF(Table24[[#This Row],[DOB]],Table24[[#This Row],[Date of Call]],"Y")),"Cannot be calculated")</f>
        <v>Cannot be calculated</v>
      </c>
      <c r="AL285"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85" s="19">
        <f>IFERROR(DATEDIF(Table24[[#This Row],[Date of Call]],Table24[[#This Row],[Follow-up Date]],"D"),"Cannot be calculated")</f>
        <v>0</v>
      </c>
      <c r="AN285" s="19" t="str">
        <f>IF(OR(Table24[[#This Row],[Client Age]]&lt;18,Table24[[#This Row],[If client DOB unknown, is client under 18?]]="Yes"),"Yes","No")</f>
        <v>No</v>
      </c>
      <c r="AO285" s="13" t="str">
        <f>IF(Table24[[#This Row],[Time of Inital Call]]="","",IFERROR(MROUND(Table24[[#This Row],[Time of Inital Call]],"1:00"),""))</f>
        <v/>
      </c>
      <c r="AP285" s="19" t="str">
        <f>IF(Table24[[#This Row],[Date of Call]]="","",TEXT(Table24[[#This Row],[Date of Call]],"dddd"))</f>
        <v/>
      </c>
      <c r="AQ285" s="19" t="str">
        <f>IFERROR(VLOOKUP(Table24[[#This Row],[Residence Zip Code]],Table27[],3,FALSE),"")</f>
        <v/>
      </c>
    </row>
    <row r="286" spans="1:43" x14ac:dyDescent="0.25">
      <c r="A286" s="10"/>
      <c r="C286" s="10"/>
      <c r="D286" s="11"/>
      <c r="E286" s="12"/>
      <c r="F286" s="12"/>
      <c r="G286" s="12"/>
      <c r="H286" s="10"/>
      <c r="I286" s="12"/>
      <c r="J286" s="12"/>
      <c r="K286" s="12"/>
      <c r="L286" s="12"/>
      <c r="M286" s="16"/>
      <c r="N286" s="18"/>
      <c r="O286" s="13"/>
      <c r="P286" s="13"/>
      <c r="Q286" s="13"/>
      <c r="R286" s="18"/>
      <c r="S286" s="13"/>
      <c r="T286" s="13"/>
      <c r="U286" s="10"/>
      <c r="V286" s="2"/>
      <c r="X286" s="13"/>
      <c r="Y286" s="3"/>
      <c r="Z286" s="3"/>
      <c r="AA286" s="12"/>
      <c r="AB286" s="10"/>
      <c r="AC286" s="10"/>
      <c r="AD286" s="10"/>
      <c r="AE286" s="10"/>
      <c r="AI286" s="35"/>
      <c r="AJ286"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86" s="19" t="str">
        <f>IFERROR(IF(OR(TRIM(Table24[[#This Row],[DOB]])="",TRIM(Table24[[#This Row],[Date of Call]])=""),"Cannot be calculated",DATEDIF(Table24[[#This Row],[DOB]],Table24[[#This Row],[Date of Call]],"Y")),"Cannot be calculated")</f>
        <v>Cannot be calculated</v>
      </c>
      <c r="AL286"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86" s="19">
        <f>IFERROR(DATEDIF(Table24[[#This Row],[Date of Call]],Table24[[#This Row],[Follow-up Date]],"D"),"Cannot be calculated")</f>
        <v>0</v>
      </c>
      <c r="AN286" s="19" t="str">
        <f>IF(OR(Table24[[#This Row],[Client Age]]&lt;18,Table24[[#This Row],[If client DOB unknown, is client under 18?]]="Yes"),"Yes","No")</f>
        <v>No</v>
      </c>
      <c r="AO286" s="13" t="str">
        <f>IF(Table24[[#This Row],[Time of Inital Call]]="","",IFERROR(MROUND(Table24[[#This Row],[Time of Inital Call]],"1:00"),""))</f>
        <v/>
      </c>
      <c r="AP286" s="19" t="str">
        <f>IF(Table24[[#This Row],[Date of Call]]="","",TEXT(Table24[[#This Row],[Date of Call]],"dddd"))</f>
        <v/>
      </c>
      <c r="AQ286" s="19" t="str">
        <f>IFERROR(VLOOKUP(Table24[[#This Row],[Residence Zip Code]],Table27[],3,FALSE),"")</f>
        <v/>
      </c>
    </row>
    <row r="287" spans="1:43" x14ac:dyDescent="0.25">
      <c r="A287" s="10"/>
      <c r="C287" s="10"/>
      <c r="D287" s="11"/>
      <c r="E287" s="12"/>
      <c r="F287" s="12"/>
      <c r="G287" s="12"/>
      <c r="H287" s="10"/>
      <c r="I287" s="12"/>
      <c r="J287" s="12"/>
      <c r="K287" s="12"/>
      <c r="L287" s="12"/>
      <c r="M287" s="16"/>
      <c r="N287" s="18"/>
      <c r="O287" s="13"/>
      <c r="P287" s="13"/>
      <c r="Q287" s="13"/>
      <c r="R287" s="18"/>
      <c r="S287" s="13"/>
      <c r="T287" s="13"/>
      <c r="U287" s="10"/>
      <c r="V287" s="2"/>
      <c r="X287" s="13"/>
      <c r="Y287" s="3"/>
      <c r="Z287" s="3"/>
      <c r="AA287" s="12"/>
      <c r="AB287" s="10"/>
      <c r="AC287" s="10"/>
      <c r="AD287" s="10"/>
      <c r="AE287" s="10"/>
      <c r="AI287" s="35"/>
      <c r="AJ287"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87" s="19" t="str">
        <f>IFERROR(IF(OR(TRIM(Table24[[#This Row],[DOB]])="",TRIM(Table24[[#This Row],[Date of Call]])=""),"Cannot be calculated",DATEDIF(Table24[[#This Row],[DOB]],Table24[[#This Row],[Date of Call]],"Y")),"Cannot be calculated")</f>
        <v>Cannot be calculated</v>
      </c>
      <c r="AL287"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87" s="19">
        <f>IFERROR(DATEDIF(Table24[[#This Row],[Date of Call]],Table24[[#This Row],[Follow-up Date]],"D"),"Cannot be calculated")</f>
        <v>0</v>
      </c>
      <c r="AN287" s="19" t="str">
        <f>IF(OR(Table24[[#This Row],[Client Age]]&lt;18,Table24[[#This Row],[If client DOB unknown, is client under 18?]]="Yes"),"Yes","No")</f>
        <v>No</v>
      </c>
      <c r="AO287" s="13" t="str">
        <f>IF(Table24[[#This Row],[Time of Inital Call]]="","",IFERROR(MROUND(Table24[[#This Row],[Time of Inital Call]],"1:00"),""))</f>
        <v/>
      </c>
      <c r="AP287" s="19" t="str">
        <f>IF(Table24[[#This Row],[Date of Call]]="","",TEXT(Table24[[#This Row],[Date of Call]],"dddd"))</f>
        <v/>
      </c>
      <c r="AQ287" s="19" t="str">
        <f>IFERROR(VLOOKUP(Table24[[#This Row],[Residence Zip Code]],Table27[],3,FALSE),"")</f>
        <v/>
      </c>
    </row>
    <row r="288" spans="1:43" x14ac:dyDescent="0.25">
      <c r="A288" s="10"/>
      <c r="C288" s="10"/>
      <c r="D288" s="11"/>
      <c r="E288" s="12"/>
      <c r="F288" s="12"/>
      <c r="G288" s="12"/>
      <c r="H288" s="10"/>
      <c r="I288" s="12"/>
      <c r="J288" s="12"/>
      <c r="K288" s="12"/>
      <c r="L288" s="12"/>
      <c r="M288" s="16"/>
      <c r="N288" s="18"/>
      <c r="O288" s="13"/>
      <c r="P288" s="13"/>
      <c r="Q288" s="13"/>
      <c r="R288" s="18"/>
      <c r="S288" s="13"/>
      <c r="T288" s="13"/>
      <c r="U288" s="10"/>
      <c r="V288" s="2"/>
      <c r="X288" s="13"/>
      <c r="Y288" s="3"/>
      <c r="Z288" s="3"/>
      <c r="AA288" s="12"/>
      <c r="AB288" s="10"/>
      <c r="AC288" s="10"/>
      <c r="AD288" s="10"/>
      <c r="AE288" s="10"/>
      <c r="AI288" s="35"/>
      <c r="AJ288"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88" s="19" t="str">
        <f>IFERROR(IF(OR(TRIM(Table24[[#This Row],[DOB]])="",TRIM(Table24[[#This Row],[Date of Call]])=""),"Cannot be calculated",DATEDIF(Table24[[#This Row],[DOB]],Table24[[#This Row],[Date of Call]],"Y")),"Cannot be calculated")</f>
        <v>Cannot be calculated</v>
      </c>
      <c r="AL288"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88" s="19">
        <f>IFERROR(DATEDIF(Table24[[#This Row],[Date of Call]],Table24[[#This Row],[Follow-up Date]],"D"),"Cannot be calculated")</f>
        <v>0</v>
      </c>
      <c r="AN288" s="19" t="str">
        <f>IF(OR(Table24[[#This Row],[Client Age]]&lt;18,Table24[[#This Row],[If client DOB unknown, is client under 18?]]="Yes"),"Yes","No")</f>
        <v>No</v>
      </c>
      <c r="AO288" s="13" t="str">
        <f>IF(Table24[[#This Row],[Time of Inital Call]]="","",IFERROR(MROUND(Table24[[#This Row],[Time of Inital Call]],"1:00"),""))</f>
        <v/>
      </c>
      <c r="AP288" s="19" t="str">
        <f>IF(Table24[[#This Row],[Date of Call]]="","",TEXT(Table24[[#This Row],[Date of Call]],"dddd"))</f>
        <v/>
      </c>
      <c r="AQ288" s="19" t="str">
        <f>IFERROR(VLOOKUP(Table24[[#This Row],[Residence Zip Code]],Table27[],3,FALSE),"")</f>
        <v/>
      </c>
    </row>
    <row r="289" spans="1:43" x14ac:dyDescent="0.25">
      <c r="A289" s="10"/>
      <c r="C289" s="10"/>
      <c r="D289" s="11"/>
      <c r="E289" s="12"/>
      <c r="F289" s="12"/>
      <c r="G289" s="12"/>
      <c r="H289" s="10"/>
      <c r="I289" s="12"/>
      <c r="J289" s="12"/>
      <c r="K289" s="12"/>
      <c r="L289" s="12"/>
      <c r="M289" s="16"/>
      <c r="N289" s="18"/>
      <c r="O289" s="13"/>
      <c r="P289" s="13"/>
      <c r="Q289" s="13"/>
      <c r="R289" s="18"/>
      <c r="S289" s="13"/>
      <c r="T289" s="13"/>
      <c r="U289" s="10"/>
      <c r="V289" s="2"/>
      <c r="X289" s="13"/>
      <c r="Y289" s="3"/>
      <c r="Z289" s="3"/>
      <c r="AA289" s="12"/>
      <c r="AB289" s="10"/>
      <c r="AC289" s="10"/>
      <c r="AD289" s="10"/>
      <c r="AE289" s="10"/>
      <c r="AI289" s="35"/>
      <c r="AJ289"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89" s="19" t="str">
        <f>IFERROR(IF(OR(TRIM(Table24[[#This Row],[DOB]])="",TRIM(Table24[[#This Row],[Date of Call]])=""),"Cannot be calculated",DATEDIF(Table24[[#This Row],[DOB]],Table24[[#This Row],[Date of Call]],"Y")),"Cannot be calculated")</f>
        <v>Cannot be calculated</v>
      </c>
      <c r="AL289"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89" s="19">
        <f>IFERROR(DATEDIF(Table24[[#This Row],[Date of Call]],Table24[[#This Row],[Follow-up Date]],"D"),"Cannot be calculated")</f>
        <v>0</v>
      </c>
      <c r="AN289" s="19" t="str">
        <f>IF(OR(Table24[[#This Row],[Client Age]]&lt;18,Table24[[#This Row],[If client DOB unknown, is client under 18?]]="Yes"),"Yes","No")</f>
        <v>No</v>
      </c>
      <c r="AO289" s="13" t="str">
        <f>IF(Table24[[#This Row],[Time of Inital Call]]="","",IFERROR(MROUND(Table24[[#This Row],[Time of Inital Call]],"1:00"),""))</f>
        <v/>
      </c>
      <c r="AP289" s="19" t="str">
        <f>IF(Table24[[#This Row],[Date of Call]]="","",TEXT(Table24[[#This Row],[Date of Call]],"dddd"))</f>
        <v/>
      </c>
      <c r="AQ289" s="19" t="str">
        <f>IFERROR(VLOOKUP(Table24[[#This Row],[Residence Zip Code]],Table27[],3,FALSE),"")</f>
        <v/>
      </c>
    </row>
    <row r="290" spans="1:43" x14ac:dyDescent="0.25">
      <c r="A290" s="10"/>
      <c r="C290" s="10"/>
      <c r="D290" s="11"/>
      <c r="E290" s="12"/>
      <c r="F290" s="12"/>
      <c r="G290" s="12"/>
      <c r="H290" s="10"/>
      <c r="I290" s="12"/>
      <c r="J290" s="12"/>
      <c r="K290" s="12"/>
      <c r="L290" s="12"/>
      <c r="M290" s="16"/>
      <c r="N290" s="18"/>
      <c r="O290" s="13"/>
      <c r="P290" s="13"/>
      <c r="Q290" s="13"/>
      <c r="R290" s="18"/>
      <c r="S290" s="13"/>
      <c r="T290" s="13"/>
      <c r="U290" s="10"/>
      <c r="V290" s="2"/>
      <c r="X290" s="13"/>
      <c r="Y290" s="3"/>
      <c r="Z290" s="3"/>
      <c r="AA290" s="12"/>
      <c r="AB290" s="10"/>
      <c r="AC290" s="10"/>
      <c r="AD290" s="10"/>
      <c r="AE290" s="10"/>
      <c r="AI290" s="35"/>
      <c r="AJ290"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90" s="19" t="str">
        <f>IFERROR(IF(OR(TRIM(Table24[[#This Row],[DOB]])="",TRIM(Table24[[#This Row],[Date of Call]])=""),"Cannot be calculated",DATEDIF(Table24[[#This Row],[DOB]],Table24[[#This Row],[Date of Call]],"Y")),"Cannot be calculated")</f>
        <v>Cannot be calculated</v>
      </c>
      <c r="AL290"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90" s="19">
        <f>IFERROR(DATEDIF(Table24[[#This Row],[Date of Call]],Table24[[#This Row],[Follow-up Date]],"D"),"Cannot be calculated")</f>
        <v>0</v>
      </c>
      <c r="AN290" s="19" t="str">
        <f>IF(OR(Table24[[#This Row],[Client Age]]&lt;18,Table24[[#This Row],[If client DOB unknown, is client under 18?]]="Yes"),"Yes","No")</f>
        <v>No</v>
      </c>
      <c r="AO290" s="13" t="str">
        <f>IF(Table24[[#This Row],[Time of Inital Call]]="","",IFERROR(MROUND(Table24[[#This Row],[Time of Inital Call]],"1:00"),""))</f>
        <v/>
      </c>
      <c r="AP290" s="19" t="str">
        <f>IF(Table24[[#This Row],[Date of Call]]="","",TEXT(Table24[[#This Row],[Date of Call]],"dddd"))</f>
        <v/>
      </c>
      <c r="AQ290" s="19" t="str">
        <f>IFERROR(VLOOKUP(Table24[[#This Row],[Residence Zip Code]],Table27[],3,FALSE),"")</f>
        <v/>
      </c>
    </row>
    <row r="291" spans="1:43" x14ac:dyDescent="0.25">
      <c r="A291" s="10"/>
      <c r="C291" s="10"/>
      <c r="D291" s="11"/>
      <c r="E291" s="12"/>
      <c r="F291" s="12"/>
      <c r="G291" s="12"/>
      <c r="H291" s="10"/>
      <c r="I291" s="12"/>
      <c r="J291" s="12"/>
      <c r="K291" s="12"/>
      <c r="L291" s="12"/>
      <c r="M291" s="16"/>
      <c r="N291" s="18"/>
      <c r="O291" s="13"/>
      <c r="P291" s="13"/>
      <c r="Q291" s="13"/>
      <c r="R291" s="18"/>
      <c r="S291" s="13"/>
      <c r="T291" s="13"/>
      <c r="U291" s="10"/>
      <c r="V291" s="2"/>
      <c r="X291" s="13"/>
      <c r="Y291" s="3"/>
      <c r="Z291" s="3"/>
      <c r="AA291" s="12"/>
      <c r="AB291" s="10"/>
      <c r="AC291" s="10"/>
      <c r="AD291" s="10"/>
      <c r="AE291" s="10"/>
      <c r="AI291" s="35"/>
      <c r="AJ291"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91" s="19" t="str">
        <f>IFERROR(IF(OR(TRIM(Table24[[#This Row],[DOB]])="",TRIM(Table24[[#This Row],[Date of Call]])=""),"Cannot be calculated",DATEDIF(Table24[[#This Row],[DOB]],Table24[[#This Row],[Date of Call]],"Y")),"Cannot be calculated")</f>
        <v>Cannot be calculated</v>
      </c>
      <c r="AL291"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91" s="19">
        <f>IFERROR(DATEDIF(Table24[[#This Row],[Date of Call]],Table24[[#This Row],[Follow-up Date]],"D"),"Cannot be calculated")</f>
        <v>0</v>
      </c>
      <c r="AN291" s="19" t="str">
        <f>IF(OR(Table24[[#This Row],[Client Age]]&lt;18,Table24[[#This Row],[If client DOB unknown, is client under 18?]]="Yes"),"Yes","No")</f>
        <v>No</v>
      </c>
      <c r="AO291" s="13" t="str">
        <f>IF(Table24[[#This Row],[Time of Inital Call]]="","",IFERROR(MROUND(Table24[[#This Row],[Time of Inital Call]],"1:00"),""))</f>
        <v/>
      </c>
      <c r="AP291" s="19" t="str">
        <f>IF(Table24[[#This Row],[Date of Call]]="","",TEXT(Table24[[#This Row],[Date of Call]],"dddd"))</f>
        <v/>
      </c>
      <c r="AQ291" s="19" t="str">
        <f>IFERROR(VLOOKUP(Table24[[#This Row],[Residence Zip Code]],Table27[],3,FALSE),"")</f>
        <v/>
      </c>
    </row>
    <row r="292" spans="1:43" x14ac:dyDescent="0.25">
      <c r="A292" s="10"/>
      <c r="C292" s="10"/>
      <c r="D292" s="11"/>
      <c r="E292" s="12"/>
      <c r="F292" s="12"/>
      <c r="G292" s="12"/>
      <c r="H292" s="10"/>
      <c r="I292" s="12"/>
      <c r="J292" s="12"/>
      <c r="K292" s="12"/>
      <c r="L292" s="12"/>
      <c r="M292" s="16"/>
      <c r="N292" s="18"/>
      <c r="O292" s="13"/>
      <c r="P292" s="13"/>
      <c r="Q292" s="13"/>
      <c r="R292" s="18"/>
      <c r="S292" s="13"/>
      <c r="T292" s="13"/>
      <c r="U292" s="10"/>
      <c r="V292" s="2"/>
      <c r="X292" s="13"/>
      <c r="Y292" s="3"/>
      <c r="Z292" s="3"/>
      <c r="AA292" s="12"/>
      <c r="AB292" s="10"/>
      <c r="AC292" s="10"/>
      <c r="AD292" s="10"/>
      <c r="AE292" s="10"/>
      <c r="AI292" s="35"/>
      <c r="AJ292"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92" s="19" t="str">
        <f>IFERROR(IF(OR(TRIM(Table24[[#This Row],[DOB]])="",TRIM(Table24[[#This Row],[Date of Call]])=""),"Cannot be calculated",DATEDIF(Table24[[#This Row],[DOB]],Table24[[#This Row],[Date of Call]],"Y")),"Cannot be calculated")</f>
        <v>Cannot be calculated</v>
      </c>
      <c r="AL292"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92" s="19">
        <f>IFERROR(DATEDIF(Table24[[#This Row],[Date of Call]],Table24[[#This Row],[Follow-up Date]],"D"),"Cannot be calculated")</f>
        <v>0</v>
      </c>
      <c r="AN292" s="19" t="str">
        <f>IF(OR(Table24[[#This Row],[Client Age]]&lt;18,Table24[[#This Row],[If client DOB unknown, is client under 18?]]="Yes"),"Yes","No")</f>
        <v>No</v>
      </c>
      <c r="AO292" s="13" t="str">
        <f>IF(Table24[[#This Row],[Time of Inital Call]]="","",IFERROR(MROUND(Table24[[#This Row],[Time of Inital Call]],"1:00"),""))</f>
        <v/>
      </c>
      <c r="AP292" s="19" t="str">
        <f>IF(Table24[[#This Row],[Date of Call]]="","",TEXT(Table24[[#This Row],[Date of Call]],"dddd"))</f>
        <v/>
      </c>
      <c r="AQ292" s="19" t="str">
        <f>IFERROR(VLOOKUP(Table24[[#This Row],[Residence Zip Code]],Table27[],3,FALSE),"")</f>
        <v/>
      </c>
    </row>
    <row r="293" spans="1:43" x14ac:dyDescent="0.25">
      <c r="A293" s="10"/>
      <c r="C293" s="10"/>
      <c r="D293" s="11"/>
      <c r="E293" s="12"/>
      <c r="F293" s="12"/>
      <c r="G293" s="12"/>
      <c r="H293" s="10"/>
      <c r="I293" s="12"/>
      <c r="J293" s="12"/>
      <c r="K293" s="12"/>
      <c r="L293" s="12"/>
      <c r="M293" s="16"/>
      <c r="N293" s="18"/>
      <c r="O293" s="13"/>
      <c r="P293" s="13"/>
      <c r="Q293" s="13"/>
      <c r="R293" s="18"/>
      <c r="S293" s="13"/>
      <c r="T293" s="13"/>
      <c r="U293" s="10"/>
      <c r="V293" s="2"/>
      <c r="X293" s="13"/>
      <c r="Y293" s="3"/>
      <c r="Z293" s="3"/>
      <c r="AA293" s="12"/>
      <c r="AB293" s="10"/>
      <c r="AC293" s="10"/>
      <c r="AD293" s="10"/>
      <c r="AE293" s="10"/>
      <c r="AI293" s="35"/>
      <c r="AJ293"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93" s="19" t="str">
        <f>IFERROR(IF(OR(TRIM(Table24[[#This Row],[DOB]])="",TRIM(Table24[[#This Row],[Date of Call]])=""),"Cannot be calculated",DATEDIF(Table24[[#This Row],[DOB]],Table24[[#This Row],[Date of Call]],"Y")),"Cannot be calculated")</f>
        <v>Cannot be calculated</v>
      </c>
      <c r="AL293"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93" s="19">
        <f>IFERROR(DATEDIF(Table24[[#This Row],[Date of Call]],Table24[[#This Row],[Follow-up Date]],"D"),"Cannot be calculated")</f>
        <v>0</v>
      </c>
      <c r="AN293" s="19" t="str">
        <f>IF(OR(Table24[[#This Row],[Client Age]]&lt;18,Table24[[#This Row],[If client DOB unknown, is client under 18?]]="Yes"),"Yes","No")</f>
        <v>No</v>
      </c>
      <c r="AO293" s="13" t="str">
        <f>IF(Table24[[#This Row],[Time of Inital Call]]="","",IFERROR(MROUND(Table24[[#This Row],[Time of Inital Call]],"1:00"),""))</f>
        <v/>
      </c>
      <c r="AP293" s="19" t="str">
        <f>IF(Table24[[#This Row],[Date of Call]]="","",TEXT(Table24[[#This Row],[Date of Call]],"dddd"))</f>
        <v/>
      </c>
      <c r="AQ293" s="19" t="str">
        <f>IFERROR(VLOOKUP(Table24[[#This Row],[Residence Zip Code]],Table27[],3,FALSE),"")</f>
        <v/>
      </c>
    </row>
    <row r="294" spans="1:43" x14ac:dyDescent="0.25">
      <c r="A294" s="10"/>
      <c r="C294" s="10"/>
      <c r="D294" s="11"/>
      <c r="E294" s="12"/>
      <c r="F294" s="12"/>
      <c r="G294" s="12"/>
      <c r="H294" s="10"/>
      <c r="I294" s="12"/>
      <c r="J294" s="12"/>
      <c r="K294" s="12"/>
      <c r="L294" s="12"/>
      <c r="M294" s="16"/>
      <c r="N294" s="18"/>
      <c r="O294" s="13"/>
      <c r="P294" s="13"/>
      <c r="Q294" s="13"/>
      <c r="R294" s="18"/>
      <c r="S294" s="13"/>
      <c r="T294" s="13"/>
      <c r="U294" s="10"/>
      <c r="V294" s="2"/>
      <c r="X294" s="13"/>
      <c r="Y294" s="3"/>
      <c r="Z294" s="3"/>
      <c r="AA294" s="12"/>
      <c r="AB294" s="10"/>
      <c r="AC294" s="10"/>
      <c r="AD294" s="10"/>
      <c r="AE294" s="10"/>
      <c r="AI294" s="35"/>
      <c r="AJ294"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94" s="19" t="str">
        <f>IFERROR(IF(OR(TRIM(Table24[[#This Row],[DOB]])="",TRIM(Table24[[#This Row],[Date of Call]])=""),"Cannot be calculated",DATEDIF(Table24[[#This Row],[DOB]],Table24[[#This Row],[Date of Call]],"Y")),"Cannot be calculated")</f>
        <v>Cannot be calculated</v>
      </c>
      <c r="AL294"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94" s="19">
        <f>IFERROR(DATEDIF(Table24[[#This Row],[Date of Call]],Table24[[#This Row],[Follow-up Date]],"D"),"Cannot be calculated")</f>
        <v>0</v>
      </c>
      <c r="AN294" s="19" t="str">
        <f>IF(OR(Table24[[#This Row],[Client Age]]&lt;18,Table24[[#This Row],[If client DOB unknown, is client under 18?]]="Yes"),"Yes","No")</f>
        <v>No</v>
      </c>
      <c r="AO294" s="13" t="str">
        <f>IF(Table24[[#This Row],[Time of Inital Call]]="","",IFERROR(MROUND(Table24[[#This Row],[Time of Inital Call]],"1:00"),""))</f>
        <v/>
      </c>
      <c r="AP294" s="19" t="str">
        <f>IF(Table24[[#This Row],[Date of Call]]="","",TEXT(Table24[[#This Row],[Date of Call]],"dddd"))</f>
        <v/>
      </c>
      <c r="AQ294" s="19" t="str">
        <f>IFERROR(VLOOKUP(Table24[[#This Row],[Residence Zip Code]],Table27[],3,FALSE),"")</f>
        <v/>
      </c>
    </row>
    <row r="295" spans="1:43" x14ac:dyDescent="0.25">
      <c r="A295" s="10"/>
      <c r="C295" s="10"/>
      <c r="D295" s="11"/>
      <c r="E295" s="12"/>
      <c r="F295" s="12"/>
      <c r="G295" s="12"/>
      <c r="H295" s="10"/>
      <c r="I295" s="12"/>
      <c r="J295" s="12"/>
      <c r="K295" s="12"/>
      <c r="L295" s="12"/>
      <c r="M295" s="16"/>
      <c r="N295" s="18"/>
      <c r="O295" s="13"/>
      <c r="P295" s="13"/>
      <c r="Q295" s="13"/>
      <c r="R295" s="18"/>
      <c r="S295" s="13"/>
      <c r="T295" s="13"/>
      <c r="U295" s="10"/>
      <c r="V295" s="2"/>
      <c r="X295" s="13"/>
      <c r="Y295" s="3"/>
      <c r="Z295" s="3"/>
      <c r="AA295" s="12"/>
      <c r="AB295" s="10"/>
      <c r="AC295" s="10"/>
      <c r="AD295" s="10"/>
      <c r="AE295" s="10"/>
      <c r="AI295" s="35"/>
      <c r="AJ295"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95" s="19" t="str">
        <f>IFERROR(IF(OR(TRIM(Table24[[#This Row],[DOB]])="",TRIM(Table24[[#This Row],[Date of Call]])=""),"Cannot be calculated",DATEDIF(Table24[[#This Row],[DOB]],Table24[[#This Row],[Date of Call]],"Y")),"Cannot be calculated")</f>
        <v>Cannot be calculated</v>
      </c>
      <c r="AL295"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95" s="19">
        <f>IFERROR(DATEDIF(Table24[[#This Row],[Date of Call]],Table24[[#This Row],[Follow-up Date]],"D"),"Cannot be calculated")</f>
        <v>0</v>
      </c>
      <c r="AN295" s="19" t="str">
        <f>IF(OR(Table24[[#This Row],[Client Age]]&lt;18,Table24[[#This Row],[If client DOB unknown, is client under 18?]]="Yes"),"Yes","No")</f>
        <v>No</v>
      </c>
      <c r="AO295" s="13" t="str">
        <f>IF(Table24[[#This Row],[Time of Inital Call]]="","",IFERROR(MROUND(Table24[[#This Row],[Time of Inital Call]],"1:00"),""))</f>
        <v/>
      </c>
      <c r="AP295" s="19" t="str">
        <f>IF(Table24[[#This Row],[Date of Call]]="","",TEXT(Table24[[#This Row],[Date of Call]],"dddd"))</f>
        <v/>
      </c>
      <c r="AQ295" s="19" t="str">
        <f>IFERROR(VLOOKUP(Table24[[#This Row],[Residence Zip Code]],Table27[],3,FALSE),"")</f>
        <v/>
      </c>
    </row>
    <row r="296" spans="1:43" x14ac:dyDescent="0.25">
      <c r="A296" s="10"/>
      <c r="C296" s="10"/>
      <c r="D296" s="11"/>
      <c r="E296" s="12"/>
      <c r="F296" s="12"/>
      <c r="G296" s="12"/>
      <c r="H296" s="10"/>
      <c r="I296" s="12"/>
      <c r="J296" s="12"/>
      <c r="K296" s="12"/>
      <c r="L296" s="12"/>
      <c r="M296" s="16"/>
      <c r="N296" s="18"/>
      <c r="O296" s="13"/>
      <c r="P296" s="13"/>
      <c r="Q296" s="13"/>
      <c r="R296" s="18"/>
      <c r="S296" s="13"/>
      <c r="T296" s="13"/>
      <c r="U296" s="10"/>
      <c r="V296" s="2"/>
      <c r="X296" s="13"/>
      <c r="Y296" s="3"/>
      <c r="Z296" s="3"/>
      <c r="AA296" s="12"/>
      <c r="AB296" s="10"/>
      <c r="AC296" s="10"/>
      <c r="AD296" s="10"/>
      <c r="AE296" s="10"/>
      <c r="AI296" s="35"/>
      <c r="AJ296"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96" s="19" t="str">
        <f>IFERROR(IF(OR(TRIM(Table24[[#This Row],[DOB]])="",TRIM(Table24[[#This Row],[Date of Call]])=""),"Cannot be calculated",DATEDIF(Table24[[#This Row],[DOB]],Table24[[#This Row],[Date of Call]],"Y")),"Cannot be calculated")</f>
        <v>Cannot be calculated</v>
      </c>
      <c r="AL296"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96" s="19">
        <f>IFERROR(DATEDIF(Table24[[#This Row],[Date of Call]],Table24[[#This Row],[Follow-up Date]],"D"),"Cannot be calculated")</f>
        <v>0</v>
      </c>
      <c r="AN296" s="19" t="str">
        <f>IF(OR(Table24[[#This Row],[Client Age]]&lt;18,Table24[[#This Row],[If client DOB unknown, is client under 18?]]="Yes"),"Yes","No")</f>
        <v>No</v>
      </c>
      <c r="AO296" s="13" t="str">
        <f>IF(Table24[[#This Row],[Time of Inital Call]]="","",IFERROR(MROUND(Table24[[#This Row],[Time of Inital Call]],"1:00"),""))</f>
        <v/>
      </c>
      <c r="AP296" s="19" t="str">
        <f>IF(Table24[[#This Row],[Date of Call]]="","",TEXT(Table24[[#This Row],[Date of Call]],"dddd"))</f>
        <v/>
      </c>
      <c r="AQ296" s="19" t="str">
        <f>IFERROR(VLOOKUP(Table24[[#This Row],[Residence Zip Code]],Table27[],3,FALSE),"")</f>
        <v/>
      </c>
    </row>
    <row r="297" spans="1:43" x14ac:dyDescent="0.25">
      <c r="A297" s="10"/>
      <c r="C297" s="10"/>
      <c r="D297" s="11"/>
      <c r="E297" s="12"/>
      <c r="F297" s="12"/>
      <c r="G297" s="12"/>
      <c r="H297" s="10"/>
      <c r="I297" s="12"/>
      <c r="J297" s="12"/>
      <c r="K297" s="12"/>
      <c r="L297" s="12"/>
      <c r="M297" s="16"/>
      <c r="N297" s="18"/>
      <c r="O297" s="13"/>
      <c r="P297" s="13"/>
      <c r="Q297" s="13"/>
      <c r="R297" s="18"/>
      <c r="S297" s="13"/>
      <c r="T297" s="13"/>
      <c r="U297" s="10"/>
      <c r="V297" s="2"/>
      <c r="X297" s="13"/>
      <c r="Y297" s="3"/>
      <c r="Z297" s="3"/>
      <c r="AA297" s="12"/>
      <c r="AB297" s="10"/>
      <c r="AC297" s="10"/>
      <c r="AD297" s="10"/>
      <c r="AE297" s="10"/>
      <c r="AI297" s="35"/>
      <c r="AJ297"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97" s="19" t="str">
        <f>IFERROR(IF(OR(TRIM(Table24[[#This Row],[DOB]])="",TRIM(Table24[[#This Row],[Date of Call]])=""),"Cannot be calculated",DATEDIF(Table24[[#This Row],[DOB]],Table24[[#This Row],[Date of Call]],"Y")),"Cannot be calculated")</f>
        <v>Cannot be calculated</v>
      </c>
      <c r="AL297"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97" s="19">
        <f>IFERROR(DATEDIF(Table24[[#This Row],[Date of Call]],Table24[[#This Row],[Follow-up Date]],"D"),"Cannot be calculated")</f>
        <v>0</v>
      </c>
      <c r="AN297" s="19" t="str">
        <f>IF(OR(Table24[[#This Row],[Client Age]]&lt;18,Table24[[#This Row],[If client DOB unknown, is client under 18?]]="Yes"),"Yes","No")</f>
        <v>No</v>
      </c>
      <c r="AO297" s="13" t="str">
        <f>IF(Table24[[#This Row],[Time of Inital Call]]="","",IFERROR(MROUND(Table24[[#This Row],[Time of Inital Call]],"1:00"),""))</f>
        <v/>
      </c>
      <c r="AP297" s="19" t="str">
        <f>IF(Table24[[#This Row],[Date of Call]]="","",TEXT(Table24[[#This Row],[Date of Call]],"dddd"))</f>
        <v/>
      </c>
      <c r="AQ297" s="19" t="str">
        <f>IFERROR(VLOOKUP(Table24[[#This Row],[Residence Zip Code]],Table27[],3,FALSE),"")</f>
        <v/>
      </c>
    </row>
    <row r="298" spans="1:43" x14ac:dyDescent="0.25">
      <c r="A298" s="10"/>
      <c r="C298" s="10"/>
      <c r="D298" s="11"/>
      <c r="E298" s="12"/>
      <c r="F298" s="12"/>
      <c r="G298" s="12"/>
      <c r="H298" s="10"/>
      <c r="I298" s="12"/>
      <c r="J298" s="12"/>
      <c r="K298" s="12"/>
      <c r="L298" s="12"/>
      <c r="M298" s="16"/>
      <c r="N298" s="18"/>
      <c r="O298" s="13"/>
      <c r="P298" s="13"/>
      <c r="Q298" s="13"/>
      <c r="R298" s="18"/>
      <c r="S298" s="13"/>
      <c r="T298" s="13"/>
      <c r="U298" s="10"/>
      <c r="V298" s="2"/>
      <c r="X298" s="13"/>
      <c r="Y298" s="3"/>
      <c r="Z298" s="3"/>
      <c r="AA298" s="12"/>
      <c r="AB298" s="10"/>
      <c r="AC298" s="10"/>
      <c r="AD298" s="10"/>
      <c r="AE298" s="10"/>
      <c r="AI298" s="35"/>
      <c r="AJ298"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98" s="19" t="str">
        <f>IFERROR(IF(OR(TRIM(Table24[[#This Row],[DOB]])="",TRIM(Table24[[#This Row],[Date of Call]])=""),"Cannot be calculated",DATEDIF(Table24[[#This Row],[DOB]],Table24[[#This Row],[Date of Call]],"Y")),"Cannot be calculated")</f>
        <v>Cannot be calculated</v>
      </c>
      <c r="AL298"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98" s="19">
        <f>IFERROR(DATEDIF(Table24[[#This Row],[Date of Call]],Table24[[#This Row],[Follow-up Date]],"D"),"Cannot be calculated")</f>
        <v>0</v>
      </c>
      <c r="AN298" s="19" t="str">
        <f>IF(OR(Table24[[#This Row],[Client Age]]&lt;18,Table24[[#This Row],[If client DOB unknown, is client under 18?]]="Yes"),"Yes","No")</f>
        <v>No</v>
      </c>
      <c r="AO298" s="13" t="str">
        <f>IF(Table24[[#This Row],[Time of Inital Call]]="","",IFERROR(MROUND(Table24[[#This Row],[Time of Inital Call]],"1:00"),""))</f>
        <v/>
      </c>
      <c r="AP298" s="19" t="str">
        <f>IF(Table24[[#This Row],[Date of Call]]="","",TEXT(Table24[[#This Row],[Date of Call]],"dddd"))</f>
        <v/>
      </c>
      <c r="AQ298" s="19" t="str">
        <f>IFERROR(VLOOKUP(Table24[[#This Row],[Residence Zip Code]],Table27[],3,FALSE),"")</f>
        <v/>
      </c>
    </row>
    <row r="299" spans="1:43" x14ac:dyDescent="0.25">
      <c r="A299" s="10"/>
      <c r="C299" s="10"/>
      <c r="D299" s="11"/>
      <c r="E299" s="12"/>
      <c r="F299" s="12"/>
      <c r="G299" s="12"/>
      <c r="H299" s="10"/>
      <c r="I299" s="12"/>
      <c r="J299" s="12"/>
      <c r="K299" s="12"/>
      <c r="L299" s="12"/>
      <c r="M299" s="16"/>
      <c r="N299" s="18"/>
      <c r="O299" s="13"/>
      <c r="P299" s="13"/>
      <c r="Q299" s="13"/>
      <c r="R299" s="18"/>
      <c r="S299" s="13"/>
      <c r="T299" s="13"/>
      <c r="U299" s="10"/>
      <c r="V299" s="2"/>
      <c r="X299" s="13"/>
      <c r="Y299" s="3"/>
      <c r="Z299" s="3"/>
      <c r="AA299" s="12"/>
      <c r="AB299" s="10"/>
      <c r="AC299" s="10"/>
      <c r="AD299" s="10"/>
      <c r="AE299" s="10"/>
      <c r="AI299" s="35"/>
      <c r="AJ299"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299" s="19" t="str">
        <f>IFERROR(IF(OR(TRIM(Table24[[#This Row],[DOB]])="",TRIM(Table24[[#This Row],[Date of Call]])=""),"Cannot be calculated",DATEDIF(Table24[[#This Row],[DOB]],Table24[[#This Row],[Date of Call]],"Y")),"Cannot be calculated")</f>
        <v>Cannot be calculated</v>
      </c>
      <c r="AL299"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299" s="19">
        <f>IFERROR(DATEDIF(Table24[[#This Row],[Date of Call]],Table24[[#This Row],[Follow-up Date]],"D"),"Cannot be calculated")</f>
        <v>0</v>
      </c>
      <c r="AN299" s="19" t="str">
        <f>IF(OR(Table24[[#This Row],[Client Age]]&lt;18,Table24[[#This Row],[If client DOB unknown, is client under 18?]]="Yes"),"Yes","No")</f>
        <v>No</v>
      </c>
      <c r="AO299" s="13" t="str">
        <f>IF(Table24[[#This Row],[Time of Inital Call]]="","",IFERROR(MROUND(Table24[[#This Row],[Time of Inital Call]],"1:00"),""))</f>
        <v/>
      </c>
      <c r="AP299" s="19" t="str">
        <f>IF(Table24[[#This Row],[Date of Call]]="","",TEXT(Table24[[#This Row],[Date of Call]],"dddd"))</f>
        <v/>
      </c>
      <c r="AQ299" s="19" t="str">
        <f>IFERROR(VLOOKUP(Table24[[#This Row],[Residence Zip Code]],Table27[],3,FALSE),"")</f>
        <v/>
      </c>
    </row>
    <row r="300" spans="1:43" x14ac:dyDescent="0.25">
      <c r="A300" s="10"/>
      <c r="C300" s="10"/>
      <c r="D300" s="11"/>
      <c r="E300" s="12"/>
      <c r="F300" s="12"/>
      <c r="G300" s="12"/>
      <c r="H300" s="10"/>
      <c r="I300" s="12"/>
      <c r="J300" s="12"/>
      <c r="K300" s="12"/>
      <c r="L300" s="12"/>
      <c r="M300" s="16"/>
      <c r="N300" s="18"/>
      <c r="O300" s="13"/>
      <c r="P300" s="13"/>
      <c r="Q300" s="13"/>
      <c r="R300" s="18"/>
      <c r="S300" s="13"/>
      <c r="T300" s="13"/>
      <c r="U300" s="10"/>
      <c r="V300" s="2"/>
      <c r="X300" s="13"/>
      <c r="Y300" s="3"/>
      <c r="Z300" s="3"/>
      <c r="AA300" s="12"/>
      <c r="AB300" s="10"/>
      <c r="AC300" s="10"/>
      <c r="AD300" s="10"/>
      <c r="AE300" s="10"/>
      <c r="AI300" s="35"/>
      <c r="AJ300"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00" s="19" t="str">
        <f>IFERROR(IF(OR(TRIM(Table24[[#This Row],[DOB]])="",TRIM(Table24[[#This Row],[Date of Call]])=""),"Cannot be calculated",DATEDIF(Table24[[#This Row],[DOB]],Table24[[#This Row],[Date of Call]],"Y")),"Cannot be calculated")</f>
        <v>Cannot be calculated</v>
      </c>
      <c r="AL300"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00" s="19">
        <f>IFERROR(DATEDIF(Table24[[#This Row],[Date of Call]],Table24[[#This Row],[Follow-up Date]],"D"),"Cannot be calculated")</f>
        <v>0</v>
      </c>
      <c r="AN300" s="19" t="str">
        <f>IF(OR(Table24[[#This Row],[Client Age]]&lt;18,Table24[[#This Row],[If client DOB unknown, is client under 18?]]="Yes"),"Yes","No")</f>
        <v>No</v>
      </c>
      <c r="AO300" s="13" t="str">
        <f>IF(Table24[[#This Row],[Time of Inital Call]]="","",IFERROR(MROUND(Table24[[#This Row],[Time of Inital Call]],"1:00"),""))</f>
        <v/>
      </c>
      <c r="AP300" s="19" t="str">
        <f>IF(Table24[[#This Row],[Date of Call]]="","",TEXT(Table24[[#This Row],[Date of Call]],"dddd"))</f>
        <v/>
      </c>
      <c r="AQ300" s="19" t="str">
        <f>IFERROR(VLOOKUP(Table24[[#This Row],[Residence Zip Code]],Table27[],3,FALSE),"")</f>
        <v/>
      </c>
    </row>
    <row r="301" spans="1:43" x14ac:dyDescent="0.25">
      <c r="A301" s="10"/>
      <c r="C301" s="10"/>
      <c r="D301" s="11"/>
      <c r="E301" s="12"/>
      <c r="F301" s="12"/>
      <c r="G301" s="12"/>
      <c r="H301" s="10"/>
      <c r="I301" s="12"/>
      <c r="J301" s="12"/>
      <c r="K301" s="12"/>
      <c r="L301" s="12"/>
      <c r="M301" s="16"/>
      <c r="N301" s="18"/>
      <c r="O301" s="13"/>
      <c r="P301" s="13"/>
      <c r="Q301" s="13"/>
      <c r="R301" s="18"/>
      <c r="S301" s="13"/>
      <c r="T301" s="13"/>
      <c r="U301" s="10"/>
      <c r="V301" s="2"/>
      <c r="X301" s="13"/>
      <c r="Y301" s="3"/>
      <c r="Z301" s="3"/>
      <c r="AA301" s="12"/>
      <c r="AB301" s="10"/>
      <c r="AC301" s="10"/>
      <c r="AD301" s="10"/>
      <c r="AE301" s="10"/>
      <c r="AI301" s="35"/>
      <c r="AJ301"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01" s="19" t="str">
        <f>IFERROR(IF(OR(TRIM(Table24[[#This Row],[DOB]])="",TRIM(Table24[[#This Row],[Date of Call]])=""),"Cannot be calculated",DATEDIF(Table24[[#This Row],[DOB]],Table24[[#This Row],[Date of Call]],"Y")),"Cannot be calculated")</f>
        <v>Cannot be calculated</v>
      </c>
      <c r="AL301"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01" s="19">
        <f>IFERROR(DATEDIF(Table24[[#This Row],[Date of Call]],Table24[[#This Row],[Follow-up Date]],"D"),"Cannot be calculated")</f>
        <v>0</v>
      </c>
      <c r="AN301" s="19" t="str">
        <f>IF(OR(Table24[[#This Row],[Client Age]]&lt;18,Table24[[#This Row],[If client DOB unknown, is client under 18?]]="Yes"),"Yes","No")</f>
        <v>No</v>
      </c>
      <c r="AO301" s="13" t="str">
        <f>IF(Table24[[#This Row],[Time of Inital Call]]="","",IFERROR(MROUND(Table24[[#This Row],[Time of Inital Call]],"1:00"),""))</f>
        <v/>
      </c>
      <c r="AP301" s="19" t="str">
        <f>IF(Table24[[#This Row],[Date of Call]]="","",TEXT(Table24[[#This Row],[Date of Call]],"dddd"))</f>
        <v/>
      </c>
      <c r="AQ301" s="19" t="str">
        <f>IFERROR(VLOOKUP(Table24[[#This Row],[Residence Zip Code]],Table27[],3,FALSE),"")</f>
        <v/>
      </c>
    </row>
    <row r="302" spans="1:43" x14ac:dyDescent="0.25">
      <c r="A302" s="10"/>
      <c r="C302" s="10"/>
      <c r="D302" s="11"/>
      <c r="E302" s="12"/>
      <c r="F302" s="12"/>
      <c r="G302" s="12"/>
      <c r="H302" s="10"/>
      <c r="I302" s="12"/>
      <c r="J302" s="12"/>
      <c r="K302" s="12"/>
      <c r="L302" s="12"/>
      <c r="M302" s="16"/>
      <c r="N302" s="18"/>
      <c r="O302" s="13"/>
      <c r="P302" s="13"/>
      <c r="Q302" s="13"/>
      <c r="R302" s="18"/>
      <c r="S302" s="13"/>
      <c r="T302" s="13"/>
      <c r="U302" s="10"/>
      <c r="V302" s="2"/>
      <c r="X302" s="13"/>
      <c r="Y302" s="3"/>
      <c r="Z302" s="3"/>
      <c r="AA302" s="12"/>
      <c r="AB302" s="10"/>
      <c r="AC302" s="10"/>
      <c r="AD302" s="10"/>
      <c r="AE302" s="10"/>
      <c r="AI302" s="35"/>
      <c r="AJ302"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02" s="19" t="str">
        <f>IFERROR(IF(OR(TRIM(Table24[[#This Row],[DOB]])="",TRIM(Table24[[#This Row],[Date of Call]])=""),"Cannot be calculated",DATEDIF(Table24[[#This Row],[DOB]],Table24[[#This Row],[Date of Call]],"Y")),"Cannot be calculated")</f>
        <v>Cannot be calculated</v>
      </c>
      <c r="AL302"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02" s="19">
        <f>IFERROR(DATEDIF(Table24[[#This Row],[Date of Call]],Table24[[#This Row],[Follow-up Date]],"D"),"Cannot be calculated")</f>
        <v>0</v>
      </c>
      <c r="AN302" s="19" t="str">
        <f>IF(OR(Table24[[#This Row],[Client Age]]&lt;18,Table24[[#This Row],[If client DOB unknown, is client under 18?]]="Yes"),"Yes","No")</f>
        <v>No</v>
      </c>
      <c r="AO302" s="13" t="str">
        <f>IF(Table24[[#This Row],[Time of Inital Call]]="","",IFERROR(MROUND(Table24[[#This Row],[Time of Inital Call]],"1:00"),""))</f>
        <v/>
      </c>
      <c r="AP302" s="19" t="str">
        <f>IF(Table24[[#This Row],[Date of Call]]="","",TEXT(Table24[[#This Row],[Date of Call]],"dddd"))</f>
        <v/>
      </c>
      <c r="AQ302" s="19" t="str">
        <f>IFERROR(VLOOKUP(Table24[[#This Row],[Residence Zip Code]],Table27[],3,FALSE),"")</f>
        <v/>
      </c>
    </row>
    <row r="303" spans="1:43" x14ac:dyDescent="0.25">
      <c r="A303" s="10"/>
      <c r="C303" s="10"/>
      <c r="D303" s="11"/>
      <c r="E303" s="12"/>
      <c r="F303" s="12"/>
      <c r="G303" s="12"/>
      <c r="H303" s="10"/>
      <c r="I303" s="12"/>
      <c r="J303" s="12"/>
      <c r="K303" s="12"/>
      <c r="L303" s="12"/>
      <c r="M303" s="16"/>
      <c r="N303" s="18"/>
      <c r="O303" s="13"/>
      <c r="P303" s="13"/>
      <c r="Q303" s="13"/>
      <c r="R303" s="18"/>
      <c r="S303" s="13"/>
      <c r="T303" s="13"/>
      <c r="U303" s="10"/>
      <c r="V303" s="2"/>
      <c r="X303" s="13"/>
      <c r="Y303" s="3"/>
      <c r="Z303" s="3"/>
      <c r="AA303" s="12"/>
      <c r="AB303" s="10"/>
      <c r="AC303" s="10"/>
      <c r="AD303" s="10"/>
      <c r="AE303" s="10"/>
      <c r="AI303" s="35"/>
      <c r="AJ303"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03" s="19" t="str">
        <f>IFERROR(IF(OR(TRIM(Table24[[#This Row],[DOB]])="",TRIM(Table24[[#This Row],[Date of Call]])=""),"Cannot be calculated",DATEDIF(Table24[[#This Row],[DOB]],Table24[[#This Row],[Date of Call]],"Y")),"Cannot be calculated")</f>
        <v>Cannot be calculated</v>
      </c>
      <c r="AL303"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03" s="19">
        <f>IFERROR(DATEDIF(Table24[[#This Row],[Date of Call]],Table24[[#This Row],[Follow-up Date]],"D"),"Cannot be calculated")</f>
        <v>0</v>
      </c>
      <c r="AN303" s="19" t="str">
        <f>IF(OR(Table24[[#This Row],[Client Age]]&lt;18,Table24[[#This Row],[If client DOB unknown, is client under 18?]]="Yes"),"Yes","No")</f>
        <v>No</v>
      </c>
      <c r="AO303" s="13" t="str">
        <f>IF(Table24[[#This Row],[Time of Inital Call]]="","",IFERROR(MROUND(Table24[[#This Row],[Time of Inital Call]],"1:00"),""))</f>
        <v/>
      </c>
      <c r="AP303" s="19" t="str">
        <f>IF(Table24[[#This Row],[Date of Call]]="","",TEXT(Table24[[#This Row],[Date of Call]],"dddd"))</f>
        <v/>
      </c>
      <c r="AQ303" s="19" t="str">
        <f>IFERROR(VLOOKUP(Table24[[#This Row],[Residence Zip Code]],Table27[],3,FALSE),"")</f>
        <v/>
      </c>
    </row>
    <row r="304" spans="1:43" x14ac:dyDescent="0.25">
      <c r="A304" s="10"/>
      <c r="C304" s="10"/>
      <c r="D304" s="11"/>
      <c r="E304" s="12"/>
      <c r="F304" s="12"/>
      <c r="G304" s="12"/>
      <c r="H304" s="10"/>
      <c r="I304" s="12"/>
      <c r="J304" s="12"/>
      <c r="K304" s="12"/>
      <c r="L304" s="12"/>
      <c r="M304" s="16"/>
      <c r="N304" s="18"/>
      <c r="O304" s="13"/>
      <c r="P304" s="13"/>
      <c r="Q304" s="13"/>
      <c r="R304" s="18"/>
      <c r="S304" s="13"/>
      <c r="T304" s="13"/>
      <c r="U304" s="10"/>
      <c r="V304" s="2"/>
      <c r="X304" s="13"/>
      <c r="Y304" s="3"/>
      <c r="Z304" s="3"/>
      <c r="AA304" s="12"/>
      <c r="AB304" s="10"/>
      <c r="AC304" s="10"/>
      <c r="AD304" s="10"/>
      <c r="AE304" s="10"/>
      <c r="AI304" s="35"/>
      <c r="AJ304"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04" s="19" t="str">
        <f>IFERROR(IF(OR(TRIM(Table24[[#This Row],[DOB]])="",TRIM(Table24[[#This Row],[Date of Call]])=""),"Cannot be calculated",DATEDIF(Table24[[#This Row],[DOB]],Table24[[#This Row],[Date of Call]],"Y")),"Cannot be calculated")</f>
        <v>Cannot be calculated</v>
      </c>
      <c r="AL304"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04" s="19">
        <f>IFERROR(DATEDIF(Table24[[#This Row],[Date of Call]],Table24[[#This Row],[Follow-up Date]],"D"),"Cannot be calculated")</f>
        <v>0</v>
      </c>
      <c r="AN304" s="19" t="str">
        <f>IF(OR(Table24[[#This Row],[Client Age]]&lt;18,Table24[[#This Row],[If client DOB unknown, is client under 18?]]="Yes"),"Yes","No")</f>
        <v>No</v>
      </c>
      <c r="AO304" s="13" t="str">
        <f>IF(Table24[[#This Row],[Time of Inital Call]]="","",IFERROR(MROUND(Table24[[#This Row],[Time of Inital Call]],"1:00"),""))</f>
        <v/>
      </c>
      <c r="AP304" s="19" t="str">
        <f>IF(Table24[[#This Row],[Date of Call]]="","",TEXT(Table24[[#This Row],[Date of Call]],"dddd"))</f>
        <v/>
      </c>
      <c r="AQ304" s="19" t="str">
        <f>IFERROR(VLOOKUP(Table24[[#This Row],[Residence Zip Code]],Table27[],3,FALSE),"")</f>
        <v/>
      </c>
    </row>
    <row r="305" spans="1:43" x14ac:dyDescent="0.25">
      <c r="A305" s="10"/>
      <c r="C305" s="10"/>
      <c r="D305" s="11"/>
      <c r="E305" s="12"/>
      <c r="F305" s="12"/>
      <c r="G305" s="12"/>
      <c r="H305" s="10"/>
      <c r="I305" s="12"/>
      <c r="J305" s="12"/>
      <c r="K305" s="12"/>
      <c r="L305" s="12"/>
      <c r="M305" s="16"/>
      <c r="N305" s="18"/>
      <c r="O305" s="13"/>
      <c r="P305" s="13"/>
      <c r="Q305" s="13"/>
      <c r="R305" s="18"/>
      <c r="S305" s="13"/>
      <c r="T305" s="13"/>
      <c r="U305" s="10"/>
      <c r="V305" s="2"/>
      <c r="X305" s="13"/>
      <c r="Y305" s="3"/>
      <c r="Z305" s="3"/>
      <c r="AA305" s="12"/>
      <c r="AB305" s="10"/>
      <c r="AC305" s="10"/>
      <c r="AD305" s="10"/>
      <c r="AE305" s="10"/>
      <c r="AI305" s="35"/>
      <c r="AJ305"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05" s="19" t="str">
        <f>IFERROR(IF(OR(TRIM(Table24[[#This Row],[DOB]])="",TRIM(Table24[[#This Row],[Date of Call]])=""),"Cannot be calculated",DATEDIF(Table24[[#This Row],[DOB]],Table24[[#This Row],[Date of Call]],"Y")),"Cannot be calculated")</f>
        <v>Cannot be calculated</v>
      </c>
      <c r="AL305"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05" s="19">
        <f>IFERROR(DATEDIF(Table24[[#This Row],[Date of Call]],Table24[[#This Row],[Follow-up Date]],"D"),"Cannot be calculated")</f>
        <v>0</v>
      </c>
      <c r="AN305" s="19" t="str">
        <f>IF(OR(Table24[[#This Row],[Client Age]]&lt;18,Table24[[#This Row],[If client DOB unknown, is client under 18?]]="Yes"),"Yes","No")</f>
        <v>No</v>
      </c>
      <c r="AO305" s="13" t="str">
        <f>IF(Table24[[#This Row],[Time of Inital Call]]="","",IFERROR(MROUND(Table24[[#This Row],[Time of Inital Call]],"1:00"),""))</f>
        <v/>
      </c>
      <c r="AP305" s="19" t="str">
        <f>IF(Table24[[#This Row],[Date of Call]]="","",TEXT(Table24[[#This Row],[Date of Call]],"dddd"))</f>
        <v/>
      </c>
      <c r="AQ305" s="19" t="str">
        <f>IFERROR(VLOOKUP(Table24[[#This Row],[Residence Zip Code]],Table27[],3,FALSE),"")</f>
        <v/>
      </c>
    </row>
    <row r="306" spans="1:43" x14ac:dyDescent="0.25">
      <c r="A306" s="10"/>
      <c r="C306" s="10"/>
      <c r="D306" s="11"/>
      <c r="E306" s="12"/>
      <c r="F306" s="12"/>
      <c r="G306" s="12"/>
      <c r="H306" s="10"/>
      <c r="I306" s="12"/>
      <c r="J306" s="12"/>
      <c r="K306" s="12"/>
      <c r="L306" s="12"/>
      <c r="M306" s="16"/>
      <c r="N306" s="18"/>
      <c r="O306" s="13"/>
      <c r="P306" s="13"/>
      <c r="Q306" s="13"/>
      <c r="R306" s="18"/>
      <c r="S306" s="13"/>
      <c r="T306" s="13"/>
      <c r="U306" s="10"/>
      <c r="V306" s="2"/>
      <c r="X306" s="13"/>
      <c r="Y306" s="3"/>
      <c r="Z306" s="3"/>
      <c r="AA306" s="12"/>
      <c r="AB306" s="10"/>
      <c r="AC306" s="10"/>
      <c r="AD306" s="10"/>
      <c r="AE306" s="10"/>
      <c r="AI306" s="35"/>
      <c r="AJ306"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06" s="19" t="str">
        <f>IFERROR(IF(OR(TRIM(Table24[[#This Row],[DOB]])="",TRIM(Table24[[#This Row],[Date of Call]])=""),"Cannot be calculated",DATEDIF(Table24[[#This Row],[DOB]],Table24[[#This Row],[Date of Call]],"Y")),"Cannot be calculated")</f>
        <v>Cannot be calculated</v>
      </c>
      <c r="AL306"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06" s="19">
        <f>IFERROR(DATEDIF(Table24[[#This Row],[Date of Call]],Table24[[#This Row],[Follow-up Date]],"D"),"Cannot be calculated")</f>
        <v>0</v>
      </c>
      <c r="AN306" s="19" t="str">
        <f>IF(OR(Table24[[#This Row],[Client Age]]&lt;18,Table24[[#This Row],[If client DOB unknown, is client under 18?]]="Yes"),"Yes","No")</f>
        <v>No</v>
      </c>
      <c r="AO306" s="13" t="str">
        <f>IF(Table24[[#This Row],[Time of Inital Call]]="","",IFERROR(MROUND(Table24[[#This Row],[Time of Inital Call]],"1:00"),""))</f>
        <v/>
      </c>
      <c r="AP306" s="19" t="str">
        <f>IF(Table24[[#This Row],[Date of Call]]="","",TEXT(Table24[[#This Row],[Date of Call]],"dddd"))</f>
        <v/>
      </c>
      <c r="AQ306" s="19" t="str">
        <f>IFERROR(VLOOKUP(Table24[[#This Row],[Residence Zip Code]],Table27[],3,FALSE),"")</f>
        <v/>
      </c>
    </row>
    <row r="307" spans="1:43" x14ac:dyDescent="0.25">
      <c r="A307" s="10"/>
      <c r="C307" s="10"/>
      <c r="D307" s="11"/>
      <c r="E307" s="12"/>
      <c r="F307" s="12"/>
      <c r="G307" s="12"/>
      <c r="H307" s="10"/>
      <c r="I307" s="12"/>
      <c r="J307" s="12"/>
      <c r="K307" s="12"/>
      <c r="L307" s="12"/>
      <c r="M307" s="16"/>
      <c r="N307" s="18"/>
      <c r="O307" s="13"/>
      <c r="P307" s="13"/>
      <c r="Q307" s="13"/>
      <c r="R307" s="18"/>
      <c r="S307" s="13"/>
      <c r="T307" s="13"/>
      <c r="U307" s="10"/>
      <c r="V307" s="2"/>
      <c r="X307" s="13"/>
      <c r="Y307" s="3"/>
      <c r="Z307" s="3"/>
      <c r="AA307" s="12"/>
      <c r="AB307" s="10"/>
      <c r="AC307" s="10"/>
      <c r="AD307" s="10"/>
      <c r="AE307" s="10"/>
      <c r="AI307" s="35"/>
      <c r="AJ307"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07" s="19" t="str">
        <f>IFERROR(IF(OR(TRIM(Table24[[#This Row],[DOB]])="",TRIM(Table24[[#This Row],[Date of Call]])=""),"Cannot be calculated",DATEDIF(Table24[[#This Row],[DOB]],Table24[[#This Row],[Date of Call]],"Y")),"Cannot be calculated")</f>
        <v>Cannot be calculated</v>
      </c>
      <c r="AL307"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07" s="19">
        <f>IFERROR(DATEDIF(Table24[[#This Row],[Date of Call]],Table24[[#This Row],[Follow-up Date]],"D"),"Cannot be calculated")</f>
        <v>0</v>
      </c>
      <c r="AN307" s="19" t="str">
        <f>IF(OR(Table24[[#This Row],[Client Age]]&lt;18,Table24[[#This Row],[If client DOB unknown, is client under 18?]]="Yes"),"Yes","No")</f>
        <v>No</v>
      </c>
      <c r="AO307" s="13" t="str">
        <f>IF(Table24[[#This Row],[Time of Inital Call]]="","",IFERROR(MROUND(Table24[[#This Row],[Time of Inital Call]],"1:00"),""))</f>
        <v/>
      </c>
      <c r="AP307" s="19" t="str">
        <f>IF(Table24[[#This Row],[Date of Call]]="","",TEXT(Table24[[#This Row],[Date of Call]],"dddd"))</f>
        <v/>
      </c>
      <c r="AQ307" s="19" t="str">
        <f>IFERROR(VLOOKUP(Table24[[#This Row],[Residence Zip Code]],Table27[],3,FALSE),"")</f>
        <v/>
      </c>
    </row>
    <row r="308" spans="1:43" x14ac:dyDescent="0.25">
      <c r="A308" s="10"/>
      <c r="C308" s="10"/>
      <c r="D308" s="11"/>
      <c r="E308" s="12"/>
      <c r="F308" s="12"/>
      <c r="G308" s="12"/>
      <c r="H308" s="10"/>
      <c r="I308" s="12"/>
      <c r="J308" s="12"/>
      <c r="K308" s="12"/>
      <c r="L308" s="12"/>
      <c r="M308" s="16"/>
      <c r="N308" s="18"/>
      <c r="O308" s="13"/>
      <c r="P308" s="13"/>
      <c r="Q308" s="13"/>
      <c r="R308" s="18"/>
      <c r="S308" s="13"/>
      <c r="T308" s="13"/>
      <c r="U308" s="10"/>
      <c r="V308" s="2"/>
      <c r="X308" s="13"/>
      <c r="Y308" s="3"/>
      <c r="Z308" s="3"/>
      <c r="AA308" s="12"/>
      <c r="AB308" s="10"/>
      <c r="AC308" s="10"/>
      <c r="AD308" s="10"/>
      <c r="AE308" s="10"/>
      <c r="AI308" s="35"/>
      <c r="AJ308"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08" s="19" t="str">
        <f>IFERROR(IF(OR(TRIM(Table24[[#This Row],[DOB]])="",TRIM(Table24[[#This Row],[Date of Call]])=""),"Cannot be calculated",DATEDIF(Table24[[#This Row],[DOB]],Table24[[#This Row],[Date of Call]],"Y")),"Cannot be calculated")</f>
        <v>Cannot be calculated</v>
      </c>
      <c r="AL308"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08" s="19">
        <f>IFERROR(DATEDIF(Table24[[#This Row],[Date of Call]],Table24[[#This Row],[Follow-up Date]],"D"),"Cannot be calculated")</f>
        <v>0</v>
      </c>
      <c r="AN308" s="19" t="str">
        <f>IF(OR(Table24[[#This Row],[Client Age]]&lt;18,Table24[[#This Row],[If client DOB unknown, is client under 18?]]="Yes"),"Yes","No")</f>
        <v>No</v>
      </c>
      <c r="AO308" s="13" t="str">
        <f>IF(Table24[[#This Row],[Time of Inital Call]]="","",IFERROR(MROUND(Table24[[#This Row],[Time of Inital Call]],"1:00"),""))</f>
        <v/>
      </c>
      <c r="AP308" s="19" t="str">
        <f>IF(Table24[[#This Row],[Date of Call]]="","",TEXT(Table24[[#This Row],[Date of Call]],"dddd"))</f>
        <v/>
      </c>
      <c r="AQ308" s="19" t="str">
        <f>IFERROR(VLOOKUP(Table24[[#This Row],[Residence Zip Code]],Table27[],3,FALSE),"")</f>
        <v/>
      </c>
    </row>
    <row r="309" spans="1:43" x14ac:dyDescent="0.25">
      <c r="A309" s="10"/>
      <c r="C309" s="10"/>
      <c r="D309" s="11"/>
      <c r="E309" s="12"/>
      <c r="F309" s="12"/>
      <c r="G309" s="12"/>
      <c r="H309" s="10"/>
      <c r="I309" s="12"/>
      <c r="J309" s="12"/>
      <c r="K309" s="12"/>
      <c r="L309" s="12"/>
      <c r="M309" s="16"/>
      <c r="N309" s="18"/>
      <c r="O309" s="13"/>
      <c r="P309" s="13"/>
      <c r="Q309" s="13"/>
      <c r="R309" s="18"/>
      <c r="S309" s="13"/>
      <c r="T309" s="13"/>
      <c r="U309" s="10"/>
      <c r="V309" s="2"/>
      <c r="X309" s="13"/>
      <c r="Y309" s="3"/>
      <c r="Z309" s="3"/>
      <c r="AA309" s="12"/>
      <c r="AB309" s="10"/>
      <c r="AC309" s="10"/>
      <c r="AD309" s="10"/>
      <c r="AE309" s="10"/>
      <c r="AI309" s="35"/>
      <c r="AJ309"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09" s="19" t="str">
        <f>IFERROR(IF(OR(TRIM(Table24[[#This Row],[DOB]])="",TRIM(Table24[[#This Row],[Date of Call]])=""),"Cannot be calculated",DATEDIF(Table24[[#This Row],[DOB]],Table24[[#This Row],[Date of Call]],"Y")),"Cannot be calculated")</f>
        <v>Cannot be calculated</v>
      </c>
      <c r="AL309"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09" s="19">
        <f>IFERROR(DATEDIF(Table24[[#This Row],[Date of Call]],Table24[[#This Row],[Follow-up Date]],"D"),"Cannot be calculated")</f>
        <v>0</v>
      </c>
      <c r="AN309" s="19" t="str">
        <f>IF(OR(Table24[[#This Row],[Client Age]]&lt;18,Table24[[#This Row],[If client DOB unknown, is client under 18?]]="Yes"),"Yes","No")</f>
        <v>No</v>
      </c>
      <c r="AO309" s="13" t="str">
        <f>IF(Table24[[#This Row],[Time of Inital Call]]="","",IFERROR(MROUND(Table24[[#This Row],[Time of Inital Call]],"1:00"),""))</f>
        <v/>
      </c>
      <c r="AP309" s="19" t="str">
        <f>IF(Table24[[#This Row],[Date of Call]]="","",TEXT(Table24[[#This Row],[Date of Call]],"dddd"))</f>
        <v/>
      </c>
      <c r="AQ309" s="19" t="str">
        <f>IFERROR(VLOOKUP(Table24[[#This Row],[Residence Zip Code]],Table27[],3,FALSE),"")</f>
        <v/>
      </c>
    </row>
    <row r="310" spans="1:43" x14ac:dyDescent="0.25">
      <c r="A310" s="10"/>
      <c r="C310" s="10"/>
      <c r="D310" s="11"/>
      <c r="E310" s="12"/>
      <c r="F310" s="12"/>
      <c r="G310" s="12"/>
      <c r="H310" s="10"/>
      <c r="I310" s="12"/>
      <c r="J310" s="12"/>
      <c r="K310" s="12"/>
      <c r="L310" s="12"/>
      <c r="M310" s="16"/>
      <c r="N310" s="18"/>
      <c r="O310" s="13"/>
      <c r="P310" s="13"/>
      <c r="Q310" s="13"/>
      <c r="R310" s="18"/>
      <c r="S310" s="13"/>
      <c r="T310" s="13"/>
      <c r="U310" s="10"/>
      <c r="V310" s="2"/>
      <c r="X310" s="13"/>
      <c r="Y310" s="3"/>
      <c r="Z310" s="3"/>
      <c r="AA310" s="12"/>
      <c r="AB310" s="10"/>
      <c r="AC310" s="10"/>
      <c r="AD310" s="10"/>
      <c r="AE310" s="10"/>
      <c r="AI310" s="35"/>
      <c r="AJ310"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10" s="19" t="str">
        <f>IFERROR(IF(OR(TRIM(Table24[[#This Row],[DOB]])="",TRIM(Table24[[#This Row],[Date of Call]])=""),"Cannot be calculated",DATEDIF(Table24[[#This Row],[DOB]],Table24[[#This Row],[Date of Call]],"Y")),"Cannot be calculated")</f>
        <v>Cannot be calculated</v>
      </c>
      <c r="AL310"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10" s="19">
        <f>IFERROR(DATEDIF(Table24[[#This Row],[Date of Call]],Table24[[#This Row],[Follow-up Date]],"D"),"Cannot be calculated")</f>
        <v>0</v>
      </c>
      <c r="AN310" s="19" t="str">
        <f>IF(OR(Table24[[#This Row],[Client Age]]&lt;18,Table24[[#This Row],[If client DOB unknown, is client under 18?]]="Yes"),"Yes","No")</f>
        <v>No</v>
      </c>
      <c r="AO310" s="13" t="str">
        <f>IF(Table24[[#This Row],[Time of Inital Call]]="","",IFERROR(MROUND(Table24[[#This Row],[Time of Inital Call]],"1:00"),""))</f>
        <v/>
      </c>
      <c r="AP310" s="19" t="str">
        <f>IF(Table24[[#This Row],[Date of Call]]="","",TEXT(Table24[[#This Row],[Date of Call]],"dddd"))</f>
        <v/>
      </c>
      <c r="AQ310" s="19" t="str">
        <f>IFERROR(VLOOKUP(Table24[[#This Row],[Residence Zip Code]],Table27[],3,FALSE),"")</f>
        <v/>
      </c>
    </row>
    <row r="311" spans="1:43" x14ac:dyDescent="0.25">
      <c r="A311" s="10"/>
      <c r="C311" s="10"/>
      <c r="D311" s="11"/>
      <c r="E311" s="12"/>
      <c r="F311" s="12"/>
      <c r="G311" s="12"/>
      <c r="H311" s="10"/>
      <c r="I311" s="12"/>
      <c r="J311" s="12"/>
      <c r="K311" s="12"/>
      <c r="L311" s="12"/>
      <c r="M311" s="16"/>
      <c r="N311" s="18"/>
      <c r="O311" s="13"/>
      <c r="P311" s="13"/>
      <c r="Q311" s="13"/>
      <c r="R311" s="18"/>
      <c r="S311" s="13"/>
      <c r="T311" s="13"/>
      <c r="U311" s="10"/>
      <c r="V311" s="2"/>
      <c r="X311" s="13"/>
      <c r="Y311" s="3"/>
      <c r="Z311" s="3"/>
      <c r="AA311" s="12"/>
      <c r="AB311" s="10"/>
      <c r="AC311" s="10"/>
      <c r="AD311" s="10"/>
      <c r="AE311" s="10"/>
      <c r="AI311" s="35"/>
      <c r="AJ311"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11" s="19" t="str">
        <f>IFERROR(IF(OR(TRIM(Table24[[#This Row],[DOB]])="",TRIM(Table24[[#This Row],[Date of Call]])=""),"Cannot be calculated",DATEDIF(Table24[[#This Row],[DOB]],Table24[[#This Row],[Date of Call]],"Y")),"Cannot be calculated")</f>
        <v>Cannot be calculated</v>
      </c>
      <c r="AL311"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11" s="19">
        <f>IFERROR(DATEDIF(Table24[[#This Row],[Date of Call]],Table24[[#This Row],[Follow-up Date]],"D"),"Cannot be calculated")</f>
        <v>0</v>
      </c>
      <c r="AN311" s="19" t="str">
        <f>IF(OR(Table24[[#This Row],[Client Age]]&lt;18,Table24[[#This Row],[If client DOB unknown, is client under 18?]]="Yes"),"Yes","No")</f>
        <v>No</v>
      </c>
      <c r="AO311" s="13" t="str">
        <f>IF(Table24[[#This Row],[Time of Inital Call]]="","",IFERROR(MROUND(Table24[[#This Row],[Time of Inital Call]],"1:00"),""))</f>
        <v/>
      </c>
      <c r="AP311" s="19" t="str">
        <f>IF(Table24[[#This Row],[Date of Call]]="","",TEXT(Table24[[#This Row],[Date of Call]],"dddd"))</f>
        <v/>
      </c>
      <c r="AQ311" s="19" t="str">
        <f>IFERROR(VLOOKUP(Table24[[#This Row],[Residence Zip Code]],Table27[],3,FALSE),"")</f>
        <v/>
      </c>
    </row>
    <row r="312" spans="1:43" x14ac:dyDescent="0.25">
      <c r="A312" s="10"/>
      <c r="C312" s="10"/>
      <c r="D312" s="11"/>
      <c r="E312" s="12"/>
      <c r="F312" s="12"/>
      <c r="G312" s="12"/>
      <c r="H312" s="10"/>
      <c r="I312" s="12"/>
      <c r="J312" s="12"/>
      <c r="K312" s="12"/>
      <c r="L312" s="12"/>
      <c r="M312" s="16"/>
      <c r="N312" s="18"/>
      <c r="O312" s="13"/>
      <c r="P312" s="13"/>
      <c r="Q312" s="13"/>
      <c r="R312" s="18"/>
      <c r="S312" s="13"/>
      <c r="T312" s="13"/>
      <c r="U312" s="10"/>
      <c r="V312" s="2"/>
      <c r="X312" s="13"/>
      <c r="Y312" s="3"/>
      <c r="Z312" s="3"/>
      <c r="AA312" s="12"/>
      <c r="AB312" s="10"/>
      <c r="AC312" s="10"/>
      <c r="AD312" s="10"/>
      <c r="AE312" s="10"/>
      <c r="AI312" s="35"/>
      <c r="AJ312"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12" s="19" t="str">
        <f>IFERROR(IF(OR(TRIM(Table24[[#This Row],[DOB]])="",TRIM(Table24[[#This Row],[Date of Call]])=""),"Cannot be calculated",DATEDIF(Table24[[#This Row],[DOB]],Table24[[#This Row],[Date of Call]],"Y")),"Cannot be calculated")</f>
        <v>Cannot be calculated</v>
      </c>
      <c r="AL312"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12" s="19">
        <f>IFERROR(DATEDIF(Table24[[#This Row],[Date of Call]],Table24[[#This Row],[Follow-up Date]],"D"),"Cannot be calculated")</f>
        <v>0</v>
      </c>
      <c r="AN312" s="19" t="str">
        <f>IF(OR(Table24[[#This Row],[Client Age]]&lt;18,Table24[[#This Row],[If client DOB unknown, is client under 18?]]="Yes"),"Yes","No")</f>
        <v>No</v>
      </c>
      <c r="AO312" s="13" t="str">
        <f>IF(Table24[[#This Row],[Time of Inital Call]]="","",IFERROR(MROUND(Table24[[#This Row],[Time of Inital Call]],"1:00"),""))</f>
        <v/>
      </c>
      <c r="AP312" s="19" t="str">
        <f>IF(Table24[[#This Row],[Date of Call]]="","",TEXT(Table24[[#This Row],[Date of Call]],"dddd"))</f>
        <v/>
      </c>
      <c r="AQ312" s="19" t="str">
        <f>IFERROR(VLOOKUP(Table24[[#This Row],[Residence Zip Code]],Table27[],3,FALSE),"")</f>
        <v/>
      </c>
    </row>
    <row r="313" spans="1:43" x14ac:dyDescent="0.25">
      <c r="A313" s="10"/>
      <c r="C313" s="10"/>
      <c r="D313" s="11"/>
      <c r="E313" s="12"/>
      <c r="F313" s="12"/>
      <c r="G313" s="12"/>
      <c r="H313" s="10"/>
      <c r="I313" s="12"/>
      <c r="J313" s="12"/>
      <c r="K313" s="12"/>
      <c r="L313" s="12"/>
      <c r="M313" s="16"/>
      <c r="N313" s="18"/>
      <c r="O313" s="13"/>
      <c r="P313" s="13"/>
      <c r="Q313" s="13"/>
      <c r="R313" s="18"/>
      <c r="S313" s="13"/>
      <c r="T313" s="13"/>
      <c r="U313" s="10"/>
      <c r="V313" s="2"/>
      <c r="X313" s="13"/>
      <c r="Y313" s="3"/>
      <c r="Z313" s="3"/>
      <c r="AA313" s="12"/>
      <c r="AB313" s="10"/>
      <c r="AC313" s="10"/>
      <c r="AD313" s="10"/>
      <c r="AE313" s="10"/>
      <c r="AI313" s="35"/>
      <c r="AJ313"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13" s="19" t="str">
        <f>IFERROR(IF(OR(TRIM(Table24[[#This Row],[DOB]])="",TRIM(Table24[[#This Row],[Date of Call]])=""),"Cannot be calculated",DATEDIF(Table24[[#This Row],[DOB]],Table24[[#This Row],[Date of Call]],"Y")),"Cannot be calculated")</f>
        <v>Cannot be calculated</v>
      </c>
      <c r="AL313"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13" s="19">
        <f>IFERROR(DATEDIF(Table24[[#This Row],[Date of Call]],Table24[[#This Row],[Follow-up Date]],"D"),"Cannot be calculated")</f>
        <v>0</v>
      </c>
      <c r="AN313" s="19" t="str">
        <f>IF(OR(Table24[[#This Row],[Client Age]]&lt;18,Table24[[#This Row],[If client DOB unknown, is client under 18?]]="Yes"),"Yes","No")</f>
        <v>No</v>
      </c>
      <c r="AO313" s="13" t="str">
        <f>IF(Table24[[#This Row],[Time of Inital Call]]="","",IFERROR(MROUND(Table24[[#This Row],[Time of Inital Call]],"1:00"),""))</f>
        <v/>
      </c>
      <c r="AP313" s="19" t="str">
        <f>IF(Table24[[#This Row],[Date of Call]]="","",TEXT(Table24[[#This Row],[Date of Call]],"dddd"))</f>
        <v/>
      </c>
      <c r="AQ313" s="19" t="str">
        <f>IFERROR(VLOOKUP(Table24[[#This Row],[Residence Zip Code]],Table27[],3,FALSE),"")</f>
        <v/>
      </c>
    </row>
    <row r="314" spans="1:43" x14ac:dyDescent="0.25">
      <c r="A314" s="10"/>
      <c r="C314" s="10"/>
      <c r="D314" s="11"/>
      <c r="E314" s="12"/>
      <c r="F314" s="12"/>
      <c r="G314" s="12"/>
      <c r="H314" s="10"/>
      <c r="I314" s="12"/>
      <c r="J314" s="12"/>
      <c r="K314" s="12"/>
      <c r="L314" s="12"/>
      <c r="M314" s="16"/>
      <c r="N314" s="18"/>
      <c r="O314" s="13"/>
      <c r="P314" s="13"/>
      <c r="Q314" s="13"/>
      <c r="R314" s="18"/>
      <c r="S314" s="13"/>
      <c r="T314" s="13"/>
      <c r="U314" s="10"/>
      <c r="V314" s="2"/>
      <c r="X314" s="13"/>
      <c r="Y314" s="3"/>
      <c r="Z314" s="3"/>
      <c r="AA314" s="12"/>
      <c r="AB314" s="10"/>
      <c r="AC314" s="10"/>
      <c r="AD314" s="10"/>
      <c r="AE314" s="10"/>
      <c r="AI314" s="35"/>
      <c r="AJ314"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14" s="19" t="str">
        <f>IFERROR(IF(OR(TRIM(Table24[[#This Row],[DOB]])="",TRIM(Table24[[#This Row],[Date of Call]])=""),"Cannot be calculated",DATEDIF(Table24[[#This Row],[DOB]],Table24[[#This Row],[Date of Call]],"Y")),"Cannot be calculated")</f>
        <v>Cannot be calculated</v>
      </c>
      <c r="AL314"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14" s="19">
        <f>IFERROR(DATEDIF(Table24[[#This Row],[Date of Call]],Table24[[#This Row],[Follow-up Date]],"D"),"Cannot be calculated")</f>
        <v>0</v>
      </c>
      <c r="AN314" s="19" t="str">
        <f>IF(OR(Table24[[#This Row],[Client Age]]&lt;18,Table24[[#This Row],[If client DOB unknown, is client under 18?]]="Yes"),"Yes","No")</f>
        <v>No</v>
      </c>
      <c r="AO314" s="13" t="str">
        <f>IF(Table24[[#This Row],[Time of Inital Call]]="","",IFERROR(MROUND(Table24[[#This Row],[Time of Inital Call]],"1:00"),""))</f>
        <v/>
      </c>
      <c r="AP314" s="19" t="str">
        <f>IF(Table24[[#This Row],[Date of Call]]="","",TEXT(Table24[[#This Row],[Date of Call]],"dddd"))</f>
        <v/>
      </c>
      <c r="AQ314" s="19" t="str">
        <f>IFERROR(VLOOKUP(Table24[[#This Row],[Residence Zip Code]],Table27[],3,FALSE),"")</f>
        <v/>
      </c>
    </row>
    <row r="315" spans="1:43" x14ac:dyDescent="0.25">
      <c r="A315" s="10"/>
      <c r="C315" s="10"/>
      <c r="D315" s="11"/>
      <c r="E315" s="12"/>
      <c r="F315" s="12"/>
      <c r="G315" s="12"/>
      <c r="H315" s="10"/>
      <c r="I315" s="12"/>
      <c r="J315" s="12"/>
      <c r="K315" s="12"/>
      <c r="L315" s="12"/>
      <c r="M315" s="16"/>
      <c r="N315" s="18"/>
      <c r="O315" s="13"/>
      <c r="P315" s="13"/>
      <c r="Q315" s="13"/>
      <c r="R315" s="18"/>
      <c r="S315" s="13"/>
      <c r="T315" s="13"/>
      <c r="U315" s="10"/>
      <c r="V315" s="2"/>
      <c r="X315" s="13"/>
      <c r="Y315" s="3"/>
      <c r="Z315" s="3"/>
      <c r="AA315" s="12"/>
      <c r="AB315" s="10"/>
      <c r="AC315" s="10"/>
      <c r="AD315" s="10"/>
      <c r="AE315" s="10"/>
      <c r="AI315" s="35"/>
      <c r="AJ315"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15" s="19" t="str">
        <f>IFERROR(IF(OR(TRIM(Table24[[#This Row],[DOB]])="",TRIM(Table24[[#This Row],[Date of Call]])=""),"Cannot be calculated",DATEDIF(Table24[[#This Row],[DOB]],Table24[[#This Row],[Date of Call]],"Y")),"Cannot be calculated")</f>
        <v>Cannot be calculated</v>
      </c>
      <c r="AL315"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15" s="19">
        <f>IFERROR(DATEDIF(Table24[[#This Row],[Date of Call]],Table24[[#This Row],[Follow-up Date]],"D"),"Cannot be calculated")</f>
        <v>0</v>
      </c>
      <c r="AN315" s="19" t="str">
        <f>IF(OR(Table24[[#This Row],[Client Age]]&lt;18,Table24[[#This Row],[If client DOB unknown, is client under 18?]]="Yes"),"Yes","No")</f>
        <v>No</v>
      </c>
      <c r="AO315" s="13" t="str">
        <f>IF(Table24[[#This Row],[Time of Inital Call]]="","",IFERROR(MROUND(Table24[[#This Row],[Time of Inital Call]],"1:00"),""))</f>
        <v/>
      </c>
      <c r="AP315" s="19" t="str">
        <f>IF(Table24[[#This Row],[Date of Call]]="","",TEXT(Table24[[#This Row],[Date of Call]],"dddd"))</f>
        <v/>
      </c>
      <c r="AQ315" s="19" t="str">
        <f>IFERROR(VLOOKUP(Table24[[#This Row],[Residence Zip Code]],Table27[],3,FALSE),"")</f>
        <v/>
      </c>
    </row>
    <row r="316" spans="1:43" x14ac:dyDescent="0.25">
      <c r="A316" s="10"/>
      <c r="C316" s="10"/>
      <c r="D316" s="11"/>
      <c r="E316" s="12"/>
      <c r="F316" s="12"/>
      <c r="G316" s="12"/>
      <c r="H316" s="10"/>
      <c r="I316" s="12"/>
      <c r="J316" s="12"/>
      <c r="K316" s="12"/>
      <c r="L316" s="12"/>
      <c r="M316" s="16"/>
      <c r="N316" s="18"/>
      <c r="O316" s="13"/>
      <c r="P316" s="13"/>
      <c r="Q316" s="13"/>
      <c r="R316" s="18"/>
      <c r="S316" s="13"/>
      <c r="T316" s="13"/>
      <c r="U316" s="10"/>
      <c r="V316" s="2"/>
      <c r="X316" s="13"/>
      <c r="Y316" s="3"/>
      <c r="Z316" s="3"/>
      <c r="AA316" s="12"/>
      <c r="AB316" s="10"/>
      <c r="AC316" s="10"/>
      <c r="AD316" s="10"/>
      <c r="AE316" s="10"/>
      <c r="AI316" s="35"/>
      <c r="AJ316"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16" s="19" t="str">
        <f>IFERROR(IF(OR(TRIM(Table24[[#This Row],[DOB]])="",TRIM(Table24[[#This Row],[Date of Call]])=""),"Cannot be calculated",DATEDIF(Table24[[#This Row],[DOB]],Table24[[#This Row],[Date of Call]],"Y")),"Cannot be calculated")</f>
        <v>Cannot be calculated</v>
      </c>
      <c r="AL316"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16" s="19">
        <f>IFERROR(DATEDIF(Table24[[#This Row],[Date of Call]],Table24[[#This Row],[Follow-up Date]],"D"),"Cannot be calculated")</f>
        <v>0</v>
      </c>
      <c r="AN316" s="19" t="str">
        <f>IF(OR(Table24[[#This Row],[Client Age]]&lt;18,Table24[[#This Row],[If client DOB unknown, is client under 18?]]="Yes"),"Yes","No")</f>
        <v>No</v>
      </c>
      <c r="AO316" s="13" t="str">
        <f>IF(Table24[[#This Row],[Time of Inital Call]]="","",IFERROR(MROUND(Table24[[#This Row],[Time of Inital Call]],"1:00"),""))</f>
        <v/>
      </c>
      <c r="AP316" s="19" t="str">
        <f>IF(Table24[[#This Row],[Date of Call]]="","",TEXT(Table24[[#This Row],[Date of Call]],"dddd"))</f>
        <v/>
      </c>
      <c r="AQ316" s="19" t="str">
        <f>IFERROR(VLOOKUP(Table24[[#This Row],[Residence Zip Code]],Table27[],3,FALSE),"")</f>
        <v/>
      </c>
    </row>
    <row r="317" spans="1:43" x14ac:dyDescent="0.25">
      <c r="A317" s="10"/>
      <c r="C317" s="10"/>
      <c r="D317" s="11"/>
      <c r="E317" s="12"/>
      <c r="F317" s="12"/>
      <c r="G317" s="12"/>
      <c r="H317" s="10"/>
      <c r="I317" s="12"/>
      <c r="J317" s="12"/>
      <c r="K317" s="12"/>
      <c r="L317" s="12"/>
      <c r="M317" s="16"/>
      <c r="N317" s="18"/>
      <c r="O317" s="13"/>
      <c r="P317" s="13"/>
      <c r="Q317" s="13"/>
      <c r="R317" s="18"/>
      <c r="S317" s="13"/>
      <c r="T317" s="13"/>
      <c r="U317" s="10"/>
      <c r="V317" s="2"/>
      <c r="X317" s="13"/>
      <c r="Y317" s="3"/>
      <c r="Z317" s="3"/>
      <c r="AA317" s="12"/>
      <c r="AB317" s="10"/>
      <c r="AC317" s="10"/>
      <c r="AD317" s="10"/>
      <c r="AE317" s="10"/>
      <c r="AI317" s="35"/>
      <c r="AJ317"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17" s="19" t="str">
        <f>IFERROR(IF(OR(TRIM(Table24[[#This Row],[DOB]])="",TRIM(Table24[[#This Row],[Date of Call]])=""),"Cannot be calculated",DATEDIF(Table24[[#This Row],[DOB]],Table24[[#This Row],[Date of Call]],"Y")),"Cannot be calculated")</f>
        <v>Cannot be calculated</v>
      </c>
      <c r="AL317"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17" s="19">
        <f>IFERROR(DATEDIF(Table24[[#This Row],[Date of Call]],Table24[[#This Row],[Follow-up Date]],"D"),"Cannot be calculated")</f>
        <v>0</v>
      </c>
      <c r="AN317" s="19" t="str">
        <f>IF(OR(Table24[[#This Row],[Client Age]]&lt;18,Table24[[#This Row],[If client DOB unknown, is client under 18?]]="Yes"),"Yes","No")</f>
        <v>No</v>
      </c>
      <c r="AO317" s="13" t="str">
        <f>IF(Table24[[#This Row],[Time of Inital Call]]="","",IFERROR(MROUND(Table24[[#This Row],[Time of Inital Call]],"1:00"),""))</f>
        <v/>
      </c>
      <c r="AP317" s="19" t="str">
        <f>IF(Table24[[#This Row],[Date of Call]]="","",TEXT(Table24[[#This Row],[Date of Call]],"dddd"))</f>
        <v/>
      </c>
      <c r="AQ317" s="19" t="str">
        <f>IFERROR(VLOOKUP(Table24[[#This Row],[Residence Zip Code]],Table27[],3,FALSE),"")</f>
        <v/>
      </c>
    </row>
    <row r="318" spans="1:43" x14ac:dyDescent="0.25">
      <c r="A318" s="10"/>
      <c r="C318" s="10"/>
      <c r="D318" s="11"/>
      <c r="E318" s="12"/>
      <c r="F318" s="12"/>
      <c r="G318" s="12"/>
      <c r="H318" s="10"/>
      <c r="I318" s="12"/>
      <c r="J318" s="12"/>
      <c r="K318" s="12"/>
      <c r="L318" s="12"/>
      <c r="M318" s="16"/>
      <c r="N318" s="18"/>
      <c r="O318" s="13"/>
      <c r="P318" s="13"/>
      <c r="Q318" s="13"/>
      <c r="R318" s="18"/>
      <c r="S318" s="13"/>
      <c r="T318" s="13"/>
      <c r="U318" s="10"/>
      <c r="V318" s="2"/>
      <c r="X318" s="13"/>
      <c r="Y318" s="3"/>
      <c r="Z318" s="3"/>
      <c r="AA318" s="12"/>
      <c r="AB318" s="10"/>
      <c r="AC318" s="10"/>
      <c r="AD318" s="10"/>
      <c r="AE318" s="10"/>
      <c r="AI318" s="35"/>
      <c r="AJ318"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18" s="19" t="str">
        <f>IFERROR(IF(OR(TRIM(Table24[[#This Row],[DOB]])="",TRIM(Table24[[#This Row],[Date of Call]])=""),"Cannot be calculated",DATEDIF(Table24[[#This Row],[DOB]],Table24[[#This Row],[Date of Call]],"Y")),"Cannot be calculated")</f>
        <v>Cannot be calculated</v>
      </c>
      <c r="AL318"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18" s="19">
        <f>IFERROR(DATEDIF(Table24[[#This Row],[Date of Call]],Table24[[#This Row],[Follow-up Date]],"D"),"Cannot be calculated")</f>
        <v>0</v>
      </c>
      <c r="AN318" s="19" t="str">
        <f>IF(OR(Table24[[#This Row],[Client Age]]&lt;18,Table24[[#This Row],[If client DOB unknown, is client under 18?]]="Yes"),"Yes","No")</f>
        <v>No</v>
      </c>
      <c r="AO318" s="13" t="str">
        <f>IF(Table24[[#This Row],[Time of Inital Call]]="","",IFERROR(MROUND(Table24[[#This Row],[Time of Inital Call]],"1:00"),""))</f>
        <v/>
      </c>
      <c r="AP318" s="19" t="str">
        <f>IF(Table24[[#This Row],[Date of Call]]="","",TEXT(Table24[[#This Row],[Date of Call]],"dddd"))</f>
        <v/>
      </c>
      <c r="AQ318" s="19" t="str">
        <f>IFERROR(VLOOKUP(Table24[[#This Row],[Residence Zip Code]],Table27[],3,FALSE),"")</f>
        <v/>
      </c>
    </row>
    <row r="319" spans="1:43" x14ac:dyDescent="0.25">
      <c r="A319" s="10"/>
      <c r="C319" s="10"/>
      <c r="D319" s="11"/>
      <c r="E319" s="12"/>
      <c r="F319" s="12"/>
      <c r="G319" s="12"/>
      <c r="H319" s="10"/>
      <c r="I319" s="12"/>
      <c r="J319" s="12"/>
      <c r="K319" s="12"/>
      <c r="L319" s="12"/>
      <c r="M319" s="16"/>
      <c r="N319" s="18"/>
      <c r="O319" s="13"/>
      <c r="P319" s="13"/>
      <c r="Q319" s="13"/>
      <c r="R319" s="18"/>
      <c r="S319" s="13"/>
      <c r="T319" s="13"/>
      <c r="U319" s="10"/>
      <c r="V319" s="2"/>
      <c r="X319" s="13"/>
      <c r="Y319" s="3"/>
      <c r="Z319" s="3"/>
      <c r="AA319" s="12"/>
      <c r="AB319" s="10"/>
      <c r="AC319" s="10"/>
      <c r="AD319" s="10"/>
      <c r="AE319" s="10"/>
      <c r="AI319" s="35"/>
      <c r="AJ319"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19" s="19" t="str">
        <f>IFERROR(IF(OR(TRIM(Table24[[#This Row],[DOB]])="",TRIM(Table24[[#This Row],[Date of Call]])=""),"Cannot be calculated",DATEDIF(Table24[[#This Row],[DOB]],Table24[[#This Row],[Date of Call]],"Y")),"Cannot be calculated")</f>
        <v>Cannot be calculated</v>
      </c>
      <c r="AL319"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19" s="19">
        <f>IFERROR(DATEDIF(Table24[[#This Row],[Date of Call]],Table24[[#This Row],[Follow-up Date]],"D"),"Cannot be calculated")</f>
        <v>0</v>
      </c>
      <c r="AN319" s="19" t="str">
        <f>IF(OR(Table24[[#This Row],[Client Age]]&lt;18,Table24[[#This Row],[If client DOB unknown, is client under 18?]]="Yes"),"Yes","No")</f>
        <v>No</v>
      </c>
      <c r="AO319" s="13" t="str">
        <f>IF(Table24[[#This Row],[Time of Inital Call]]="","",IFERROR(MROUND(Table24[[#This Row],[Time of Inital Call]],"1:00"),""))</f>
        <v/>
      </c>
      <c r="AP319" s="19" t="str">
        <f>IF(Table24[[#This Row],[Date of Call]]="","",TEXT(Table24[[#This Row],[Date of Call]],"dddd"))</f>
        <v/>
      </c>
      <c r="AQ319" s="19" t="str">
        <f>IFERROR(VLOOKUP(Table24[[#This Row],[Residence Zip Code]],Table27[],3,FALSE),"")</f>
        <v/>
      </c>
    </row>
    <row r="320" spans="1:43" x14ac:dyDescent="0.25">
      <c r="A320" s="10"/>
      <c r="C320" s="10"/>
      <c r="D320" s="11"/>
      <c r="E320" s="12"/>
      <c r="F320" s="12"/>
      <c r="G320" s="12"/>
      <c r="H320" s="10"/>
      <c r="I320" s="12"/>
      <c r="J320" s="12"/>
      <c r="K320" s="12"/>
      <c r="L320" s="12"/>
      <c r="M320" s="16"/>
      <c r="N320" s="18"/>
      <c r="O320" s="13"/>
      <c r="P320" s="13"/>
      <c r="Q320" s="13"/>
      <c r="R320" s="18"/>
      <c r="S320" s="13"/>
      <c r="T320" s="13"/>
      <c r="U320" s="10"/>
      <c r="V320" s="2"/>
      <c r="X320" s="13"/>
      <c r="Y320" s="3"/>
      <c r="Z320" s="3"/>
      <c r="AA320" s="12"/>
      <c r="AB320" s="10"/>
      <c r="AC320" s="10"/>
      <c r="AD320" s="10"/>
      <c r="AE320" s="10"/>
      <c r="AI320" s="35"/>
      <c r="AJ320"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20" s="19" t="str">
        <f>IFERROR(IF(OR(TRIM(Table24[[#This Row],[DOB]])="",TRIM(Table24[[#This Row],[Date of Call]])=""),"Cannot be calculated",DATEDIF(Table24[[#This Row],[DOB]],Table24[[#This Row],[Date of Call]],"Y")),"Cannot be calculated")</f>
        <v>Cannot be calculated</v>
      </c>
      <c r="AL320"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20" s="19">
        <f>IFERROR(DATEDIF(Table24[[#This Row],[Date of Call]],Table24[[#This Row],[Follow-up Date]],"D"),"Cannot be calculated")</f>
        <v>0</v>
      </c>
      <c r="AN320" s="19" t="str">
        <f>IF(OR(Table24[[#This Row],[Client Age]]&lt;18,Table24[[#This Row],[If client DOB unknown, is client under 18?]]="Yes"),"Yes","No")</f>
        <v>No</v>
      </c>
      <c r="AO320" s="13" t="str">
        <f>IF(Table24[[#This Row],[Time of Inital Call]]="","",IFERROR(MROUND(Table24[[#This Row],[Time of Inital Call]],"1:00"),""))</f>
        <v/>
      </c>
      <c r="AP320" s="19" t="str">
        <f>IF(Table24[[#This Row],[Date of Call]]="","",TEXT(Table24[[#This Row],[Date of Call]],"dddd"))</f>
        <v/>
      </c>
      <c r="AQ320" s="19" t="str">
        <f>IFERROR(VLOOKUP(Table24[[#This Row],[Residence Zip Code]],Table27[],3,FALSE),"")</f>
        <v/>
      </c>
    </row>
    <row r="321" spans="1:43" x14ac:dyDescent="0.25">
      <c r="A321" s="10"/>
      <c r="C321" s="10"/>
      <c r="D321" s="11"/>
      <c r="E321" s="12"/>
      <c r="F321" s="12"/>
      <c r="G321" s="12"/>
      <c r="H321" s="10"/>
      <c r="I321" s="12"/>
      <c r="J321" s="12"/>
      <c r="K321" s="12"/>
      <c r="L321" s="12"/>
      <c r="M321" s="16"/>
      <c r="N321" s="18"/>
      <c r="O321" s="13"/>
      <c r="P321" s="13"/>
      <c r="Q321" s="13"/>
      <c r="R321" s="18"/>
      <c r="S321" s="13"/>
      <c r="T321" s="13"/>
      <c r="U321" s="10"/>
      <c r="V321" s="2"/>
      <c r="X321" s="13"/>
      <c r="Y321" s="3"/>
      <c r="Z321" s="3"/>
      <c r="AA321" s="12"/>
      <c r="AB321" s="10"/>
      <c r="AC321" s="10"/>
      <c r="AD321" s="10"/>
      <c r="AE321" s="10"/>
      <c r="AI321" s="35"/>
      <c r="AJ321"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21" s="19" t="str">
        <f>IFERROR(IF(OR(TRIM(Table24[[#This Row],[DOB]])="",TRIM(Table24[[#This Row],[Date of Call]])=""),"Cannot be calculated",DATEDIF(Table24[[#This Row],[DOB]],Table24[[#This Row],[Date of Call]],"Y")),"Cannot be calculated")</f>
        <v>Cannot be calculated</v>
      </c>
      <c r="AL321"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21" s="19">
        <f>IFERROR(DATEDIF(Table24[[#This Row],[Date of Call]],Table24[[#This Row],[Follow-up Date]],"D"),"Cannot be calculated")</f>
        <v>0</v>
      </c>
      <c r="AN321" s="19" t="str">
        <f>IF(OR(Table24[[#This Row],[Client Age]]&lt;18,Table24[[#This Row],[If client DOB unknown, is client under 18?]]="Yes"),"Yes","No")</f>
        <v>No</v>
      </c>
      <c r="AO321" s="13" t="str">
        <f>IF(Table24[[#This Row],[Time of Inital Call]]="","",IFERROR(MROUND(Table24[[#This Row],[Time of Inital Call]],"1:00"),""))</f>
        <v/>
      </c>
      <c r="AP321" s="19" t="str">
        <f>IF(Table24[[#This Row],[Date of Call]]="","",TEXT(Table24[[#This Row],[Date of Call]],"dddd"))</f>
        <v/>
      </c>
      <c r="AQ321" s="19" t="str">
        <f>IFERROR(VLOOKUP(Table24[[#This Row],[Residence Zip Code]],Table27[],3,FALSE),"")</f>
        <v/>
      </c>
    </row>
    <row r="322" spans="1:43" x14ac:dyDescent="0.25">
      <c r="A322" s="10"/>
      <c r="C322" s="10"/>
      <c r="D322" s="11"/>
      <c r="E322" s="12"/>
      <c r="F322" s="12"/>
      <c r="G322" s="12"/>
      <c r="H322" s="10"/>
      <c r="I322" s="12"/>
      <c r="J322" s="12"/>
      <c r="K322" s="12"/>
      <c r="L322" s="12"/>
      <c r="M322" s="16"/>
      <c r="N322" s="18"/>
      <c r="O322" s="13"/>
      <c r="P322" s="13"/>
      <c r="Q322" s="13"/>
      <c r="R322" s="18"/>
      <c r="S322" s="13"/>
      <c r="T322" s="13"/>
      <c r="U322" s="10"/>
      <c r="V322" s="2"/>
      <c r="X322" s="13"/>
      <c r="Y322" s="3"/>
      <c r="Z322" s="3"/>
      <c r="AA322" s="12"/>
      <c r="AB322" s="10"/>
      <c r="AC322" s="10"/>
      <c r="AD322" s="10"/>
      <c r="AE322" s="10"/>
      <c r="AI322" s="35"/>
      <c r="AJ322"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22" s="19" t="str">
        <f>IFERROR(IF(OR(TRIM(Table24[[#This Row],[DOB]])="",TRIM(Table24[[#This Row],[Date of Call]])=""),"Cannot be calculated",DATEDIF(Table24[[#This Row],[DOB]],Table24[[#This Row],[Date of Call]],"Y")),"Cannot be calculated")</f>
        <v>Cannot be calculated</v>
      </c>
      <c r="AL322"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22" s="19">
        <f>IFERROR(DATEDIF(Table24[[#This Row],[Date of Call]],Table24[[#This Row],[Follow-up Date]],"D"),"Cannot be calculated")</f>
        <v>0</v>
      </c>
      <c r="AN322" s="19" t="str">
        <f>IF(OR(Table24[[#This Row],[Client Age]]&lt;18,Table24[[#This Row],[If client DOB unknown, is client under 18?]]="Yes"),"Yes","No")</f>
        <v>No</v>
      </c>
      <c r="AO322" s="13" t="str">
        <f>IF(Table24[[#This Row],[Time of Inital Call]]="","",IFERROR(MROUND(Table24[[#This Row],[Time of Inital Call]],"1:00"),""))</f>
        <v/>
      </c>
      <c r="AP322" s="19" t="str">
        <f>IF(Table24[[#This Row],[Date of Call]]="","",TEXT(Table24[[#This Row],[Date of Call]],"dddd"))</f>
        <v/>
      </c>
      <c r="AQ322" s="19" t="str">
        <f>IFERROR(VLOOKUP(Table24[[#This Row],[Residence Zip Code]],Table27[],3,FALSE),"")</f>
        <v/>
      </c>
    </row>
    <row r="323" spans="1:43" x14ac:dyDescent="0.25">
      <c r="A323" s="10"/>
      <c r="C323" s="10"/>
      <c r="D323" s="11"/>
      <c r="E323" s="12"/>
      <c r="F323" s="12"/>
      <c r="G323" s="12"/>
      <c r="H323" s="10"/>
      <c r="I323" s="12"/>
      <c r="J323" s="12"/>
      <c r="K323" s="12"/>
      <c r="L323" s="12"/>
      <c r="M323" s="16"/>
      <c r="N323" s="18"/>
      <c r="O323" s="13"/>
      <c r="P323" s="13"/>
      <c r="Q323" s="13"/>
      <c r="R323" s="18"/>
      <c r="S323" s="13"/>
      <c r="T323" s="13"/>
      <c r="U323" s="10"/>
      <c r="V323" s="2"/>
      <c r="X323" s="13"/>
      <c r="Y323" s="3"/>
      <c r="Z323" s="3"/>
      <c r="AA323" s="12"/>
      <c r="AB323" s="10"/>
      <c r="AC323" s="10"/>
      <c r="AD323" s="10"/>
      <c r="AE323" s="10"/>
      <c r="AI323" s="35"/>
      <c r="AJ323"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23" s="19" t="str">
        <f>IFERROR(IF(OR(TRIM(Table24[[#This Row],[DOB]])="",TRIM(Table24[[#This Row],[Date of Call]])=""),"Cannot be calculated",DATEDIF(Table24[[#This Row],[DOB]],Table24[[#This Row],[Date of Call]],"Y")),"Cannot be calculated")</f>
        <v>Cannot be calculated</v>
      </c>
      <c r="AL323"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23" s="19">
        <f>IFERROR(DATEDIF(Table24[[#This Row],[Date of Call]],Table24[[#This Row],[Follow-up Date]],"D"),"Cannot be calculated")</f>
        <v>0</v>
      </c>
      <c r="AN323" s="19" t="str">
        <f>IF(OR(Table24[[#This Row],[Client Age]]&lt;18,Table24[[#This Row],[If client DOB unknown, is client under 18?]]="Yes"),"Yes","No")</f>
        <v>No</v>
      </c>
      <c r="AO323" s="13" t="str">
        <f>IF(Table24[[#This Row],[Time of Inital Call]]="","",IFERROR(MROUND(Table24[[#This Row],[Time of Inital Call]],"1:00"),""))</f>
        <v/>
      </c>
      <c r="AP323" s="19" t="str">
        <f>IF(Table24[[#This Row],[Date of Call]]="","",TEXT(Table24[[#This Row],[Date of Call]],"dddd"))</f>
        <v/>
      </c>
      <c r="AQ323" s="19" t="str">
        <f>IFERROR(VLOOKUP(Table24[[#This Row],[Residence Zip Code]],Table27[],3,FALSE),"")</f>
        <v/>
      </c>
    </row>
    <row r="324" spans="1:43" x14ac:dyDescent="0.25">
      <c r="A324" s="10"/>
      <c r="C324" s="10"/>
      <c r="D324" s="11"/>
      <c r="E324" s="12"/>
      <c r="F324" s="12"/>
      <c r="G324" s="12"/>
      <c r="H324" s="10"/>
      <c r="I324" s="12"/>
      <c r="J324" s="12"/>
      <c r="K324" s="12"/>
      <c r="L324" s="12"/>
      <c r="M324" s="16"/>
      <c r="N324" s="18"/>
      <c r="O324" s="13"/>
      <c r="P324" s="13"/>
      <c r="Q324" s="13"/>
      <c r="R324" s="18"/>
      <c r="S324" s="13"/>
      <c r="T324" s="13"/>
      <c r="U324" s="10"/>
      <c r="V324" s="2"/>
      <c r="X324" s="13"/>
      <c r="Y324" s="3"/>
      <c r="Z324" s="3"/>
      <c r="AA324" s="12"/>
      <c r="AB324" s="10"/>
      <c r="AC324" s="10"/>
      <c r="AD324" s="10"/>
      <c r="AE324" s="10"/>
      <c r="AI324" s="35"/>
      <c r="AJ324"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24" s="19" t="str">
        <f>IFERROR(IF(OR(TRIM(Table24[[#This Row],[DOB]])="",TRIM(Table24[[#This Row],[Date of Call]])=""),"Cannot be calculated",DATEDIF(Table24[[#This Row],[DOB]],Table24[[#This Row],[Date of Call]],"Y")),"Cannot be calculated")</f>
        <v>Cannot be calculated</v>
      </c>
      <c r="AL324"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24" s="19">
        <f>IFERROR(DATEDIF(Table24[[#This Row],[Date of Call]],Table24[[#This Row],[Follow-up Date]],"D"),"Cannot be calculated")</f>
        <v>0</v>
      </c>
      <c r="AN324" s="19" t="str">
        <f>IF(OR(Table24[[#This Row],[Client Age]]&lt;18,Table24[[#This Row],[If client DOB unknown, is client under 18?]]="Yes"),"Yes","No")</f>
        <v>No</v>
      </c>
      <c r="AO324" s="13" t="str">
        <f>IF(Table24[[#This Row],[Time of Inital Call]]="","",IFERROR(MROUND(Table24[[#This Row],[Time of Inital Call]],"1:00"),""))</f>
        <v/>
      </c>
      <c r="AP324" s="19" t="str">
        <f>IF(Table24[[#This Row],[Date of Call]]="","",TEXT(Table24[[#This Row],[Date of Call]],"dddd"))</f>
        <v/>
      </c>
      <c r="AQ324" s="19" t="str">
        <f>IFERROR(VLOOKUP(Table24[[#This Row],[Residence Zip Code]],Table27[],3,FALSE),"")</f>
        <v/>
      </c>
    </row>
    <row r="325" spans="1:43" x14ac:dyDescent="0.25">
      <c r="A325" s="10"/>
      <c r="C325" s="10"/>
      <c r="D325" s="11"/>
      <c r="E325" s="12"/>
      <c r="F325" s="12"/>
      <c r="G325" s="12"/>
      <c r="H325" s="10"/>
      <c r="I325" s="12"/>
      <c r="J325" s="12"/>
      <c r="K325" s="12"/>
      <c r="L325" s="12"/>
      <c r="M325" s="16"/>
      <c r="N325" s="18"/>
      <c r="O325" s="13"/>
      <c r="P325" s="13"/>
      <c r="Q325" s="13"/>
      <c r="R325" s="18"/>
      <c r="S325" s="13"/>
      <c r="T325" s="13"/>
      <c r="U325" s="10"/>
      <c r="V325" s="2"/>
      <c r="X325" s="13"/>
      <c r="Y325" s="3"/>
      <c r="Z325" s="3"/>
      <c r="AA325" s="12"/>
      <c r="AB325" s="10"/>
      <c r="AC325" s="10"/>
      <c r="AD325" s="10"/>
      <c r="AE325" s="10"/>
      <c r="AI325" s="35"/>
      <c r="AJ325"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25" s="19" t="str">
        <f>IFERROR(IF(OR(TRIM(Table24[[#This Row],[DOB]])="",TRIM(Table24[[#This Row],[Date of Call]])=""),"Cannot be calculated",DATEDIF(Table24[[#This Row],[DOB]],Table24[[#This Row],[Date of Call]],"Y")),"Cannot be calculated")</f>
        <v>Cannot be calculated</v>
      </c>
      <c r="AL325"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25" s="19">
        <f>IFERROR(DATEDIF(Table24[[#This Row],[Date of Call]],Table24[[#This Row],[Follow-up Date]],"D"),"Cannot be calculated")</f>
        <v>0</v>
      </c>
      <c r="AN325" s="19" t="str">
        <f>IF(OR(Table24[[#This Row],[Client Age]]&lt;18,Table24[[#This Row],[If client DOB unknown, is client under 18?]]="Yes"),"Yes","No")</f>
        <v>No</v>
      </c>
      <c r="AO325" s="13" t="str">
        <f>IF(Table24[[#This Row],[Time of Inital Call]]="","",IFERROR(MROUND(Table24[[#This Row],[Time of Inital Call]],"1:00"),""))</f>
        <v/>
      </c>
      <c r="AP325" s="19" t="str">
        <f>IF(Table24[[#This Row],[Date of Call]]="","",TEXT(Table24[[#This Row],[Date of Call]],"dddd"))</f>
        <v/>
      </c>
      <c r="AQ325" s="19" t="str">
        <f>IFERROR(VLOOKUP(Table24[[#This Row],[Residence Zip Code]],Table27[],3,FALSE),"")</f>
        <v/>
      </c>
    </row>
    <row r="326" spans="1:43" x14ac:dyDescent="0.25">
      <c r="A326" s="10"/>
      <c r="C326" s="10"/>
      <c r="D326" s="11"/>
      <c r="E326" s="12"/>
      <c r="F326" s="12"/>
      <c r="G326" s="12"/>
      <c r="H326" s="10"/>
      <c r="I326" s="12"/>
      <c r="J326" s="12"/>
      <c r="K326" s="12"/>
      <c r="L326" s="12"/>
      <c r="M326" s="16"/>
      <c r="N326" s="18"/>
      <c r="O326" s="13"/>
      <c r="P326" s="13"/>
      <c r="Q326" s="13"/>
      <c r="R326" s="18"/>
      <c r="S326" s="13"/>
      <c r="T326" s="13"/>
      <c r="U326" s="10"/>
      <c r="V326" s="2"/>
      <c r="X326" s="13"/>
      <c r="Y326" s="3"/>
      <c r="Z326" s="3"/>
      <c r="AA326" s="12"/>
      <c r="AB326" s="10"/>
      <c r="AC326" s="10"/>
      <c r="AD326" s="10"/>
      <c r="AE326" s="10"/>
      <c r="AI326" s="35"/>
      <c r="AJ326"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26" s="19" t="str">
        <f>IFERROR(IF(OR(TRIM(Table24[[#This Row],[DOB]])="",TRIM(Table24[[#This Row],[Date of Call]])=""),"Cannot be calculated",DATEDIF(Table24[[#This Row],[DOB]],Table24[[#This Row],[Date of Call]],"Y")),"Cannot be calculated")</f>
        <v>Cannot be calculated</v>
      </c>
      <c r="AL326"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26" s="19">
        <f>IFERROR(DATEDIF(Table24[[#This Row],[Date of Call]],Table24[[#This Row],[Follow-up Date]],"D"),"Cannot be calculated")</f>
        <v>0</v>
      </c>
      <c r="AN326" s="19" t="str">
        <f>IF(OR(Table24[[#This Row],[Client Age]]&lt;18,Table24[[#This Row],[If client DOB unknown, is client under 18?]]="Yes"),"Yes","No")</f>
        <v>No</v>
      </c>
      <c r="AO326" s="13" t="str">
        <f>IF(Table24[[#This Row],[Time of Inital Call]]="","",IFERROR(MROUND(Table24[[#This Row],[Time of Inital Call]],"1:00"),""))</f>
        <v/>
      </c>
      <c r="AP326" s="19" t="str">
        <f>IF(Table24[[#This Row],[Date of Call]]="","",TEXT(Table24[[#This Row],[Date of Call]],"dddd"))</f>
        <v/>
      </c>
      <c r="AQ326" s="19" t="str">
        <f>IFERROR(VLOOKUP(Table24[[#This Row],[Residence Zip Code]],Table27[],3,FALSE),"")</f>
        <v/>
      </c>
    </row>
    <row r="327" spans="1:43" x14ac:dyDescent="0.25">
      <c r="A327" s="10"/>
      <c r="C327" s="10"/>
      <c r="D327" s="11"/>
      <c r="E327" s="12"/>
      <c r="F327" s="12"/>
      <c r="G327" s="12"/>
      <c r="H327" s="10"/>
      <c r="I327" s="12"/>
      <c r="J327" s="12"/>
      <c r="K327" s="12"/>
      <c r="L327" s="12"/>
      <c r="M327" s="16"/>
      <c r="N327" s="18"/>
      <c r="O327" s="13"/>
      <c r="P327" s="13"/>
      <c r="Q327" s="13"/>
      <c r="R327" s="18"/>
      <c r="S327" s="13"/>
      <c r="T327" s="13"/>
      <c r="U327" s="10"/>
      <c r="V327" s="2"/>
      <c r="X327" s="13"/>
      <c r="Y327" s="3"/>
      <c r="Z327" s="3"/>
      <c r="AA327" s="12"/>
      <c r="AB327" s="10"/>
      <c r="AC327" s="10"/>
      <c r="AD327" s="10"/>
      <c r="AE327" s="10"/>
      <c r="AI327" s="35"/>
      <c r="AJ327"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27" s="19" t="str">
        <f>IFERROR(IF(OR(TRIM(Table24[[#This Row],[DOB]])="",TRIM(Table24[[#This Row],[Date of Call]])=""),"Cannot be calculated",DATEDIF(Table24[[#This Row],[DOB]],Table24[[#This Row],[Date of Call]],"Y")),"Cannot be calculated")</f>
        <v>Cannot be calculated</v>
      </c>
      <c r="AL327"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27" s="19">
        <f>IFERROR(DATEDIF(Table24[[#This Row],[Date of Call]],Table24[[#This Row],[Follow-up Date]],"D"),"Cannot be calculated")</f>
        <v>0</v>
      </c>
      <c r="AN327" s="19" t="str">
        <f>IF(OR(Table24[[#This Row],[Client Age]]&lt;18,Table24[[#This Row],[If client DOB unknown, is client under 18?]]="Yes"),"Yes","No")</f>
        <v>No</v>
      </c>
      <c r="AO327" s="13" t="str">
        <f>IF(Table24[[#This Row],[Time of Inital Call]]="","",IFERROR(MROUND(Table24[[#This Row],[Time of Inital Call]],"1:00"),""))</f>
        <v/>
      </c>
      <c r="AP327" s="19" t="str">
        <f>IF(Table24[[#This Row],[Date of Call]]="","",TEXT(Table24[[#This Row],[Date of Call]],"dddd"))</f>
        <v/>
      </c>
      <c r="AQ327" s="19" t="str">
        <f>IFERROR(VLOOKUP(Table24[[#This Row],[Residence Zip Code]],Table27[],3,FALSE),"")</f>
        <v/>
      </c>
    </row>
    <row r="328" spans="1:43" x14ac:dyDescent="0.25">
      <c r="A328" s="10"/>
      <c r="C328" s="10"/>
      <c r="D328" s="11"/>
      <c r="E328" s="12"/>
      <c r="F328" s="12"/>
      <c r="G328" s="12"/>
      <c r="H328" s="10"/>
      <c r="I328" s="12"/>
      <c r="J328" s="12"/>
      <c r="K328" s="12"/>
      <c r="L328" s="12"/>
      <c r="M328" s="16"/>
      <c r="N328" s="18"/>
      <c r="O328" s="13"/>
      <c r="P328" s="13"/>
      <c r="Q328" s="13"/>
      <c r="R328" s="18"/>
      <c r="S328" s="13"/>
      <c r="T328" s="13"/>
      <c r="U328" s="10"/>
      <c r="V328" s="2"/>
      <c r="X328" s="13"/>
      <c r="Y328" s="3"/>
      <c r="Z328" s="3"/>
      <c r="AA328" s="12"/>
      <c r="AB328" s="10"/>
      <c r="AC328" s="10"/>
      <c r="AD328" s="10"/>
      <c r="AE328" s="10"/>
      <c r="AI328" s="35"/>
      <c r="AJ328"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28" s="19" t="str">
        <f>IFERROR(IF(OR(TRIM(Table24[[#This Row],[DOB]])="",TRIM(Table24[[#This Row],[Date of Call]])=""),"Cannot be calculated",DATEDIF(Table24[[#This Row],[DOB]],Table24[[#This Row],[Date of Call]],"Y")),"Cannot be calculated")</f>
        <v>Cannot be calculated</v>
      </c>
      <c r="AL328"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28" s="19">
        <f>IFERROR(DATEDIF(Table24[[#This Row],[Date of Call]],Table24[[#This Row],[Follow-up Date]],"D"),"Cannot be calculated")</f>
        <v>0</v>
      </c>
      <c r="AN328" s="19" t="str">
        <f>IF(OR(Table24[[#This Row],[Client Age]]&lt;18,Table24[[#This Row],[If client DOB unknown, is client under 18?]]="Yes"),"Yes","No")</f>
        <v>No</v>
      </c>
      <c r="AO328" s="13" t="str">
        <f>IF(Table24[[#This Row],[Time of Inital Call]]="","",IFERROR(MROUND(Table24[[#This Row],[Time of Inital Call]],"1:00"),""))</f>
        <v/>
      </c>
      <c r="AP328" s="19" t="str">
        <f>IF(Table24[[#This Row],[Date of Call]]="","",TEXT(Table24[[#This Row],[Date of Call]],"dddd"))</f>
        <v/>
      </c>
      <c r="AQ328" s="19" t="str">
        <f>IFERROR(VLOOKUP(Table24[[#This Row],[Residence Zip Code]],Table27[],3,FALSE),"")</f>
        <v/>
      </c>
    </row>
    <row r="329" spans="1:43" x14ac:dyDescent="0.25">
      <c r="A329" s="10"/>
      <c r="C329" s="10"/>
      <c r="D329" s="11"/>
      <c r="E329" s="12"/>
      <c r="F329" s="12"/>
      <c r="G329" s="12"/>
      <c r="H329" s="10"/>
      <c r="I329" s="12"/>
      <c r="J329" s="12"/>
      <c r="K329" s="12"/>
      <c r="L329" s="12"/>
      <c r="M329" s="16"/>
      <c r="N329" s="18"/>
      <c r="O329" s="13"/>
      <c r="P329" s="13"/>
      <c r="Q329" s="13"/>
      <c r="R329" s="18"/>
      <c r="S329" s="13"/>
      <c r="T329" s="13"/>
      <c r="U329" s="10"/>
      <c r="V329" s="2"/>
      <c r="X329" s="13"/>
      <c r="Y329" s="3"/>
      <c r="Z329" s="3"/>
      <c r="AA329" s="12"/>
      <c r="AB329" s="10"/>
      <c r="AC329" s="10"/>
      <c r="AD329" s="10"/>
      <c r="AE329" s="10"/>
      <c r="AI329" s="35"/>
      <c r="AJ329"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29" s="19" t="str">
        <f>IFERROR(IF(OR(TRIM(Table24[[#This Row],[DOB]])="",TRIM(Table24[[#This Row],[Date of Call]])=""),"Cannot be calculated",DATEDIF(Table24[[#This Row],[DOB]],Table24[[#This Row],[Date of Call]],"Y")),"Cannot be calculated")</f>
        <v>Cannot be calculated</v>
      </c>
      <c r="AL329"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29" s="19">
        <f>IFERROR(DATEDIF(Table24[[#This Row],[Date of Call]],Table24[[#This Row],[Follow-up Date]],"D"),"Cannot be calculated")</f>
        <v>0</v>
      </c>
      <c r="AN329" s="19" t="str">
        <f>IF(OR(Table24[[#This Row],[Client Age]]&lt;18,Table24[[#This Row],[If client DOB unknown, is client under 18?]]="Yes"),"Yes","No")</f>
        <v>No</v>
      </c>
      <c r="AO329" s="13" t="str">
        <f>IF(Table24[[#This Row],[Time of Inital Call]]="","",IFERROR(MROUND(Table24[[#This Row],[Time of Inital Call]],"1:00"),""))</f>
        <v/>
      </c>
      <c r="AP329" s="19" t="str">
        <f>IF(Table24[[#This Row],[Date of Call]]="","",TEXT(Table24[[#This Row],[Date of Call]],"dddd"))</f>
        <v/>
      </c>
      <c r="AQ329" s="19" t="str">
        <f>IFERROR(VLOOKUP(Table24[[#This Row],[Residence Zip Code]],Table27[],3,FALSE),"")</f>
        <v/>
      </c>
    </row>
    <row r="330" spans="1:43" x14ac:dyDescent="0.25">
      <c r="A330" s="10"/>
      <c r="C330" s="10"/>
      <c r="D330" s="11"/>
      <c r="E330" s="12"/>
      <c r="F330" s="12"/>
      <c r="G330" s="12"/>
      <c r="H330" s="10"/>
      <c r="I330" s="12"/>
      <c r="J330" s="12"/>
      <c r="K330" s="12"/>
      <c r="L330" s="12"/>
      <c r="M330" s="16"/>
      <c r="N330" s="18"/>
      <c r="O330" s="13"/>
      <c r="P330" s="13"/>
      <c r="Q330" s="13"/>
      <c r="R330" s="18"/>
      <c r="S330" s="13"/>
      <c r="T330" s="13"/>
      <c r="U330" s="10"/>
      <c r="V330" s="2"/>
      <c r="X330" s="13"/>
      <c r="Y330" s="3"/>
      <c r="Z330" s="3"/>
      <c r="AA330" s="12"/>
      <c r="AB330" s="10"/>
      <c r="AC330" s="10"/>
      <c r="AD330" s="10"/>
      <c r="AE330" s="10"/>
      <c r="AI330" s="35"/>
      <c r="AJ330"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30" s="19" t="str">
        <f>IFERROR(IF(OR(TRIM(Table24[[#This Row],[DOB]])="",TRIM(Table24[[#This Row],[Date of Call]])=""),"Cannot be calculated",DATEDIF(Table24[[#This Row],[DOB]],Table24[[#This Row],[Date of Call]],"Y")),"Cannot be calculated")</f>
        <v>Cannot be calculated</v>
      </c>
      <c r="AL330"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30" s="19">
        <f>IFERROR(DATEDIF(Table24[[#This Row],[Date of Call]],Table24[[#This Row],[Follow-up Date]],"D"),"Cannot be calculated")</f>
        <v>0</v>
      </c>
      <c r="AN330" s="19" t="str">
        <f>IF(OR(Table24[[#This Row],[Client Age]]&lt;18,Table24[[#This Row],[If client DOB unknown, is client under 18?]]="Yes"),"Yes","No")</f>
        <v>No</v>
      </c>
      <c r="AO330" s="13" t="str">
        <f>IF(Table24[[#This Row],[Time of Inital Call]]="","",IFERROR(MROUND(Table24[[#This Row],[Time of Inital Call]],"1:00"),""))</f>
        <v/>
      </c>
      <c r="AP330" s="19" t="str">
        <f>IF(Table24[[#This Row],[Date of Call]]="","",TEXT(Table24[[#This Row],[Date of Call]],"dddd"))</f>
        <v/>
      </c>
      <c r="AQ330" s="19" t="str">
        <f>IFERROR(VLOOKUP(Table24[[#This Row],[Residence Zip Code]],Table27[],3,FALSE),"")</f>
        <v/>
      </c>
    </row>
    <row r="331" spans="1:43" x14ac:dyDescent="0.25">
      <c r="A331" s="10"/>
      <c r="C331" s="10"/>
      <c r="D331" s="11"/>
      <c r="E331" s="12"/>
      <c r="F331" s="12"/>
      <c r="G331" s="12"/>
      <c r="H331" s="10"/>
      <c r="I331" s="12"/>
      <c r="J331" s="12"/>
      <c r="K331" s="12"/>
      <c r="L331" s="12"/>
      <c r="M331" s="16"/>
      <c r="N331" s="18"/>
      <c r="O331" s="13"/>
      <c r="P331" s="13"/>
      <c r="Q331" s="13"/>
      <c r="R331" s="18"/>
      <c r="S331" s="13"/>
      <c r="T331" s="13"/>
      <c r="U331" s="10"/>
      <c r="V331" s="2"/>
      <c r="X331" s="13"/>
      <c r="Y331" s="3"/>
      <c r="Z331" s="3"/>
      <c r="AA331" s="12"/>
      <c r="AB331" s="10"/>
      <c r="AC331" s="10"/>
      <c r="AD331" s="10"/>
      <c r="AE331" s="10"/>
      <c r="AI331" s="35"/>
      <c r="AJ331"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31" s="19" t="str">
        <f>IFERROR(IF(OR(TRIM(Table24[[#This Row],[DOB]])="",TRIM(Table24[[#This Row],[Date of Call]])=""),"Cannot be calculated",DATEDIF(Table24[[#This Row],[DOB]],Table24[[#This Row],[Date of Call]],"Y")),"Cannot be calculated")</f>
        <v>Cannot be calculated</v>
      </c>
      <c r="AL331"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31" s="19">
        <f>IFERROR(DATEDIF(Table24[[#This Row],[Date of Call]],Table24[[#This Row],[Follow-up Date]],"D"),"Cannot be calculated")</f>
        <v>0</v>
      </c>
      <c r="AN331" s="19" t="str">
        <f>IF(OR(Table24[[#This Row],[Client Age]]&lt;18,Table24[[#This Row],[If client DOB unknown, is client under 18?]]="Yes"),"Yes","No")</f>
        <v>No</v>
      </c>
      <c r="AO331" s="13" t="str">
        <f>IF(Table24[[#This Row],[Time of Inital Call]]="","",IFERROR(MROUND(Table24[[#This Row],[Time of Inital Call]],"1:00"),""))</f>
        <v/>
      </c>
      <c r="AP331" s="19" t="str">
        <f>IF(Table24[[#This Row],[Date of Call]]="","",TEXT(Table24[[#This Row],[Date of Call]],"dddd"))</f>
        <v/>
      </c>
      <c r="AQ331" s="19" t="str">
        <f>IFERROR(VLOOKUP(Table24[[#This Row],[Residence Zip Code]],Table27[],3,FALSE),"")</f>
        <v/>
      </c>
    </row>
    <row r="332" spans="1:43" x14ac:dyDescent="0.25">
      <c r="A332" s="10"/>
      <c r="C332" s="10"/>
      <c r="D332" s="11"/>
      <c r="E332" s="12"/>
      <c r="F332" s="12"/>
      <c r="G332" s="12"/>
      <c r="H332" s="10"/>
      <c r="I332" s="12"/>
      <c r="J332" s="12"/>
      <c r="K332" s="12"/>
      <c r="L332" s="12"/>
      <c r="M332" s="16"/>
      <c r="N332" s="18"/>
      <c r="O332" s="13"/>
      <c r="P332" s="13"/>
      <c r="Q332" s="13"/>
      <c r="R332" s="18"/>
      <c r="S332" s="13"/>
      <c r="T332" s="13"/>
      <c r="U332" s="10"/>
      <c r="V332" s="2"/>
      <c r="X332" s="13"/>
      <c r="Y332" s="3"/>
      <c r="Z332" s="3"/>
      <c r="AA332" s="12"/>
      <c r="AB332" s="10"/>
      <c r="AC332" s="10"/>
      <c r="AD332" s="10"/>
      <c r="AE332" s="10"/>
      <c r="AI332" s="35"/>
      <c r="AJ332"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32" s="19" t="str">
        <f>IFERROR(IF(OR(TRIM(Table24[[#This Row],[DOB]])="",TRIM(Table24[[#This Row],[Date of Call]])=""),"Cannot be calculated",DATEDIF(Table24[[#This Row],[DOB]],Table24[[#This Row],[Date of Call]],"Y")),"Cannot be calculated")</f>
        <v>Cannot be calculated</v>
      </c>
      <c r="AL332"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32" s="19">
        <f>IFERROR(DATEDIF(Table24[[#This Row],[Date of Call]],Table24[[#This Row],[Follow-up Date]],"D"),"Cannot be calculated")</f>
        <v>0</v>
      </c>
      <c r="AN332" s="19" t="str">
        <f>IF(OR(Table24[[#This Row],[Client Age]]&lt;18,Table24[[#This Row],[If client DOB unknown, is client under 18?]]="Yes"),"Yes","No")</f>
        <v>No</v>
      </c>
      <c r="AO332" s="13" t="str">
        <f>IF(Table24[[#This Row],[Time of Inital Call]]="","",IFERROR(MROUND(Table24[[#This Row],[Time of Inital Call]],"1:00"),""))</f>
        <v/>
      </c>
      <c r="AP332" s="19" t="str">
        <f>IF(Table24[[#This Row],[Date of Call]]="","",TEXT(Table24[[#This Row],[Date of Call]],"dddd"))</f>
        <v/>
      </c>
      <c r="AQ332" s="19" t="str">
        <f>IFERROR(VLOOKUP(Table24[[#This Row],[Residence Zip Code]],Table27[],3,FALSE),"")</f>
        <v/>
      </c>
    </row>
    <row r="333" spans="1:43" x14ac:dyDescent="0.25">
      <c r="A333" s="10"/>
      <c r="C333" s="10"/>
      <c r="D333" s="11"/>
      <c r="E333" s="12"/>
      <c r="F333" s="12"/>
      <c r="G333" s="12"/>
      <c r="H333" s="10"/>
      <c r="I333" s="12"/>
      <c r="J333" s="12"/>
      <c r="K333" s="12"/>
      <c r="L333" s="12"/>
      <c r="M333" s="16"/>
      <c r="N333" s="18"/>
      <c r="O333" s="13"/>
      <c r="P333" s="13"/>
      <c r="Q333" s="13"/>
      <c r="R333" s="18"/>
      <c r="S333" s="13"/>
      <c r="T333" s="13"/>
      <c r="U333" s="10"/>
      <c r="V333" s="2"/>
      <c r="X333" s="13"/>
      <c r="Y333" s="3"/>
      <c r="Z333" s="3"/>
      <c r="AA333" s="12"/>
      <c r="AB333" s="10"/>
      <c r="AC333" s="10"/>
      <c r="AD333" s="10"/>
      <c r="AE333" s="10"/>
      <c r="AI333" s="35"/>
      <c r="AJ333"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33" s="19" t="str">
        <f>IFERROR(IF(OR(TRIM(Table24[[#This Row],[DOB]])="",TRIM(Table24[[#This Row],[Date of Call]])=""),"Cannot be calculated",DATEDIF(Table24[[#This Row],[DOB]],Table24[[#This Row],[Date of Call]],"Y")),"Cannot be calculated")</f>
        <v>Cannot be calculated</v>
      </c>
      <c r="AL333"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33" s="19">
        <f>IFERROR(DATEDIF(Table24[[#This Row],[Date of Call]],Table24[[#This Row],[Follow-up Date]],"D"),"Cannot be calculated")</f>
        <v>0</v>
      </c>
      <c r="AN333" s="19" t="str">
        <f>IF(OR(Table24[[#This Row],[Client Age]]&lt;18,Table24[[#This Row],[If client DOB unknown, is client under 18?]]="Yes"),"Yes","No")</f>
        <v>No</v>
      </c>
      <c r="AO333" s="13" t="str">
        <f>IF(Table24[[#This Row],[Time of Inital Call]]="","",IFERROR(MROUND(Table24[[#This Row],[Time of Inital Call]],"1:00"),""))</f>
        <v/>
      </c>
      <c r="AP333" s="19" t="str">
        <f>IF(Table24[[#This Row],[Date of Call]]="","",TEXT(Table24[[#This Row],[Date of Call]],"dddd"))</f>
        <v/>
      </c>
      <c r="AQ333" s="19" t="str">
        <f>IFERROR(VLOOKUP(Table24[[#This Row],[Residence Zip Code]],Table27[],3,FALSE),"")</f>
        <v/>
      </c>
    </row>
    <row r="334" spans="1:43" x14ac:dyDescent="0.25">
      <c r="A334" s="10"/>
      <c r="C334" s="10"/>
      <c r="D334" s="11"/>
      <c r="E334" s="12"/>
      <c r="F334" s="12"/>
      <c r="G334" s="12"/>
      <c r="H334" s="10"/>
      <c r="I334" s="12"/>
      <c r="J334" s="12"/>
      <c r="K334" s="12"/>
      <c r="L334" s="12"/>
      <c r="M334" s="16"/>
      <c r="N334" s="18"/>
      <c r="O334" s="13"/>
      <c r="P334" s="13"/>
      <c r="Q334" s="13"/>
      <c r="R334" s="18"/>
      <c r="S334" s="13"/>
      <c r="T334" s="13"/>
      <c r="U334" s="10"/>
      <c r="V334" s="2"/>
      <c r="X334" s="13"/>
      <c r="Y334" s="3"/>
      <c r="Z334" s="3"/>
      <c r="AA334" s="12"/>
      <c r="AB334" s="10"/>
      <c r="AC334" s="10"/>
      <c r="AD334" s="10"/>
      <c r="AE334" s="10"/>
      <c r="AI334" s="35"/>
      <c r="AJ334"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34" s="19" t="str">
        <f>IFERROR(IF(OR(TRIM(Table24[[#This Row],[DOB]])="",TRIM(Table24[[#This Row],[Date of Call]])=""),"Cannot be calculated",DATEDIF(Table24[[#This Row],[DOB]],Table24[[#This Row],[Date of Call]],"Y")),"Cannot be calculated")</f>
        <v>Cannot be calculated</v>
      </c>
      <c r="AL334"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34" s="19">
        <f>IFERROR(DATEDIF(Table24[[#This Row],[Date of Call]],Table24[[#This Row],[Follow-up Date]],"D"),"Cannot be calculated")</f>
        <v>0</v>
      </c>
      <c r="AN334" s="19" t="str">
        <f>IF(OR(Table24[[#This Row],[Client Age]]&lt;18,Table24[[#This Row],[If client DOB unknown, is client under 18?]]="Yes"),"Yes","No")</f>
        <v>No</v>
      </c>
      <c r="AO334" s="13" t="str">
        <f>IF(Table24[[#This Row],[Time of Inital Call]]="","",IFERROR(MROUND(Table24[[#This Row],[Time of Inital Call]],"1:00"),""))</f>
        <v/>
      </c>
      <c r="AP334" s="19" t="str">
        <f>IF(Table24[[#This Row],[Date of Call]]="","",TEXT(Table24[[#This Row],[Date of Call]],"dddd"))</f>
        <v/>
      </c>
      <c r="AQ334" s="19" t="str">
        <f>IFERROR(VLOOKUP(Table24[[#This Row],[Residence Zip Code]],Table27[],3,FALSE),"")</f>
        <v/>
      </c>
    </row>
    <row r="335" spans="1:43" x14ac:dyDescent="0.25">
      <c r="A335" s="10"/>
      <c r="C335" s="10"/>
      <c r="D335" s="11"/>
      <c r="E335" s="12"/>
      <c r="F335" s="12"/>
      <c r="G335" s="12"/>
      <c r="H335" s="10"/>
      <c r="I335" s="12"/>
      <c r="J335" s="12"/>
      <c r="K335" s="12"/>
      <c r="L335" s="12"/>
      <c r="M335" s="16"/>
      <c r="N335" s="18"/>
      <c r="O335" s="13"/>
      <c r="P335" s="13"/>
      <c r="Q335" s="13"/>
      <c r="R335" s="18"/>
      <c r="S335" s="13"/>
      <c r="T335" s="13"/>
      <c r="U335" s="10"/>
      <c r="V335" s="2"/>
      <c r="X335" s="13"/>
      <c r="Y335" s="3"/>
      <c r="Z335" s="3"/>
      <c r="AA335" s="12"/>
      <c r="AB335" s="10"/>
      <c r="AC335" s="10"/>
      <c r="AD335" s="10"/>
      <c r="AE335" s="10"/>
      <c r="AI335" s="35"/>
      <c r="AJ335"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35" s="19" t="str">
        <f>IFERROR(IF(OR(TRIM(Table24[[#This Row],[DOB]])="",TRIM(Table24[[#This Row],[Date of Call]])=""),"Cannot be calculated",DATEDIF(Table24[[#This Row],[DOB]],Table24[[#This Row],[Date of Call]],"Y")),"Cannot be calculated")</f>
        <v>Cannot be calculated</v>
      </c>
      <c r="AL335"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35" s="19">
        <f>IFERROR(DATEDIF(Table24[[#This Row],[Date of Call]],Table24[[#This Row],[Follow-up Date]],"D"),"Cannot be calculated")</f>
        <v>0</v>
      </c>
      <c r="AN335" s="19" t="str">
        <f>IF(OR(Table24[[#This Row],[Client Age]]&lt;18,Table24[[#This Row],[If client DOB unknown, is client under 18?]]="Yes"),"Yes","No")</f>
        <v>No</v>
      </c>
      <c r="AO335" s="13" t="str">
        <f>IF(Table24[[#This Row],[Time of Inital Call]]="","",IFERROR(MROUND(Table24[[#This Row],[Time of Inital Call]],"1:00"),""))</f>
        <v/>
      </c>
      <c r="AP335" s="19" t="str">
        <f>IF(Table24[[#This Row],[Date of Call]]="","",TEXT(Table24[[#This Row],[Date of Call]],"dddd"))</f>
        <v/>
      </c>
      <c r="AQ335" s="19" t="str">
        <f>IFERROR(VLOOKUP(Table24[[#This Row],[Residence Zip Code]],Table27[],3,FALSE),"")</f>
        <v/>
      </c>
    </row>
    <row r="336" spans="1:43" x14ac:dyDescent="0.25">
      <c r="A336" s="10"/>
      <c r="C336" s="10"/>
      <c r="D336" s="11"/>
      <c r="E336" s="12"/>
      <c r="F336" s="12"/>
      <c r="G336" s="12"/>
      <c r="H336" s="10"/>
      <c r="I336" s="12"/>
      <c r="J336" s="12"/>
      <c r="K336" s="12"/>
      <c r="L336" s="12"/>
      <c r="M336" s="16"/>
      <c r="N336" s="18"/>
      <c r="O336" s="13"/>
      <c r="P336" s="13"/>
      <c r="Q336" s="13"/>
      <c r="R336" s="18"/>
      <c r="S336" s="13"/>
      <c r="T336" s="13"/>
      <c r="U336" s="10"/>
      <c r="V336" s="2"/>
      <c r="X336" s="13"/>
      <c r="Y336" s="3"/>
      <c r="Z336" s="3"/>
      <c r="AA336" s="12"/>
      <c r="AB336" s="10"/>
      <c r="AC336" s="10"/>
      <c r="AD336" s="10"/>
      <c r="AE336" s="10"/>
      <c r="AI336" s="35"/>
      <c r="AJ336"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36" s="19" t="str">
        <f>IFERROR(IF(OR(TRIM(Table24[[#This Row],[DOB]])="",TRIM(Table24[[#This Row],[Date of Call]])=""),"Cannot be calculated",DATEDIF(Table24[[#This Row],[DOB]],Table24[[#This Row],[Date of Call]],"Y")),"Cannot be calculated")</f>
        <v>Cannot be calculated</v>
      </c>
      <c r="AL336"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36" s="19">
        <f>IFERROR(DATEDIF(Table24[[#This Row],[Date of Call]],Table24[[#This Row],[Follow-up Date]],"D"),"Cannot be calculated")</f>
        <v>0</v>
      </c>
      <c r="AN336" s="19" t="str">
        <f>IF(OR(Table24[[#This Row],[Client Age]]&lt;18,Table24[[#This Row],[If client DOB unknown, is client under 18?]]="Yes"),"Yes","No")</f>
        <v>No</v>
      </c>
      <c r="AO336" s="13" t="str">
        <f>IF(Table24[[#This Row],[Time of Inital Call]]="","",IFERROR(MROUND(Table24[[#This Row],[Time of Inital Call]],"1:00"),""))</f>
        <v/>
      </c>
      <c r="AP336" s="19" t="str">
        <f>IF(Table24[[#This Row],[Date of Call]]="","",TEXT(Table24[[#This Row],[Date of Call]],"dddd"))</f>
        <v/>
      </c>
      <c r="AQ336" s="19" t="str">
        <f>IFERROR(VLOOKUP(Table24[[#This Row],[Residence Zip Code]],Table27[],3,FALSE),"")</f>
        <v/>
      </c>
    </row>
    <row r="337" spans="1:43" x14ac:dyDescent="0.25">
      <c r="A337" s="10"/>
      <c r="C337" s="10"/>
      <c r="D337" s="11"/>
      <c r="E337" s="12"/>
      <c r="F337" s="12"/>
      <c r="G337" s="12"/>
      <c r="H337" s="10"/>
      <c r="I337" s="12"/>
      <c r="J337" s="12"/>
      <c r="K337" s="12"/>
      <c r="L337" s="12"/>
      <c r="M337" s="16"/>
      <c r="N337" s="18"/>
      <c r="O337" s="13"/>
      <c r="P337" s="13"/>
      <c r="Q337" s="13"/>
      <c r="R337" s="18"/>
      <c r="S337" s="13"/>
      <c r="T337" s="13"/>
      <c r="U337" s="10"/>
      <c r="V337" s="2"/>
      <c r="X337" s="13"/>
      <c r="Y337" s="3"/>
      <c r="Z337" s="3"/>
      <c r="AA337" s="12"/>
      <c r="AB337" s="10"/>
      <c r="AC337" s="10"/>
      <c r="AD337" s="10"/>
      <c r="AE337" s="10"/>
      <c r="AI337" s="35"/>
      <c r="AJ337"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37" s="19" t="str">
        <f>IFERROR(IF(OR(TRIM(Table24[[#This Row],[DOB]])="",TRIM(Table24[[#This Row],[Date of Call]])=""),"Cannot be calculated",DATEDIF(Table24[[#This Row],[DOB]],Table24[[#This Row],[Date of Call]],"Y")),"Cannot be calculated")</f>
        <v>Cannot be calculated</v>
      </c>
      <c r="AL337"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37" s="19">
        <f>IFERROR(DATEDIF(Table24[[#This Row],[Date of Call]],Table24[[#This Row],[Follow-up Date]],"D"),"Cannot be calculated")</f>
        <v>0</v>
      </c>
      <c r="AN337" s="19" t="str">
        <f>IF(OR(Table24[[#This Row],[Client Age]]&lt;18,Table24[[#This Row],[If client DOB unknown, is client under 18?]]="Yes"),"Yes","No")</f>
        <v>No</v>
      </c>
      <c r="AO337" s="13" t="str">
        <f>IF(Table24[[#This Row],[Time of Inital Call]]="","",IFERROR(MROUND(Table24[[#This Row],[Time of Inital Call]],"1:00"),""))</f>
        <v/>
      </c>
      <c r="AP337" s="19" t="str">
        <f>IF(Table24[[#This Row],[Date of Call]]="","",TEXT(Table24[[#This Row],[Date of Call]],"dddd"))</f>
        <v/>
      </c>
      <c r="AQ337" s="19" t="str">
        <f>IFERROR(VLOOKUP(Table24[[#This Row],[Residence Zip Code]],Table27[],3,FALSE),"")</f>
        <v/>
      </c>
    </row>
    <row r="338" spans="1:43" x14ac:dyDescent="0.25">
      <c r="A338" s="10"/>
      <c r="C338" s="10"/>
      <c r="D338" s="11"/>
      <c r="E338" s="12"/>
      <c r="F338" s="12"/>
      <c r="G338" s="12"/>
      <c r="H338" s="10"/>
      <c r="I338" s="12"/>
      <c r="J338" s="12"/>
      <c r="K338" s="12"/>
      <c r="L338" s="12"/>
      <c r="M338" s="16"/>
      <c r="N338" s="18"/>
      <c r="O338" s="13"/>
      <c r="P338" s="13"/>
      <c r="Q338" s="13"/>
      <c r="R338" s="18"/>
      <c r="S338" s="13"/>
      <c r="T338" s="13"/>
      <c r="U338" s="10"/>
      <c r="V338" s="2"/>
      <c r="X338" s="13"/>
      <c r="Y338" s="3"/>
      <c r="Z338" s="3"/>
      <c r="AA338" s="12"/>
      <c r="AB338" s="10"/>
      <c r="AC338" s="10"/>
      <c r="AD338" s="10"/>
      <c r="AE338" s="10"/>
      <c r="AI338" s="35"/>
      <c r="AJ338"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38" s="19" t="str">
        <f>IFERROR(IF(OR(TRIM(Table24[[#This Row],[DOB]])="",TRIM(Table24[[#This Row],[Date of Call]])=""),"Cannot be calculated",DATEDIF(Table24[[#This Row],[DOB]],Table24[[#This Row],[Date of Call]],"Y")),"Cannot be calculated")</f>
        <v>Cannot be calculated</v>
      </c>
      <c r="AL338"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38" s="19">
        <f>IFERROR(DATEDIF(Table24[[#This Row],[Date of Call]],Table24[[#This Row],[Follow-up Date]],"D"),"Cannot be calculated")</f>
        <v>0</v>
      </c>
      <c r="AN338" s="19" t="str">
        <f>IF(OR(Table24[[#This Row],[Client Age]]&lt;18,Table24[[#This Row],[If client DOB unknown, is client under 18?]]="Yes"),"Yes","No")</f>
        <v>No</v>
      </c>
      <c r="AO338" s="13" t="str">
        <f>IF(Table24[[#This Row],[Time of Inital Call]]="","",IFERROR(MROUND(Table24[[#This Row],[Time of Inital Call]],"1:00"),""))</f>
        <v/>
      </c>
      <c r="AP338" s="19" t="str">
        <f>IF(Table24[[#This Row],[Date of Call]]="","",TEXT(Table24[[#This Row],[Date of Call]],"dddd"))</f>
        <v/>
      </c>
      <c r="AQ338" s="19" t="str">
        <f>IFERROR(VLOOKUP(Table24[[#This Row],[Residence Zip Code]],Table27[],3,FALSE),"")</f>
        <v/>
      </c>
    </row>
    <row r="339" spans="1:43" x14ac:dyDescent="0.25">
      <c r="A339" s="10"/>
      <c r="C339" s="10"/>
      <c r="D339" s="11"/>
      <c r="E339" s="12"/>
      <c r="F339" s="12"/>
      <c r="G339" s="12"/>
      <c r="H339" s="10"/>
      <c r="I339" s="12"/>
      <c r="J339" s="12"/>
      <c r="K339" s="12"/>
      <c r="L339" s="12"/>
      <c r="M339" s="16"/>
      <c r="N339" s="18"/>
      <c r="O339" s="13"/>
      <c r="P339" s="13"/>
      <c r="Q339" s="13"/>
      <c r="R339" s="18"/>
      <c r="S339" s="13"/>
      <c r="T339" s="13"/>
      <c r="U339" s="10"/>
      <c r="V339" s="2"/>
      <c r="X339" s="13"/>
      <c r="Y339" s="3"/>
      <c r="Z339" s="3"/>
      <c r="AA339" s="12"/>
      <c r="AB339" s="10"/>
      <c r="AC339" s="10"/>
      <c r="AD339" s="10"/>
      <c r="AE339" s="10"/>
      <c r="AI339" s="35"/>
      <c r="AJ339"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39" s="19" t="str">
        <f>IFERROR(IF(OR(TRIM(Table24[[#This Row],[DOB]])="",TRIM(Table24[[#This Row],[Date of Call]])=""),"Cannot be calculated",DATEDIF(Table24[[#This Row],[DOB]],Table24[[#This Row],[Date of Call]],"Y")),"Cannot be calculated")</f>
        <v>Cannot be calculated</v>
      </c>
      <c r="AL339"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39" s="19">
        <f>IFERROR(DATEDIF(Table24[[#This Row],[Date of Call]],Table24[[#This Row],[Follow-up Date]],"D"),"Cannot be calculated")</f>
        <v>0</v>
      </c>
      <c r="AN339" s="19" t="str">
        <f>IF(OR(Table24[[#This Row],[Client Age]]&lt;18,Table24[[#This Row],[If client DOB unknown, is client under 18?]]="Yes"),"Yes","No")</f>
        <v>No</v>
      </c>
      <c r="AO339" s="13" t="str">
        <f>IF(Table24[[#This Row],[Time of Inital Call]]="","",IFERROR(MROUND(Table24[[#This Row],[Time of Inital Call]],"1:00"),""))</f>
        <v/>
      </c>
      <c r="AP339" s="19" t="str">
        <f>IF(Table24[[#This Row],[Date of Call]]="","",TEXT(Table24[[#This Row],[Date of Call]],"dddd"))</f>
        <v/>
      </c>
      <c r="AQ339" s="19" t="str">
        <f>IFERROR(VLOOKUP(Table24[[#This Row],[Residence Zip Code]],Table27[],3,FALSE),"")</f>
        <v/>
      </c>
    </row>
    <row r="340" spans="1:43" x14ac:dyDescent="0.25">
      <c r="A340" s="10"/>
      <c r="C340" s="10"/>
      <c r="D340" s="11"/>
      <c r="E340" s="12"/>
      <c r="F340" s="12"/>
      <c r="G340" s="12"/>
      <c r="H340" s="10"/>
      <c r="I340" s="12"/>
      <c r="J340" s="12"/>
      <c r="K340" s="12"/>
      <c r="L340" s="12"/>
      <c r="M340" s="16"/>
      <c r="N340" s="18"/>
      <c r="O340" s="13"/>
      <c r="P340" s="13"/>
      <c r="Q340" s="13"/>
      <c r="R340" s="18"/>
      <c r="S340" s="13"/>
      <c r="T340" s="13"/>
      <c r="U340" s="10"/>
      <c r="V340" s="2"/>
      <c r="X340" s="13"/>
      <c r="Y340" s="3"/>
      <c r="Z340" s="3"/>
      <c r="AA340" s="12"/>
      <c r="AB340" s="10"/>
      <c r="AC340" s="10"/>
      <c r="AD340" s="10"/>
      <c r="AE340" s="10"/>
      <c r="AI340" s="35"/>
      <c r="AJ340"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40" s="19" t="str">
        <f>IFERROR(IF(OR(TRIM(Table24[[#This Row],[DOB]])="",TRIM(Table24[[#This Row],[Date of Call]])=""),"Cannot be calculated",DATEDIF(Table24[[#This Row],[DOB]],Table24[[#This Row],[Date of Call]],"Y")),"Cannot be calculated")</f>
        <v>Cannot be calculated</v>
      </c>
      <c r="AL340"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40" s="19">
        <f>IFERROR(DATEDIF(Table24[[#This Row],[Date of Call]],Table24[[#This Row],[Follow-up Date]],"D"),"Cannot be calculated")</f>
        <v>0</v>
      </c>
      <c r="AN340" s="19" t="str">
        <f>IF(OR(Table24[[#This Row],[Client Age]]&lt;18,Table24[[#This Row],[If client DOB unknown, is client under 18?]]="Yes"),"Yes","No")</f>
        <v>No</v>
      </c>
      <c r="AO340" s="13" t="str">
        <f>IF(Table24[[#This Row],[Time of Inital Call]]="","",IFERROR(MROUND(Table24[[#This Row],[Time of Inital Call]],"1:00"),""))</f>
        <v/>
      </c>
      <c r="AP340" s="19" t="str">
        <f>IF(Table24[[#This Row],[Date of Call]]="","",TEXT(Table24[[#This Row],[Date of Call]],"dddd"))</f>
        <v/>
      </c>
      <c r="AQ340" s="19" t="str">
        <f>IFERROR(VLOOKUP(Table24[[#This Row],[Residence Zip Code]],Table27[],3,FALSE),"")</f>
        <v/>
      </c>
    </row>
    <row r="341" spans="1:43" x14ac:dyDescent="0.25">
      <c r="A341" s="10"/>
      <c r="C341" s="10"/>
      <c r="D341" s="11"/>
      <c r="E341" s="12"/>
      <c r="F341" s="12"/>
      <c r="G341" s="12"/>
      <c r="H341" s="10"/>
      <c r="I341" s="12"/>
      <c r="J341" s="12"/>
      <c r="K341" s="12"/>
      <c r="L341" s="12"/>
      <c r="M341" s="16"/>
      <c r="N341" s="18"/>
      <c r="O341" s="13"/>
      <c r="P341" s="13"/>
      <c r="Q341" s="13"/>
      <c r="R341" s="18"/>
      <c r="S341" s="13"/>
      <c r="T341" s="13"/>
      <c r="U341" s="10"/>
      <c r="V341" s="2"/>
      <c r="X341" s="13"/>
      <c r="Y341" s="3"/>
      <c r="Z341" s="3"/>
      <c r="AA341" s="12"/>
      <c r="AB341" s="10"/>
      <c r="AC341" s="10"/>
      <c r="AD341" s="10"/>
      <c r="AE341" s="10"/>
      <c r="AI341" s="35"/>
      <c r="AJ341"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41" s="19" t="str">
        <f>IFERROR(IF(OR(TRIM(Table24[[#This Row],[DOB]])="",TRIM(Table24[[#This Row],[Date of Call]])=""),"Cannot be calculated",DATEDIF(Table24[[#This Row],[DOB]],Table24[[#This Row],[Date of Call]],"Y")),"Cannot be calculated")</f>
        <v>Cannot be calculated</v>
      </c>
      <c r="AL341"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41" s="19">
        <f>IFERROR(DATEDIF(Table24[[#This Row],[Date of Call]],Table24[[#This Row],[Follow-up Date]],"D"),"Cannot be calculated")</f>
        <v>0</v>
      </c>
      <c r="AN341" s="19" t="str">
        <f>IF(OR(Table24[[#This Row],[Client Age]]&lt;18,Table24[[#This Row],[If client DOB unknown, is client under 18?]]="Yes"),"Yes","No")</f>
        <v>No</v>
      </c>
      <c r="AO341" s="13" t="str">
        <f>IF(Table24[[#This Row],[Time of Inital Call]]="","",IFERROR(MROUND(Table24[[#This Row],[Time of Inital Call]],"1:00"),""))</f>
        <v/>
      </c>
      <c r="AP341" s="19" t="str">
        <f>IF(Table24[[#This Row],[Date of Call]]="","",TEXT(Table24[[#This Row],[Date of Call]],"dddd"))</f>
        <v/>
      </c>
      <c r="AQ341" s="19" t="str">
        <f>IFERROR(VLOOKUP(Table24[[#This Row],[Residence Zip Code]],Table27[],3,FALSE),"")</f>
        <v/>
      </c>
    </row>
    <row r="342" spans="1:43" x14ac:dyDescent="0.25">
      <c r="A342" s="10"/>
      <c r="C342" s="10"/>
      <c r="D342" s="11"/>
      <c r="E342" s="12"/>
      <c r="F342" s="12"/>
      <c r="G342" s="12"/>
      <c r="H342" s="10"/>
      <c r="I342" s="12"/>
      <c r="J342" s="12"/>
      <c r="K342" s="12"/>
      <c r="L342" s="12"/>
      <c r="M342" s="16"/>
      <c r="N342" s="18"/>
      <c r="O342" s="13"/>
      <c r="P342" s="13"/>
      <c r="Q342" s="13"/>
      <c r="R342" s="18"/>
      <c r="S342" s="13"/>
      <c r="T342" s="13"/>
      <c r="U342" s="10"/>
      <c r="V342" s="2"/>
      <c r="X342" s="13"/>
      <c r="Y342" s="3"/>
      <c r="Z342" s="3"/>
      <c r="AA342" s="12"/>
      <c r="AB342" s="10"/>
      <c r="AC342" s="10"/>
      <c r="AD342" s="10"/>
      <c r="AE342" s="10"/>
      <c r="AI342" s="35"/>
      <c r="AJ342"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42" s="19" t="str">
        <f>IFERROR(IF(OR(TRIM(Table24[[#This Row],[DOB]])="",TRIM(Table24[[#This Row],[Date of Call]])=""),"Cannot be calculated",DATEDIF(Table24[[#This Row],[DOB]],Table24[[#This Row],[Date of Call]],"Y")),"Cannot be calculated")</f>
        <v>Cannot be calculated</v>
      </c>
      <c r="AL342"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42" s="19">
        <f>IFERROR(DATEDIF(Table24[[#This Row],[Date of Call]],Table24[[#This Row],[Follow-up Date]],"D"),"Cannot be calculated")</f>
        <v>0</v>
      </c>
      <c r="AN342" s="19" t="str">
        <f>IF(OR(Table24[[#This Row],[Client Age]]&lt;18,Table24[[#This Row],[If client DOB unknown, is client under 18?]]="Yes"),"Yes","No")</f>
        <v>No</v>
      </c>
      <c r="AO342" s="13" t="str">
        <f>IF(Table24[[#This Row],[Time of Inital Call]]="","",IFERROR(MROUND(Table24[[#This Row],[Time of Inital Call]],"1:00"),""))</f>
        <v/>
      </c>
      <c r="AP342" s="19" t="str">
        <f>IF(Table24[[#This Row],[Date of Call]]="","",TEXT(Table24[[#This Row],[Date of Call]],"dddd"))</f>
        <v/>
      </c>
      <c r="AQ342" s="19" t="str">
        <f>IFERROR(VLOOKUP(Table24[[#This Row],[Residence Zip Code]],Table27[],3,FALSE),"")</f>
        <v/>
      </c>
    </row>
    <row r="343" spans="1:43" x14ac:dyDescent="0.25">
      <c r="A343" s="10"/>
      <c r="C343" s="10"/>
      <c r="D343" s="11"/>
      <c r="E343" s="12"/>
      <c r="F343" s="12"/>
      <c r="G343" s="12"/>
      <c r="H343" s="10"/>
      <c r="I343" s="12"/>
      <c r="J343" s="12"/>
      <c r="K343" s="12"/>
      <c r="L343" s="12"/>
      <c r="M343" s="16"/>
      <c r="N343" s="18"/>
      <c r="O343" s="13"/>
      <c r="P343" s="13"/>
      <c r="Q343" s="13"/>
      <c r="R343" s="18"/>
      <c r="S343" s="13"/>
      <c r="T343" s="13"/>
      <c r="U343" s="10"/>
      <c r="V343" s="2"/>
      <c r="X343" s="13"/>
      <c r="Y343" s="3"/>
      <c r="Z343" s="3"/>
      <c r="AA343" s="12"/>
      <c r="AB343" s="10"/>
      <c r="AC343" s="10"/>
      <c r="AD343" s="10"/>
      <c r="AE343" s="10"/>
      <c r="AI343" s="35"/>
      <c r="AJ343"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43" s="19" t="str">
        <f>IFERROR(IF(OR(TRIM(Table24[[#This Row],[DOB]])="",TRIM(Table24[[#This Row],[Date of Call]])=""),"Cannot be calculated",DATEDIF(Table24[[#This Row],[DOB]],Table24[[#This Row],[Date of Call]],"Y")),"Cannot be calculated")</f>
        <v>Cannot be calculated</v>
      </c>
      <c r="AL343"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43" s="19">
        <f>IFERROR(DATEDIF(Table24[[#This Row],[Date of Call]],Table24[[#This Row],[Follow-up Date]],"D"),"Cannot be calculated")</f>
        <v>0</v>
      </c>
      <c r="AN343" s="19" t="str">
        <f>IF(OR(Table24[[#This Row],[Client Age]]&lt;18,Table24[[#This Row],[If client DOB unknown, is client under 18?]]="Yes"),"Yes","No")</f>
        <v>No</v>
      </c>
      <c r="AO343" s="13" t="str">
        <f>IF(Table24[[#This Row],[Time of Inital Call]]="","",IFERROR(MROUND(Table24[[#This Row],[Time of Inital Call]],"1:00"),""))</f>
        <v/>
      </c>
      <c r="AP343" s="19" t="str">
        <f>IF(Table24[[#This Row],[Date of Call]]="","",TEXT(Table24[[#This Row],[Date of Call]],"dddd"))</f>
        <v/>
      </c>
      <c r="AQ343" s="19" t="str">
        <f>IFERROR(VLOOKUP(Table24[[#This Row],[Residence Zip Code]],Table27[],3,FALSE),"")</f>
        <v/>
      </c>
    </row>
    <row r="344" spans="1:43" x14ac:dyDescent="0.25">
      <c r="A344" s="10"/>
      <c r="C344" s="10"/>
      <c r="D344" s="11"/>
      <c r="E344" s="12"/>
      <c r="F344" s="12"/>
      <c r="G344" s="12"/>
      <c r="H344" s="10"/>
      <c r="I344" s="12"/>
      <c r="J344" s="12"/>
      <c r="K344" s="12"/>
      <c r="L344" s="12"/>
      <c r="M344" s="16"/>
      <c r="N344" s="18"/>
      <c r="O344" s="13"/>
      <c r="P344" s="13"/>
      <c r="Q344" s="13"/>
      <c r="R344" s="18"/>
      <c r="S344" s="13"/>
      <c r="T344" s="13"/>
      <c r="U344" s="10"/>
      <c r="V344" s="2"/>
      <c r="X344" s="13"/>
      <c r="Y344" s="3"/>
      <c r="Z344" s="3"/>
      <c r="AA344" s="12"/>
      <c r="AB344" s="10"/>
      <c r="AC344" s="10"/>
      <c r="AD344" s="10"/>
      <c r="AE344" s="10"/>
      <c r="AI344" s="35"/>
      <c r="AJ344"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44" s="19" t="str">
        <f>IFERROR(IF(OR(TRIM(Table24[[#This Row],[DOB]])="",TRIM(Table24[[#This Row],[Date of Call]])=""),"Cannot be calculated",DATEDIF(Table24[[#This Row],[DOB]],Table24[[#This Row],[Date of Call]],"Y")),"Cannot be calculated")</f>
        <v>Cannot be calculated</v>
      </c>
      <c r="AL344"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44" s="19">
        <f>IFERROR(DATEDIF(Table24[[#This Row],[Date of Call]],Table24[[#This Row],[Follow-up Date]],"D"),"Cannot be calculated")</f>
        <v>0</v>
      </c>
      <c r="AN344" s="19" t="str">
        <f>IF(OR(Table24[[#This Row],[Client Age]]&lt;18,Table24[[#This Row],[If client DOB unknown, is client under 18?]]="Yes"),"Yes","No")</f>
        <v>No</v>
      </c>
      <c r="AO344" s="13" t="str">
        <f>IF(Table24[[#This Row],[Time of Inital Call]]="","",IFERROR(MROUND(Table24[[#This Row],[Time of Inital Call]],"1:00"),""))</f>
        <v/>
      </c>
      <c r="AP344" s="19" t="str">
        <f>IF(Table24[[#This Row],[Date of Call]]="","",TEXT(Table24[[#This Row],[Date of Call]],"dddd"))</f>
        <v/>
      </c>
      <c r="AQ344" s="19" t="str">
        <f>IFERROR(VLOOKUP(Table24[[#This Row],[Residence Zip Code]],Table27[],3,FALSE),"")</f>
        <v/>
      </c>
    </row>
    <row r="345" spans="1:43" x14ac:dyDescent="0.25">
      <c r="A345" s="10"/>
      <c r="C345" s="10"/>
      <c r="D345" s="11"/>
      <c r="E345" s="12"/>
      <c r="F345" s="12"/>
      <c r="G345" s="12"/>
      <c r="H345" s="10"/>
      <c r="I345" s="12"/>
      <c r="J345" s="12"/>
      <c r="K345" s="12"/>
      <c r="L345" s="12"/>
      <c r="M345" s="16"/>
      <c r="N345" s="18"/>
      <c r="O345" s="13"/>
      <c r="P345" s="13"/>
      <c r="Q345" s="13"/>
      <c r="R345" s="18"/>
      <c r="S345" s="13"/>
      <c r="T345" s="13"/>
      <c r="U345" s="10"/>
      <c r="V345" s="2"/>
      <c r="X345" s="13"/>
      <c r="Y345" s="3"/>
      <c r="Z345" s="3"/>
      <c r="AA345" s="12"/>
      <c r="AB345" s="10"/>
      <c r="AC345" s="10"/>
      <c r="AD345" s="10"/>
      <c r="AE345" s="10"/>
      <c r="AI345" s="35"/>
      <c r="AJ345"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45" s="19" t="str">
        <f>IFERROR(IF(OR(TRIM(Table24[[#This Row],[DOB]])="",TRIM(Table24[[#This Row],[Date of Call]])=""),"Cannot be calculated",DATEDIF(Table24[[#This Row],[DOB]],Table24[[#This Row],[Date of Call]],"Y")),"Cannot be calculated")</f>
        <v>Cannot be calculated</v>
      </c>
      <c r="AL345"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45" s="19">
        <f>IFERROR(DATEDIF(Table24[[#This Row],[Date of Call]],Table24[[#This Row],[Follow-up Date]],"D"),"Cannot be calculated")</f>
        <v>0</v>
      </c>
      <c r="AN345" s="19" t="str">
        <f>IF(OR(Table24[[#This Row],[Client Age]]&lt;18,Table24[[#This Row],[If client DOB unknown, is client under 18?]]="Yes"),"Yes","No")</f>
        <v>No</v>
      </c>
      <c r="AO345" s="13" t="str">
        <f>IF(Table24[[#This Row],[Time of Inital Call]]="","",IFERROR(MROUND(Table24[[#This Row],[Time of Inital Call]],"1:00"),""))</f>
        <v/>
      </c>
      <c r="AP345" s="19" t="str">
        <f>IF(Table24[[#This Row],[Date of Call]]="","",TEXT(Table24[[#This Row],[Date of Call]],"dddd"))</f>
        <v/>
      </c>
      <c r="AQ345" s="19" t="str">
        <f>IFERROR(VLOOKUP(Table24[[#This Row],[Residence Zip Code]],Table27[],3,FALSE),"")</f>
        <v/>
      </c>
    </row>
    <row r="346" spans="1:43" x14ac:dyDescent="0.25">
      <c r="A346" s="10"/>
      <c r="C346" s="10"/>
      <c r="D346" s="11"/>
      <c r="E346" s="12"/>
      <c r="F346" s="12"/>
      <c r="G346" s="12"/>
      <c r="H346" s="10"/>
      <c r="I346" s="12"/>
      <c r="J346" s="12"/>
      <c r="K346" s="12"/>
      <c r="L346" s="12"/>
      <c r="M346" s="16"/>
      <c r="N346" s="18"/>
      <c r="O346" s="13"/>
      <c r="P346" s="13"/>
      <c r="Q346" s="13"/>
      <c r="R346" s="18"/>
      <c r="S346" s="13"/>
      <c r="T346" s="13"/>
      <c r="U346" s="10"/>
      <c r="V346" s="2"/>
      <c r="X346" s="13"/>
      <c r="Y346" s="3"/>
      <c r="Z346" s="3"/>
      <c r="AA346" s="12"/>
      <c r="AB346" s="10"/>
      <c r="AC346" s="10"/>
      <c r="AD346" s="10"/>
      <c r="AE346" s="10"/>
      <c r="AI346" s="35"/>
      <c r="AJ346"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46" s="19" t="str">
        <f>IFERROR(IF(OR(TRIM(Table24[[#This Row],[DOB]])="",TRIM(Table24[[#This Row],[Date of Call]])=""),"Cannot be calculated",DATEDIF(Table24[[#This Row],[DOB]],Table24[[#This Row],[Date of Call]],"Y")),"Cannot be calculated")</f>
        <v>Cannot be calculated</v>
      </c>
      <c r="AL346"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46" s="19">
        <f>IFERROR(DATEDIF(Table24[[#This Row],[Date of Call]],Table24[[#This Row],[Follow-up Date]],"D"),"Cannot be calculated")</f>
        <v>0</v>
      </c>
      <c r="AN346" s="19" t="str">
        <f>IF(OR(Table24[[#This Row],[Client Age]]&lt;18,Table24[[#This Row],[If client DOB unknown, is client under 18?]]="Yes"),"Yes","No")</f>
        <v>No</v>
      </c>
      <c r="AO346" s="13" t="str">
        <f>IF(Table24[[#This Row],[Time of Inital Call]]="","",IFERROR(MROUND(Table24[[#This Row],[Time of Inital Call]],"1:00"),""))</f>
        <v/>
      </c>
      <c r="AP346" s="19" t="str">
        <f>IF(Table24[[#This Row],[Date of Call]]="","",TEXT(Table24[[#This Row],[Date of Call]],"dddd"))</f>
        <v/>
      </c>
      <c r="AQ346" s="19" t="str">
        <f>IFERROR(VLOOKUP(Table24[[#This Row],[Residence Zip Code]],Table27[],3,FALSE),"")</f>
        <v/>
      </c>
    </row>
    <row r="347" spans="1:43" x14ac:dyDescent="0.25">
      <c r="A347" s="10"/>
      <c r="C347" s="10"/>
      <c r="D347" s="11"/>
      <c r="E347" s="12"/>
      <c r="F347" s="12"/>
      <c r="G347" s="12"/>
      <c r="H347" s="10"/>
      <c r="I347" s="12"/>
      <c r="J347" s="12"/>
      <c r="K347" s="12"/>
      <c r="L347" s="12"/>
      <c r="M347" s="16"/>
      <c r="N347" s="18"/>
      <c r="O347" s="13"/>
      <c r="P347" s="13"/>
      <c r="Q347" s="13"/>
      <c r="R347" s="18"/>
      <c r="S347" s="13"/>
      <c r="T347" s="13"/>
      <c r="U347" s="10"/>
      <c r="V347" s="2"/>
      <c r="X347" s="13"/>
      <c r="Y347" s="3"/>
      <c r="Z347" s="3"/>
      <c r="AA347" s="12"/>
      <c r="AB347" s="10"/>
      <c r="AC347" s="10"/>
      <c r="AD347" s="10"/>
      <c r="AE347" s="10"/>
      <c r="AI347" s="35"/>
      <c r="AJ347"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47" s="19" t="str">
        <f>IFERROR(IF(OR(TRIM(Table24[[#This Row],[DOB]])="",TRIM(Table24[[#This Row],[Date of Call]])=""),"Cannot be calculated",DATEDIF(Table24[[#This Row],[DOB]],Table24[[#This Row],[Date of Call]],"Y")),"Cannot be calculated")</f>
        <v>Cannot be calculated</v>
      </c>
      <c r="AL347"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47" s="19">
        <f>IFERROR(DATEDIF(Table24[[#This Row],[Date of Call]],Table24[[#This Row],[Follow-up Date]],"D"),"Cannot be calculated")</f>
        <v>0</v>
      </c>
      <c r="AN347" s="19" t="str">
        <f>IF(OR(Table24[[#This Row],[Client Age]]&lt;18,Table24[[#This Row],[If client DOB unknown, is client under 18?]]="Yes"),"Yes","No")</f>
        <v>No</v>
      </c>
      <c r="AO347" s="13" t="str">
        <f>IF(Table24[[#This Row],[Time of Inital Call]]="","",IFERROR(MROUND(Table24[[#This Row],[Time of Inital Call]],"1:00"),""))</f>
        <v/>
      </c>
      <c r="AP347" s="19" t="str">
        <f>IF(Table24[[#This Row],[Date of Call]]="","",TEXT(Table24[[#This Row],[Date of Call]],"dddd"))</f>
        <v/>
      </c>
      <c r="AQ347" s="19" t="str">
        <f>IFERROR(VLOOKUP(Table24[[#This Row],[Residence Zip Code]],Table27[],3,FALSE),"")</f>
        <v/>
      </c>
    </row>
    <row r="348" spans="1:43" x14ac:dyDescent="0.25">
      <c r="A348" s="10"/>
      <c r="C348" s="10"/>
      <c r="D348" s="11"/>
      <c r="E348" s="12"/>
      <c r="F348" s="12"/>
      <c r="G348" s="12"/>
      <c r="H348" s="10"/>
      <c r="I348" s="12"/>
      <c r="J348" s="12"/>
      <c r="K348" s="12"/>
      <c r="L348" s="12"/>
      <c r="M348" s="16"/>
      <c r="N348" s="18"/>
      <c r="O348" s="13"/>
      <c r="P348" s="13"/>
      <c r="Q348" s="13"/>
      <c r="R348" s="18"/>
      <c r="S348" s="13"/>
      <c r="T348" s="13"/>
      <c r="U348" s="10"/>
      <c r="V348" s="2"/>
      <c r="X348" s="13"/>
      <c r="Y348" s="3"/>
      <c r="Z348" s="3"/>
      <c r="AA348" s="12"/>
      <c r="AB348" s="10"/>
      <c r="AC348" s="10"/>
      <c r="AD348" s="10"/>
      <c r="AE348" s="10"/>
      <c r="AI348" s="35"/>
      <c r="AJ348"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48" s="19" t="str">
        <f>IFERROR(IF(OR(TRIM(Table24[[#This Row],[DOB]])="",TRIM(Table24[[#This Row],[Date of Call]])=""),"Cannot be calculated",DATEDIF(Table24[[#This Row],[DOB]],Table24[[#This Row],[Date of Call]],"Y")),"Cannot be calculated")</f>
        <v>Cannot be calculated</v>
      </c>
      <c r="AL348"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48" s="19">
        <f>IFERROR(DATEDIF(Table24[[#This Row],[Date of Call]],Table24[[#This Row],[Follow-up Date]],"D"),"Cannot be calculated")</f>
        <v>0</v>
      </c>
      <c r="AN348" s="19" t="str">
        <f>IF(OR(Table24[[#This Row],[Client Age]]&lt;18,Table24[[#This Row],[If client DOB unknown, is client under 18?]]="Yes"),"Yes","No")</f>
        <v>No</v>
      </c>
      <c r="AO348" s="13" t="str">
        <f>IF(Table24[[#This Row],[Time of Inital Call]]="","",IFERROR(MROUND(Table24[[#This Row],[Time of Inital Call]],"1:00"),""))</f>
        <v/>
      </c>
      <c r="AP348" s="19" t="str">
        <f>IF(Table24[[#This Row],[Date of Call]]="","",TEXT(Table24[[#This Row],[Date of Call]],"dddd"))</f>
        <v/>
      </c>
      <c r="AQ348" s="19" t="str">
        <f>IFERROR(VLOOKUP(Table24[[#This Row],[Residence Zip Code]],Table27[],3,FALSE),"")</f>
        <v/>
      </c>
    </row>
    <row r="349" spans="1:43" x14ac:dyDescent="0.25">
      <c r="A349" s="10"/>
      <c r="C349" s="10"/>
      <c r="D349" s="11"/>
      <c r="E349" s="12"/>
      <c r="F349" s="12"/>
      <c r="G349" s="12"/>
      <c r="H349" s="10"/>
      <c r="I349" s="12"/>
      <c r="J349" s="12"/>
      <c r="K349" s="12"/>
      <c r="L349" s="12"/>
      <c r="M349" s="16"/>
      <c r="N349" s="18"/>
      <c r="O349" s="13"/>
      <c r="P349" s="13"/>
      <c r="Q349" s="13"/>
      <c r="R349" s="18"/>
      <c r="S349" s="13"/>
      <c r="T349" s="13"/>
      <c r="U349" s="10"/>
      <c r="V349" s="2"/>
      <c r="X349" s="13"/>
      <c r="Y349" s="3"/>
      <c r="Z349" s="3"/>
      <c r="AA349" s="12"/>
      <c r="AB349" s="10"/>
      <c r="AC349" s="10"/>
      <c r="AD349" s="10"/>
      <c r="AE349" s="10"/>
      <c r="AI349" s="35"/>
      <c r="AJ349"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49" s="19" t="str">
        <f>IFERROR(IF(OR(TRIM(Table24[[#This Row],[DOB]])="",TRIM(Table24[[#This Row],[Date of Call]])=""),"Cannot be calculated",DATEDIF(Table24[[#This Row],[DOB]],Table24[[#This Row],[Date of Call]],"Y")),"Cannot be calculated")</f>
        <v>Cannot be calculated</v>
      </c>
      <c r="AL349"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49" s="19">
        <f>IFERROR(DATEDIF(Table24[[#This Row],[Date of Call]],Table24[[#This Row],[Follow-up Date]],"D"),"Cannot be calculated")</f>
        <v>0</v>
      </c>
      <c r="AN349" s="19" t="str">
        <f>IF(OR(Table24[[#This Row],[Client Age]]&lt;18,Table24[[#This Row],[If client DOB unknown, is client under 18?]]="Yes"),"Yes","No")</f>
        <v>No</v>
      </c>
      <c r="AO349" s="13" t="str">
        <f>IF(Table24[[#This Row],[Time of Inital Call]]="","",IFERROR(MROUND(Table24[[#This Row],[Time of Inital Call]],"1:00"),""))</f>
        <v/>
      </c>
      <c r="AP349" s="19" t="str">
        <f>IF(Table24[[#This Row],[Date of Call]]="","",TEXT(Table24[[#This Row],[Date of Call]],"dddd"))</f>
        <v/>
      </c>
      <c r="AQ349" s="19" t="str">
        <f>IFERROR(VLOOKUP(Table24[[#This Row],[Residence Zip Code]],Table27[],3,FALSE),"")</f>
        <v/>
      </c>
    </row>
    <row r="350" spans="1:43" x14ac:dyDescent="0.25">
      <c r="A350" s="10"/>
      <c r="C350" s="10"/>
      <c r="D350" s="11"/>
      <c r="E350" s="12"/>
      <c r="F350" s="12"/>
      <c r="G350" s="12"/>
      <c r="H350" s="10"/>
      <c r="I350" s="12"/>
      <c r="J350" s="12"/>
      <c r="K350" s="12"/>
      <c r="L350" s="12"/>
      <c r="M350" s="16"/>
      <c r="N350" s="18"/>
      <c r="O350" s="13"/>
      <c r="P350" s="13"/>
      <c r="Q350" s="13"/>
      <c r="R350" s="18"/>
      <c r="S350" s="13"/>
      <c r="T350" s="13"/>
      <c r="U350" s="10"/>
      <c r="V350" s="2"/>
      <c r="X350" s="13"/>
      <c r="Y350" s="3"/>
      <c r="Z350" s="3"/>
      <c r="AA350" s="12"/>
      <c r="AB350" s="10"/>
      <c r="AC350" s="10"/>
      <c r="AD350" s="10"/>
      <c r="AE350" s="10"/>
      <c r="AI350" s="35"/>
      <c r="AJ350"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50" s="19" t="str">
        <f>IFERROR(IF(OR(TRIM(Table24[[#This Row],[DOB]])="",TRIM(Table24[[#This Row],[Date of Call]])=""),"Cannot be calculated",DATEDIF(Table24[[#This Row],[DOB]],Table24[[#This Row],[Date of Call]],"Y")),"Cannot be calculated")</f>
        <v>Cannot be calculated</v>
      </c>
      <c r="AL350"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50" s="19">
        <f>IFERROR(DATEDIF(Table24[[#This Row],[Date of Call]],Table24[[#This Row],[Follow-up Date]],"D"),"Cannot be calculated")</f>
        <v>0</v>
      </c>
      <c r="AN350" s="19" t="str">
        <f>IF(OR(Table24[[#This Row],[Client Age]]&lt;18,Table24[[#This Row],[If client DOB unknown, is client under 18?]]="Yes"),"Yes","No")</f>
        <v>No</v>
      </c>
      <c r="AO350" s="13" t="str">
        <f>IF(Table24[[#This Row],[Time of Inital Call]]="","",IFERROR(MROUND(Table24[[#This Row],[Time of Inital Call]],"1:00"),""))</f>
        <v/>
      </c>
      <c r="AP350" s="19" t="str">
        <f>IF(Table24[[#This Row],[Date of Call]]="","",TEXT(Table24[[#This Row],[Date of Call]],"dddd"))</f>
        <v/>
      </c>
      <c r="AQ350" s="19" t="str">
        <f>IFERROR(VLOOKUP(Table24[[#This Row],[Residence Zip Code]],Table27[],3,FALSE),"")</f>
        <v/>
      </c>
    </row>
    <row r="351" spans="1:43" x14ac:dyDescent="0.25">
      <c r="A351" s="10"/>
      <c r="C351" s="10"/>
      <c r="D351" s="11"/>
      <c r="E351" s="12"/>
      <c r="F351" s="12"/>
      <c r="G351" s="12"/>
      <c r="H351" s="10"/>
      <c r="I351" s="12"/>
      <c r="J351" s="12"/>
      <c r="K351" s="12"/>
      <c r="L351" s="12"/>
      <c r="M351" s="16"/>
      <c r="N351" s="18"/>
      <c r="O351" s="13"/>
      <c r="P351" s="13"/>
      <c r="Q351" s="13"/>
      <c r="R351" s="18"/>
      <c r="S351" s="13"/>
      <c r="T351" s="13"/>
      <c r="U351" s="10"/>
      <c r="V351" s="2"/>
      <c r="X351" s="13"/>
      <c r="Y351" s="3"/>
      <c r="Z351" s="3"/>
      <c r="AA351" s="12"/>
      <c r="AB351" s="10"/>
      <c r="AC351" s="10"/>
      <c r="AD351" s="10"/>
      <c r="AE351" s="10"/>
      <c r="AI351" s="35"/>
      <c r="AJ351"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51" s="19" t="str">
        <f>IFERROR(IF(OR(TRIM(Table24[[#This Row],[DOB]])="",TRIM(Table24[[#This Row],[Date of Call]])=""),"Cannot be calculated",DATEDIF(Table24[[#This Row],[DOB]],Table24[[#This Row],[Date of Call]],"Y")),"Cannot be calculated")</f>
        <v>Cannot be calculated</v>
      </c>
      <c r="AL351"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51" s="19">
        <f>IFERROR(DATEDIF(Table24[[#This Row],[Date of Call]],Table24[[#This Row],[Follow-up Date]],"D"),"Cannot be calculated")</f>
        <v>0</v>
      </c>
      <c r="AN351" s="19" t="str">
        <f>IF(OR(Table24[[#This Row],[Client Age]]&lt;18,Table24[[#This Row],[If client DOB unknown, is client under 18?]]="Yes"),"Yes","No")</f>
        <v>No</v>
      </c>
      <c r="AO351" s="13" t="str">
        <f>IF(Table24[[#This Row],[Time of Inital Call]]="","",IFERROR(MROUND(Table24[[#This Row],[Time of Inital Call]],"1:00"),""))</f>
        <v/>
      </c>
      <c r="AP351" s="19" t="str">
        <f>IF(Table24[[#This Row],[Date of Call]]="","",TEXT(Table24[[#This Row],[Date of Call]],"dddd"))</f>
        <v/>
      </c>
      <c r="AQ351" s="19" t="str">
        <f>IFERROR(VLOOKUP(Table24[[#This Row],[Residence Zip Code]],Table27[],3,FALSE),"")</f>
        <v/>
      </c>
    </row>
    <row r="352" spans="1:43" x14ac:dyDescent="0.25">
      <c r="A352" s="10"/>
      <c r="C352" s="10"/>
      <c r="D352" s="11"/>
      <c r="E352" s="12"/>
      <c r="F352" s="12"/>
      <c r="G352" s="12"/>
      <c r="H352" s="10"/>
      <c r="I352" s="12"/>
      <c r="J352" s="12"/>
      <c r="K352" s="12"/>
      <c r="L352" s="12"/>
      <c r="M352" s="16"/>
      <c r="N352" s="18"/>
      <c r="O352" s="13"/>
      <c r="P352" s="13"/>
      <c r="Q352" s="13"/>
      <c r="R352" s="18"/>
      <c r="S352" s="13"/>
      <c r="T352" s="13"/>
      <c r="U352" s="10"/>
      <c r="V352" s="2"/>
      <c r="X352" s="13"/>
      <c r="Y352" s="3"/>
      <c r="Z352" s="3"/>
      <c r="AA352" s="12"/>
      <c r="AB352" s="10"/>
      <c r="AC352" s="10"/>
      <c r="AD352" s="10"/>
      <c r="AE352" s="10"/>
      <c r="AI352" s="35"/>
      <c r="AJ352"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52" s="19" t="str">
        <f>IFERROR(IF(OR(TRIM(Table24[[#This Row],[DOB]])="",TRIM(Table24[[#This Row],[Date of Call]])=""),"Cannot be calculated",DATEDIF(Table24[[#This Row],[DOB]],Table24[[#This Row],[Date of Call]],"Y")),"Cannot be calculated")</f>
        <v>Cannot be calculated</v>
      </c>
      <c r="AL352"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52" s="19">
        <f>IFERROR(DATEDIF(Table24[[#This Row],[Date of Call]],Table24[[#This Row],[Follow-up Date]],"D"),"Cannot be calculated")</f>
        <v>0</v>
      </c>
      <c r="AN352" s="19" t="str">
        <f>IF(OR(Table24[[#This Row],[Client Age]]&lt;18,Table24[[#This Row],[If client DOB unknown, is client under 18?]]="Yes"),"Yes","No")</f>
        <v>No</v>
      </c>
      <c r="AO352" s="13" t="str">
        <f>IF(Table24[[#This Row],[Time of Inital Call]]="","",IFERROR(MROUND(Table24[[#This Row],[Time of Inital Call]],"1:00"),""))</f>
        <v/>
      </c>
      <c r="AP352" s="19" t="str">
        <f>IF(Table24[[#This Row],[Date of Call]]="","",TEXT(Table24[[#This Row],[Date of Call]],"dddd"))</f>
        <v/>
      </c>
      <c r="AQ352" s="19" t="str">
        <f>IFERROR(VLOOKUP(Table24[[#This Row],[Residence Zip Code]],Table27[],3,FALSE),"")</f>
        <v/>
      </c>
    </row>
    <row r="353" spans="1:43" x14ac:dyDescent="0.25">
      <c r="A353" s="10"/>
      <c r="C353" s="10"/>
      <c r="D353" s="11"/>
      <c r="E353" s="12"/>
      <c r="F353" s="12"/>
      <c r="G353" s="12"/>
      <c r="H353" s="10"/>
      <c r="I353" s="12"/>
      <c r="J353" s="12"/>
      <c r="K353" s="12"/>
      <c r="L353" s="12"/>
      <c r="M353" s="16"/>
      <c r="N353" s="18"/>
      <c r="O353" s="13"/>
      <c r="P353" s="13"/>
      <c r="Q353" s="13"/>
      <c r="R353" s="18"/>
      <c r="S353" s="13"/>
      <c r="T353" s="13"/>
      <c r="U353" s="10"/>
      <c r="V353" s="2"/>
      <c r="X353" s="13"/>
      <c r="Y353" s="3"/>
      <c r="Z353" s="3"/>
      <c r="AA353" s="12"/>
      <c r="AB353" s="10"/>
      <c r="AC353" s="10"/>
      <c r="AD353" s="10"/>
      <c r="AE353" s="10"/>
      <c r="AI353" s="35"/>
      <c r="AJ353"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53" s="19" t="str">
        <f>IFERROR(IF(OR(TRIM(Table24[[#This Row],[DOB]])="",TRIM(Table24[[#This Row],[Date of Call]])=""),"Cannot be calculated",DATEDIF(Table24[[#This Row],[DOB]],Table24[[#This Row],[Date of Call]],"Y")),"Cannot be calculated")</f>
        <v>Cannot be calculated</v>
      </c>
      <c r="AL353"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53" s="19">
        <f>IFERROR(DATEDIF(Table24[[#This Row],[Date of Call]],Table24[[#This Row],[Follow-up Date]],"D"),"Cannot be calculated")</f>
        <v>0</v>
      </c>
      <c r="AN353" s="19" t="str">
        <f>IF(OR(Table24[[#This Row],[Client Age]]&lt;18,Table24[[#This Row],[If client DOB unknown, is client under 18?]]="Yes"),"Yes","No")</f>
        <v>No</v>
      </c>
      <c r="AO353" s="13" t="str">
        <f>IF(Table24[[#This Row],[Time of Inital Call]]="","",IFERROR(MROUND(Table24[[#This Row],[Time of Inital Call]],"1:00"),""))</f>
        <v/>
      </c>
      <c r="AP353" s="19" t="str">
        <f>IF(Table24[[#This Row],[Date of Call]]="","",TEXT(Table24[[#This Row],[Date of Call]],"dddd"))</f>
        <v/>
      </c>
      <c r="AQ353" s="19" t="str">
        <f>IFERROR(VLOOKUP(Table24[[#This Row],[Residence Zip Code]],Table27[],3,FALSE),"")</f>
        <v/>
      </c>
    </row>
    <row r="354" spans="1:43" x14ac:dyDescent="0.25">
      <c r="A354" s="10"/>
      <c r="C354" s="10"/>
      <c r="D354" s="11"/>
      <c r="E354" s="12"/>
      <c r="F354" s="12"/>
      <c r="G354" s="12"/>
      <c r="H354" s="10"/>
      <c r="I354" s="12"/>
      <c r="J354" s="12"/>
      <c r="K354" s="12"/>
      <c r="L354" s="12"/>
      <c r="M354" s="16"/>
      <c r="N354" s="18"/>
      <c r="O354" s="13"/>
      <c r="P354" s="13"/>
      <c r="Q354" s="13"/>
      <c r="R354" s="18"/>
      <c r="S354" s="13"/>
      <c r="T354" s="13"/>
      <c r="U354" s="10"/>
      <c r="V354" s="2"/>
      <c r="X354" s="13"/>
      <c r="Y354" s="3"/>
      <c r="Z354" s="3"/>
      <c r="AA354" s="12"/>
      <c r="AB354" s="10"/>
      <c r="AC354" s="10"/>
      <c r="AD354" s="10"/>
      <c r="AE354" s="10"/>
      <c r="AI354" s="35"/>
      <c r="AJ354"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54" s="19" t="str">
        <f>IFERROR(IF(OR(TRIM(Table24[[#This Row],[DOB]])="",TRIM(Table24[[#This Row],[Date of Call]])=""),"Cannot be calculated",DATEDIF(Table24[[#This Row],[DOB]],Table24[[#This Row],[Date of Call]],"Y")),"Cannot be calculated")</f>
        <v>Cannot be calculated</v>
      </c>
      <c r="AL354"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54" s="19">
        <f>IFERROR(DATEDIF(Table24[[#This Row],[Date of Call]],Table24[[#This Row],[Follow-up Date]],"D"),"Cannot be calculated")</f>
        <v>0</v>
      </c>
      <c r="AN354" s="19" t="str">
        <f>IF(OR(Table24[[#This Row],[Client Age]]&lt;18,Table24[[#This Row],[If client DOB unknown, is client under 18?]]="Yes"),"Yes","No")</f>
        <v>No</v>
      </c>
      <c r="AO354" s="13" t="str">
        <f>IF(Table24[[#This Row],[Time of Inital Call]]="","",IFERROR(MROUND(Table24[[#This Row],[Time of Inital Call]],"1:00"),""))</f>
        <v/>
      </c>
      <c r="AP354" s="19" t="str">
        <f>IF(Table24[[#This Row],[Date of Call]]="","",TEXT(Table24[[#This Row],[Date of Call]],"dddd"))</f>
        <v/>
      </c>
      <c r="AQ354" s="19" t="str">
        <f>IFERROR(VLOOKUP(Table24[[#This Row],[Residence Zip Code]],Table27[],3,FALSE),"")</f>
        <v/>
      </c>
    </row>
    <row r="355" spans="1:43" x14ac:dyDescent="0.25">
      <c r="A355" s="10"/>
      <c r="C355" s="10"/>
      <c r="D355" s="11"/>
      <c r="E355" s="12"/>
      <c r="F355" s="12"/>
      <c r="G355" s="12"/>
      <c r="H355" s="10"/>
      <c r="I355" s="12"/>
      <c r="J355" s="12"/>
      <c r="K355" s="12"/>
      <c r="L355" s="12"/>
      <c r="M355" s="16"/>
      <c r="N355" s="18"/>
      <c r="O355" s="13"/>
      <c r="P355" s="13"/>
      <c r="Q355" s="13"/>
      <c r="R355" s="18"/>
      <c r="S355" s="13"/>
      <c r="T355" s="13"/>
      <c r="U355" s="10"/>
      <c r="V355" s="2"/>
      <c r="X355" s="13"/>
      <c r="Y355" s="3"/>
      <c r="Z355" s="3"/>
      <c r="AA355" s="12"/>
      <c r="AB355" s="10"/>
      <c r="AC355" s="10"/>
      <c r="AD355" s="10"/>
      <c r="AE355" s="10"/>
      <c r="AI355" s="35"/>
      <c r="AJ355"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55" s="19" t="str">
        <f>IFERROR(IF(OR(TRIM(Table24[[#This Row],[DOB]])="",TRIM(Table24[[#This Row],[Date of Call]])=""),"Cannot be calculated",DATEDIF(Table24[[#This Row],[DOB]],Table24[[#This Row],[Date of Call]],"Y")),"Cannot be calculated")</f>
        <v>Cannot be calculated</v>
      </c>
      <c r="AL355"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55" s="19">
        <f>IFERROR(DATEDIF(Table24[[#This Row],[Date of Call]],Table24[[#This Row],[Follow-up Date]],"D"),"Cannot be calculated")</f>
        <v>0</v>
      </c>
      <c r="AN355" s="19" t="str">
        <f>IF(OR(Table24[[#This Row],[Client Age]]&lt;18,Table24[[#This Row],[If client DOB unknown, is client under 18?]]="Yes"),"Yes","No")</f>
        <v>No</v>
      </c>
      <c r="AO355" s="13" t="str">
        <f>IF(Table24[[#This Row],[Time of Inital Call]]="","",IFERROR(MROUND(Table24[[#This Row],[Time of Inital Call]],"1:00"),""))</f>
        <v/>
      </c>
      <c r="AP355" s="19" t="str">
        <f>IF(Table24[[#This Row],[Date of Call]]="","",TEXT(Table24[[#This Row],[Date of Call]],"dddd"))</f>
        <v/>
      </c>
      <c r="AQ355" s="19" t="str">
        <f>IFERROR(VLOOKUP(Table24[[#This Row],[Residence Zip Code]],Table27[],3,FALSE),"")</f>
        <v/>
      </c>
    </row>
    <row r="356" spans="1:43" x14ac:dyDescent="0.25">
      <c r="A356" s="10"/>
      <c r="C356" s="10"/>
      <c r="D356" s="11"/>
      <c r="E356" s="12"/>
      <c r="F356" s="12"/>
      <c r="G356" s="12"/>
      <c r="H356" s="10"/>
      <c r="I356" s="12"/>
      <c r="J356" s="12"/>
      <c r="K356" s="12"/>
      <c r="L356" s="12"/>
      <c r="M356" s="16"/>
      <c r="N356" s="18"/>
      <c r="O356" s="13"/>
      <c r="P356" s="13"/>
      <c r="Q356" s="13"/>
      <c r="R356" s="18"/>
      <c r="S356" s="13"/>
      <c r="T356" s="13"/>
      <c r="U356" s="10"/>
      <c r="V356" s="2"/>
      <c r="X356" s="13"/>
      <c r="Y356" s="3"/>
      <c r="Z356" s="3"/>
      <c r="AA356" s="12"/>
      <c r="AB356" s="10"/>
      <c r="AC356" s="10"/>
      <c r="AD356" s="10"/>
      <c r="AE356" s="10"/>
      <c r="AI356" s="35"/>
      <c r="AJ356"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56" s="19" t="str">
        <f>IFERROR(IF(OR(TRIM(Table24[[#This Row],[DOB]])="",TRIM(Table24[[#This Row],[Date of Call]])=""),"Cannot be calculated",DATEDIF(Table24[[#This Row],[DOB]],Table24[[#This Row],[Date of Call]],"Y")),"Cannot be calculated")</f>
        <v>Cannot be calculated</v>
      </c>
      <c r="AL356"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56" s="19">
        <f>IFERROR(DATEDIF(Table24[[#This Row],[Date of Call]],Table24[[#This Row],[Follow-up Date]],"D"),"Cannot be calculated")</f>
        <v>0</v>
      </c>
      <c r="AN356" s="19" t="str">
        <f>IF(OR(Table24[[#This Row],[Client Age]]&lt;18,Table24[[#This Row],[If client DOB unknown, is client under 18?]]="Yes"),"Yes","No")</f>
        <v>No</v>
      </c>
      <c r="AO356" s="13" t="str">
        <f>IF(Table24[[#This Row],[Time of Inital Call]]="","",IFERROR(MROUND(Table24[[#This Row],[Time of Inital Call]],"1:00"),""))</f>
        <v/>
      </c>
      <c r="AP356" s="19" t="str">
        <f>IF(Table24[[#This Row],[Date of Call]]="","",TEXT(Table24[[#This Row],[Date of Call]],"dddd"))</f>
        <v/>
      </c>
      <c r="AQ356" s="19" t="str">
        <f>IFERROR(VLOOKUP(Table24[[#This Row],[Residence Zip Code]],Table27[],3,FALSE),"")</f>
        <v/>
      </c>
    </row>
    <row r="357" spans="1:43" x14ac:dyDescent="0.25">
      <c r="A357" s="10"/>
      <c r="C357" s="10"/>
      <c r="D357" s="11"/>
      <c r="E357" s="12"/>
      <c r="F357" s="12"/>
      <c r="G357" s="12"/>
      <c r="H357" s="10"/>
      <c r="I357" s="12"/>
      <c r="J357" s="12"/>
      <c r="K357" s="12"/>
      <c r="L357" s="12"/>
      <c r="M357" s="16"/>
      <c r="N357" s="18"/>
      <c r="O357" s="13"/>
      <c r="P357" s="13"/>
      <c r="Q357" s="13"/>
      <c r="R357" s="18"/>
      <c r="S357" s="13"/>
      <c r="T357" s="13"/>
      <c r="U357" s="10"/>
      <c r="V357" s="2"/>
      <c r="X357" s="13"/>
      <c r="Y357" s="3"/>
      <c r="Z357" s="3"/>
      <c r="AA357" s="12"/>
      <c r="AB357" s="10"/>
      <c r="AC357" s="10"/>
      <c r="AD357" s="10"/>
      <c r="AE357" s="10"/>
      <c r="AI357" s="35"/>
      <c r="AJ357"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57" s="19" t="str">
        <f>IFERROR(IF(OR(TRIM(Table24[[#This Row],[DOB]])="",TRIM(Table24[[#This Row],[Date of Call]])=""),"Cannot be calculated",DATEDIF(Table24[[#This Row],[DOB]],Table24[[#This Row],[Date of Call]],"Y")),"Cannot be calculated")</f>
        <v>Cannot be calculated</v>
      </c>
      <c r="AL357"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57" s="19">
        <f>IFERROR(DATEDIF(Table24[[#This Row],[Date of Call]],Table24[[#This Row],[Follow-up Date]],"D"),"Cannot be calculated")</f>
        <v>0</v>
      </c>
      <c r="AN357" s="19" t="str">
        <f>IF(OR(Table24[[#This Row],[Client Age]]&lt;18,Table24[[#This Row],[If client DOB unknown, is client under 18?]]="Yes"),"Yes","No")</f>
        <v>No</v>
      </c>
      <c r="AO357" s="13" t="str">
        <f>IF(Table24[[#This Row],[Time of Inital Call]]="","",IFERROR(MROUND(Table24[[#This Row],[Time of Inital Call]],"1:00"),""))</f>
        <v/>
      </c>
      <c r="AP357" s="19" t="str">
        <f>IF(Table24[[#This Row],[Date of Call]]="","",TEXT(Table24[[#This Row],[Date of Call]],"dddd"))</f>
        <v/>
      </c>
      <c r="AQ357" s="19" t="str">
        <f>IFERROR(VLOOKUP(Table24[[#This Row],[Residence Zip Code]],Table27[],3,FALSE),"")</f>
        <v/>
      </c>
    </row>
    <row r="358" spans="1:43" x14ac:dyDescent="0.25">
      <c r="A358" s="10"/>
      <c r="C358" s="10"/>
      <c r="D358" s="11"/>
      <c r="E358" s="12"/>
      <c r="F358" s="12"/>
      <c r="G358" s="12"/>
      <c r="H358" s="10"/>
      <c r="I358" s="12"/>
      <c r="J358" s="12"/>
      <c r="K358" s="12"/>
      <c r="L358" s="12"/>
      <c r="M358" s="16"/>
      <c r="N358" s="18"/>
      <c r="O358" s="13"/>
      <c r="P358" s="13"/>
      <c r="Q358" s="13"/>
      <c r="R358" s="18"/>
      <c r="S358" s="13"/>
      <c r="T358" s="13"/>
      <c r="U358" s="10"/>
      <c r="V358" s="2"/>
      <c r="X358" s="13"/>
      <c r="Y358" s="3"/>
      <c r="Z358" s="3"/>
      <c r="AA358" s="12"/>
      <c r="AB358" s="10"/>
      <c r="AC358" s="10"/>
      <c r="AD358" s="10"/>
      <c r="AE358" s="10"/>
      <c r="AI358" s="35"/>
      <c r="AJ358"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58" s="19" t="str">
        <f>IFERROR(IF(OR(TRIM(Table24[[#This Row],[DOB]])="",TRIM(Table24[[#This Row],[Date of Call]])=""),"Cannot be calculated",DATEDIF(Table24[[#This Row],[DOB]],Table24[[#This Row],[Date of Call]],"Y")),"Cannot be calculated")</f>
        <v>Cannot be calculated</v>
      </c>
      <c r="AL358"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58" s="19">
        <f>IFERROR(DATEDIF(Table24[[#This Row],[Date of Call]],Table24[[#This Row],[Follow-up Date]],"D"),"Cannot be calculated")</f>
        <v>0</v>
      </c>
      <c r="AN358" s="19" t="str">
        <f>IF(OR(Table24[[#This Row],[Client Age]]&lt;18,Table24[[#This Row],[If client DOB unknown, is client under 18?]]="Yes"),"Yes","No")</f>
        <v>No</v>
      </c>
      <c r="AO358" s="13" t="str">
        <f>IF(Table24[[#This Row],[Time of Inital Call]]="","",IFERROR(MROUND(Table24[[#This Row],[Time of Inital Call]],"1:00"),""))</f>
        <v/>
      </c>
      <c r="AP358" s="19" t="str">
        <f>IF(Table24[[#This Row],[Date of Call]]="","",TEXT(Table24[[#This Row],[Date of Call]],"dddd"))</f>
        <v/>
      </c>
      <c r="AQ358" s="19" t="str">
        <f>IFERROR(VLOOKUP(Table24[[#This Row],[Residence Zip Code]],Table27[],3,FALSE),"")</f>
        <v/>
      </c>
    </row>
    <row r="359" spans="1:43" x14ac:dyDescent="0.25">
      <c r="A359" s="10"/>
      <c r="C359" s="10"/>
      <c r="D359" s="11"/>
      <c r="E359" s="12"/>
      <c r="F359" s="12"/>
      <c r="G359" s="12"/>
      <c r="H359" s="10"/>
      <c r="I359" s="12"/>
      <c r="J359" s="12"/>
      <c r="K359" s="12"/>
      <c r="L359" s="12"/>
      <c r="M359" s="16"/>
      <c r="N359" s="18"/>
      <c r="O359" s="13"/>
      <c r="P359" s="13"/>
      <c r="Q359" s="13"/>
      <c r="R359" s="18"/>
      <c r="S359" s="13"/>
      <c r="T359" s="13"/>
      <c r="U359" s="10"/>
      <c r="V359" s="2"/>
      <c r="X359" s="13"/>
      <c r="Y359" s="3"/>
      <c r="Z359" s="3"/>
      <c r="AA359" s="12"/>
      <c r="AB359" s="10"/>
      <c r="AC359" s="10"/>
      <c r="AD359" s="10"/>
      <c r="AE359" s="10"/>
      <c r="AI359" s="35"/>
      <c r="AJ359"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59" s="19" t="str">
        <f>IFERROR(IF(OR(TRIM(Table24[[#This Row],[DOB]])="",TRIM(Table24[[#This Row],[Date of Call]])=""),"Cannot be calculated",DATEDIF(Table24[[#This Row],[DOB]],Table24[[#This Row],[Date of Call]],"Y")),"Cannot be calculated")</f>
        <v>Cannot be calculated</v>
      </c>
      <c r="AL359"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59" s="19">
        <f>IFERROR(DATEDIF(Table24[[#This Row],[Date of Call]],Table24[[#This Row],[Follow-up Date]],"D"),"Cannot be calculated")</f>
        <v>0</v>
      </c>
      <c r="AN359" s="19" t="str">
        <f>IF(OR(Table24[[#This Row],[Client Age]]&lt;18,Table24[[#This Row],[If client DOB unknown, is client under 18?]]="Yes"),"Yes","No")</f>
        <v>No</v>
      </c>
      <c r="AO359" s="13" t="str">
        <f>IF(Table24[[#This Row],[Time of Inital Call]]="","",IFERROR(MROUND(Table24[[#This Row],[Time of Inital Call]],"1:00"),""))</f>
        <v/>
      </c>
      <c r="AP359" s="19" t="str">
        <f>IF(Table24[[#This Row],[Date of Call]]="","",TEXT(Table24[[#This Row],[Date of Call]],"dddd"))</f>
        <v/>
      </c>
      <c r="AQ359" s="19" t="str">
        <f>IFERROR(VLOOKUP(Table24[[#This Row],[Residence Zip Code]],Table27[],3,FALSE),"")</f>
        <v/>
      </c>
    </row>
    <row r="360" spans="1:43" x14ac:dyDescent="0.25">
      <c r="A360" s="10"/>
      <c r="C360" s="10"/>
      <c r="D360" s="11"/>
      <c r="E360" s="12"/>
      <c r="F360" s="12"/>
      <c r="G360" s="12"/>
      <c r="H360" s="10"/>
      <c r="I360" s="12"/>
      <c r="J360" s="12"/>
      <c r="K360" s="12"/>
      <c r="L360" s="12"/>
      <c r="M360" s="16"/>
      <c r="N360" s="18"/>
      <c r="O360" s="13"/>
      <c r="P360" s="13"/>
      <c r="Q360" s="13"/>
      <c r="R360" s="18"/>
      <c r="S360" s="13"/>
      <c r="T360" s="13"/>
      <c r="U360" s="10"/>
      <c r="V360" s="2"/>
      <c r="X360" s="13"/>
      <c r="Y360" s="3"/>
      <c r="Z360" s="3"/>
      <c r="AA360" s="12"/>
      <c r="AB360" s="10"/>
      <c r="AC360" s="10"/>
      <c r="AD360" s="10"/>
      <c r="AE360" s="10"/>
      <c r="AI360" s="35"/>
      <c r="AJ360"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60" s="19" t="str">
        <f>IFERROR(IF(OR(TRIM(Table24[[#This Row],[DOB]])="",TRIM(Table24[[#This Row],[Date of Call]])=""),"Cannot be calculated",DATEDIF(Table24[[#This Row],[DOB]],Table24[[#This Row],[Date of Call]],"Y")),"Cannot be calculated")</f>
        <v>Cannot be calculated</v>
      </c>
      <c r="AL360"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60" s="19">
        <f>IFERROR(DATEDIF(Table24[[#This Row],[Date of Call]],Table24[[#This Row],[Follow-up Date]],"D"),"Cannot be calculated")</f>
        <v>0</v>
      </c>
      <c r="AN360" s="19" t="str">
        <f>IF(OR(Table24[[#This Row],[Client Age]]&lt;18,Table24[[#This Row],[If client DOB unknown, is client under 18?]]="Yes"),"Yes","No")</f>
        <v>No</v>
      </c>
      <c r="AO360" s="13" t="str">
        <f>IF(Table24[[#This Row],[Time of Inital Call]]="","",IFERROR(MROUND(Table24[[#This Row],[Time of Inital Call]],"1:00"),""))</f>
        <v/>
      </c>
      <c r="AP360" s="19" t="str">
        <f>IF(Table24[[#This Row],[Date of Call]]="","",TEXT(Table24[[#This Row],[Date of Call]],"dddd"))</f>
        <v/>
      </c>
      <c r="AQ360" s="19" t="str">
        <f>IFERROR(VLOOKUP(Table24[[#This Row],[Residence Zip Code]],Table27[],3,FALSE),"")</f>
        <v/>
      </c>
    </row>
    <row r="361" spans="1:43" x14ac:dyDescent="0.25">
      <c r="A361" s="10"/>
      <c r="C361" s="10"/>
      <c r="D361" s="11"/>
      <c r="E361" s="12"/>
      <c r="F361" s="12"/>
      <c r="G361" s="12"/>
      <c r="H361" s="10"/>
      <c r="I361" s="12"/>
      <c r="J361" s="12"/>
      <c r="K361" s="12"/>
      <c r="L361" s="12"/>
      <c r="M361" s="16"/>
      <c r="N361" s="18"/>
      <c r="O361" s="13"/>
      <c r="P361" s="13"/>
      <c r="Q361" s="13"/>
      <c r="R361" s="18"/>
      <c r="S361" s="13"/>
      <c r="T361" s="13"/>
      <c r="U361" s="10"/>
      <c r="V361" s="2"/>
      <c r="X361" s="13"/>
      <c r="Y361" s="3"/>
      <c r="Z361" s="3"/>
      <c r="AA361" s="12"/>
      <c r="AB361" s="10"/>
      <c r="AC361" s="10"/>
      <c r="AD361" s="10"/>
      <c r="AE361" s="10"/>
      <c r="AI361" s="35"/>
      <c r="AJ361"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61" s="19" t="str">
        <f>IFERROR(IF(OR(TRIM(Table24[[#This Row],[DOB]])="",TRIM(Table24[[#This Row],[Date of Call]])=""),"Cannot be calculated",DATEDIF(Table24[[#This Row],[DOB]],Table24[[#This Row],[Date of Call]],"Y")),"Cannot be calculated")</f>
        <v>Cannot be calculated</v>
      </c>
      <c r="AL361"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61" s="19">
        <f>IFERROR(DATEDIF(Table24[[#This Row],[Date of Call]],Table24[[#This Row],[Follow-up Date]],"D"),"Cannot be calculated")</f>
        <v>0</v>
      </c>
      <c r="AN361" s="19" t="str">
        <f>IF(OR(Table24[[#This Row],[Client Age]]&lt;18,Table24[[#This Row],[If client DOB unknown, is client under 18?]]="Yes"),"Yes","No")</f>
        <v>No</v>
      </c>
      <c r="AO361" s="13" t="str">
        <f>IF(Table24[[#This Row],[Time of Inital Call]]="","",IFERROR(MROUND(Table24[[#This Row],[Time of Inital Call]],"1:00"),""))</f>
        <v/>
      </c>
      <c r="AP361" s="19" t="str">
        <f>IF(Table24[[#This Row],[Date of Call]]="","",TEXT(Table24[[#This Row],[Date of Call]],"dddd"))</f>
        <v/>
      </c>
      <c r="AQ361" s="19" t="str">
        <f>IFERROR(VLOOKUP(Table24[[#This Row],[Residence Zip Code]],Table27[],3,FALSE),"")</f>
        <v/>
      </c>
    </row>
    <row r="362" spans="1:43" x14ac:dyDescent="0.25">
      <c r="A362" s="10"/>
      <c r="C362" s="10"/>
      <c r="D362" s="11"/>
      <c r="E362" s="12"/>
      <c r="F362" s="12"/>
      <c r="G362" s="12"/>
      <c r="H362" s="10"/>
      <c r="I362" s="12"/>
      <c r="J362" s="12"/>
      <c r="K362" s="12"/>
      <c r="L362" s="12"/>
      <c r="M362" s="16"/>
      <c r="N362" s="18"/>
      <c r="O362" s="13"/>
      <c r="P362" s="13"/>
      <c r="Q362" s="13"/>
      <c r="R362" s="18"/>
      <c r="S362" s="13"/>
      <c r="T362" s="13"/>
      <c r="U362" s="10"/>
      <c r="V362" s="2"/>
      <c r="X362" s="13"/>
      <c r="Y362" s="3"/>
      <c r="Z362" s="3"/>
      <c r="AA362" s="12"/>
      <c r="AB362" s="10"/>
      <c r="AC362" s="10"/>
      <c r="AD362" s="10"/>
      <c r="AE362" s="10"/>
      <c r="AI362" s="35"/>
      <c r="AJ362"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62" s="19" t="str">
        <f>IFERROR(IF(OR(TRIM(Table24[[#This Row],[DOB]])="",TRIM(Table24[[#This Row],[Date of Call]])=""),"Cannot be calculated",DATEDIF(Table24[[#This Row],[DOB]],Table24[[#This Row],[Date of Call]],"Y")),"Cannot be calculated")</f>
        <v>Cannot be calculated</v>
      </c>
      <c r="AL362"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62" s="19">
        <f>IFERROR(DATEDIF(Table24[[#This Row],[Date of Call]],Table24[[#This Row],[Follow-up Date]],"D"),"Cannot be calculated")</f>
        <v>0</v>
      </c>
      <c r="AN362" s="19" t="str">
        <f>IF(OR(Table24[[#This Row],[Client Age]]&lt;18,Table24[[#This Row],[If client DOB unknown, is client under 18?]]="Yes"),"Yes","No")</f>
        <v>No</v>
      </c>
      <c r="AO362" s="13" t="str">
        <f>IF(Table24[[#This Row],[Time of Inital Call]]="","",IFERROR(MROUND(Table24[[#This Row],[Time of Inital Call]],"1:00"),""))</f>
        <v/>
      </c>
      <c r="AP362" s="19" t="str">
        <f>IF(Table24[[#This Row],[Date of Call]]="","",TEXT(Table24[[#This Row],[Date of Call]],"dddd"))</f>
        <v/>
      </c>
      <c r="AQ362" s="19" t="str">
        <f>IFERROR(VLOOKUP(Table24[[#This Row],[Residence Zip Code]],Table27[],3,FALSE),"")</f>
        <v/>
      </c>
    </row>
    <row r="363" spans="1:43" x14ac:dyDescent="0.25">
      <c r="A363" s="10"/>
      <c r="C363" s="10"/>
      <c r="D363" s="11"/>
      <c r="E363" s="12"/>
      <c r="F363" s="12"/>
      <c r="G363" s="12"/>
      <c r="H363" s="10"/>
      <c r="I363" s="12"/>
      <c r="J363" s="12"/>
      <c r="K363" s="12"/>
      <c r="L363" s="12"/>
      <c r="M363" s="16"/>
      <c r="N363" s="18"/>
      <c r="O363" s="13"/>
      <c r="P363" s="13"/>
      <c r="Q363" s="13"/>
      <c r="R363" s="18"/>
      <c r="S363" s="13"/>
      <c r="T363" s="13"/>
      <c r="U363" s="10"/>
      <c r="V363" s="2"/>
      <c r="X363" s="13"/>
      <c r="Y363" s="3"/>
      <c r="Z363" s="3"/>
      <c r="AA363" s="12"/>
      <c r="AB363" s="10"/>
      <c r="AC363" s="10"/>
      <c r="AD363" s="10"/>
      <c r="AE363" s="10"/>
      <c r="AI363" s="35"/>
      <c r="AJ363"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63" s="19" t="str">
        <f>IFERROR(IF(OR(TRIM(Table24[[#This Row],[DOB]])="",TRIM(Table24[[#This Row],[Date of Call]])=""),"Cannot be calculated",DATEDIF(Table24[[#This Row],[DOB]],Table24[[#This Row],[Date of Call]],"Y")),"Cannot be calculated")</f>
        <v>Cannot be calculated</v>
      </c>
      <c r="AL363"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63" s="19">
        <f>IFERROR(DATEDIF(Table24[[#This Row],[Date of Call]],Table24[[#This Row],[Follow-up Date]],"D"),"Cannot be calculated")</f>
        <v>0</v>
      </c>
      <c r="AN363" s="19" t="str">
        <f>IF(OR(Table24[[#This Row],[Client Age]]&lt;18,Table24[[#This Row],[If client DOB unknown, is client under 18?]]="Yes"),"Yes","No")</f>
        <v>No</v>
      </c>
      <c r="AO363" s="13" t="str">
        <f>IF(Table24[[#This Row],[Time of Inital Call]]="","",IFERROR(MROUND(Table24[[#This Row],[Time of Inital Call]],"1:00"),""))</f>
        <v/>
      </c>
      <c r="AP363" s="19" t="str">
        <f>IF(Table24[[#This Row],[Date of Call]]="","",TEXT(Table24[[#This Row],[Date of Call]],"dddd"))</f>
        <v/>
      </c>
      <c r="AQ363" s="19" t="str">
        <f>IFERROR(VLOOKUP(Table24[[#This Row],[Residence Zip Code]],Table27[],3,FALSE),"")</f>
        <v/>
      </c>
    </row>
    <row r="364" spans="1:43" x14ac:dyDescent="0.25">
      <c r="A364" s="10"/>
      <c r="C364" s="10"/>
      <c r="D364" s="11"/>
      <c r="E364" s="12"/>
      <c r="F364" s="12"/>
      <c r="G364" s="12"/>
      <c r="H364" s="10"/>
      <c r="I364" s="12"/>
      <c r="J364" s="12"/>
      <c r="K364" s="12"/>
      <c r="L364" s="12"/>
      <c r="M364" s="16"/>
      <c r="N364" s="18"/>
      <c r="O364" s="13"/>
      <c r="P364" s="13"/>
      <c r="Q364" s="13"/>
      <c r="R364" s="18"/>
      <c r="S364" s="13"/>
      <c r="T364" s="13"/>
      <c r="U364" s="10"/>
      <c r="V364" s="2"/>
      <c r="X364" s="13"/>
      <c r="Y364" s="3"/>
      <c r="Z364" s="3"/>
      <c r="AA364" s="12"/>
      <c r="AB364" s="10"/>
      <c r="AC364" s="10"/>
      <c r="AD364" s="10"/>
      <c r="AE364" s="10"/>
      <c r="AI364" s="35"/>
      <c r="AJ364"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64" s="19" t="str">
        <f>IFERROR(IF(OR(TRIM(Table24[[#This Row],[DOB]])="",TRIM(Table24[[#This Row],[Date of Call]])=""),"Cannot be calculated",DATEDIF(Table24[[#This Row],[DOB]],Table24[[#This Row],[Date of Call]],"Y")),"Cannot be calculated")</f>
        <v>Cannot be calculated</v>
      </c>
      <c r="AL364"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64" s="19">
        <f>IFERROR(DATEDIF(Table24[[#This Row],[Date of Call]],Table24[[#This Row],[Follow-up Date]],"D"),"Cannot be calculated")</f>
        <v>0</v>
      </c>
      <c r="AN364" s="19" t="str">
        <f>IF(OR(Table24[[#This Row],[Client Age]]&lt;18,Table24[[#This Row],[If client DOB unknown, is client under 18?]]="Yes"),"Yes","No")</f>
        <v>No</v>
      </c>
      <c r="AO364" s="13" t="str">
        <f>IF(Table24[[#This Row],[Time of Inital Call]]="","",IFERROR(MROUND(Table24[[#This Row],[Time of Inital Call]],"1:00"),""))</f>
        <v/>
      </c>
      <c r="AP364" s="19" t="str">
        <f>IF(Table24[[#This Row],[Date of Call]]="","",TEXT(Table24[[#This Row],[Date of Call]],"dddd"))</f>
        <v/>
      </c>
      <c r="AQ364" s="19" t="str">
        <f>IFERROR(VLOOKUP(Table24[[#This Row],[Residence Zip Code]],Table27[],3,FALSE),"")</f>
        <v/>
      </c>
    </row>
    <row r="365" spans="1:43" x14ac:dyDescent="0.25">
      <c r="A365" s="10"/>
      <c r="C365" s="10"/>
      <c r="D365" s="11"/>
      <c r="E365" s="12"/>
      <c r="F365" s="12"/>
      <c r="G365" s="12"/>
      <c r="H365" s="10"/>
      <c r="I365" s="12"/>
      <c r="J365" s="12"/>
      <c r="K365" s="12"/>
      <c r="L365" s="12"/>
      <c r="M365" s="16"/>
      <c r="N365" s="18"/>
      <c r="O365" s="13"/>
      <c r="P365" s="13"/>
      <c r="Q365" s="13"/>
      <c r="R365" s="18"/>
      <c r="S365" s="13"/>
      <c r="T365" s="13"/>
      <c r="U365" s="10"/>
      <c r="V365" s="2"/>
      <c r="X365" s="13"/>
      <c r="Y365" s="3"/>
      <c r="Z365" s="3"/>
      <c r="AA365" s="12"/>
      <c r="AB365" s="10"/>
      <c r="AC365" s="10"/>
      <c r="AD365" s="10"/>
      <c r="AE365" s="10"/>
      <c r="AI365" s="35"/>
      <c r="AJ365"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65" s="19" t="str">
        <f>IFERROR(IF(OR(TRIM(Table24[[#This Row],[DOB]])="",TRIM(Table24[[#This Row],[Date of Call]])=""),"Cannot be calculated",DATEDIF(Table24[[#This Row],[DOB]],Table24[[#This Row],[Date of Call]],"Y")),"Cannot be calculated")</f>
        <v>Cannot be calculated</v>
      </c>
      <c r="AL365"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65" s="19">
        <f>IFERROR(DATEDIF(Table24[[#This Row],[Date of Call]],Table24[[#This Row],[Follow-up Date]],"D"),"Cannot be calculated")</f>
        <v>0</v>
      </c>
      <c r="AN365" s="19" t="str">
        <f>IF(OR(Table24[[#This Row],[Client Age]]&lt;18,Table24[[#This Row],[If client DOB unknown, is client under 18?]]="Yes"),"Yes","No")</f>
        <v>No</v>
      </c>
      <c r="AO365" s="13" t="str">
        <f>IF(Table24[[#This Row],[Time of Inital Call]]="","",IFERROR(MROUND(Table24[[#This Row],[Time of Inital Call]],"1:00"),""))</f>
        <v/>
      </c>
      <c r="AP365" s="19" t="str">
        <f>IF(Table24[[#This Row],[Date of Call]]="","",TEXT(Table24[[#This Row],[Date of Call]],"dddd"))</f>
        <v/>
      </c>
      <c r="AQ365" s="19" t="str">
        <f>IFERROR(VLOOKUP(Table24[[#This Row],[Residence Zip Code]],Table27[],3,FALSE),"")</f>
        <v/>
      </c>
    </row>
    <row r="366" spans="1:43" x14ac:dyDescent="0.25">
      <c r="A366" s="10"/>
      <c r="C366" s="10"/>
      <c r="D366" s="11"/>
      <c r="E366" s="12"/>
      <c r="F366" s="12"/>
      <c r="G366" s="12"/>
      <c r="H366" s="10"/>
      <c r="I366" s="12"/>
      <c r="J366" s="12"/>
      <c r="K366" s="12"/>
      <c r="L366" s="12"/>
      <c r="M366" s="16"/>
      <c r="N366" s="18"/>
      <c r="O366" s="13"/>
      <c r="P366" s="13"/>
      <c r="Q366" s="13"/>
      <c r="R366" s="18"/>
      <c r="S366" s="13"/>
      <c r="T366" s="13"/>
      <c r="U366" s="10"/>
      <c r="V366" s="2"/>
      <c r="X366" s="13"/>
      <c r="Y366" s="3"/>
      <c r="Z366" s="3"/>
      <c r="AA366" s="12"/>
      <c r="AB366" s="10"/>
      <c r="AC366" s="10"/>
      <c r="AD366" s="10"/>
      <c r="AE366" s="10"/>
      <c r="AI366" s="35"/>
      <c r="AJ366"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66" s="19" t="str">
        <f>IFERROR(IF(OR(TRIM(Table24[[#This Row],[DOB]])="",TRIM(Table24[[#This Row],[Date of Call]])=""),"Cannot be calculated",DATEDIF(Table24[[#This Row],[DOB]],Table24[[#This Row],[Date of Call]],"Y")),"Cannot be calculated")</f>
        <v>Cannot be calculated</v>
      </c>
      <c r="AL366"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66" s="19">
        <f>IFERROR(DATEDIF(Table24[[#This Row],[Date of Call]],Table24[[#This Row],[Follow-up Date]],"D"),"Cannot be calculated")</f>
        <v>0</v>
      </c>
      <c r="AN366" s="19" t="str">
        <f>IF(OR(Table24[[#This Row],[Client Age]]&lt;18,Table24[[#This Row],[If client DOB unknown, is client under 18?]]="Yes"),"Yes","No")</f>
        <v>No</v>
      </c>
      <c r="AO366" s="13" t="str">
        <f>IF(Table24[[#This Row],[Time of Inital Call]]="","",IFERROR(MROUND(Table24[[#This Row],[Time of Inital Call]],"1:00"),""))</f>
        <v/>
      </c>
      <c r="AP366" s="19" t="str">
        <f>IF(Table24[[#This Row],[Date of Call]]="","",TEXT(Table24[[#This Row],[Date of Call]],"dddd"))</f>
        <v/>
      </c>
      <c r="AQ366" s="19" t="str">
        <f>IFERROR(VLOOKUP(Table24[[#This Row],[Residence Zip Code]],Table27[],3,FALSE),"")</f>
        <v/>
      </c>
    </row>
    <row r="367" spans="1:43" x14ac:dyDescent="0.25">
      <c r="A367" s="10"/>
      <c r="C367" s="10"/>
      <c r="D367" s="11"/>
      <c r="E367" s="12"/>
      <c r="F367" s="12"/>
      <c r="G367" s="12"/>
      <c r="H367" s="10"/>
      <c r="I367" s="12"/>
      <c r="J367" s="12"/>
      <c r="K367" s="12"/>
      <c r="L367" s="12"/>
      <c r="M367" s="16"/>
      <c r="N367" s="18"/>
      <c r="O367" s="13"/>
      <c r="P367" s="13"/>
      <c r="Q367" s="13"/>
      <c r="R367" s="18"/>
      <c r="S367" s="13"/>
      <c r="T367" s="13"/>
      <c r="U367" s="10"/>
      <c r="V367" s="2"/>
      <c r="X367" s="13"/>
      <c r="Y367" s="3"/>
      <c r="Z367" s="3"/>
      <c r="AA367" s="12"/>
      <c r="AB367" s="10"/>
      <c r="AC367" s="10"/>
      <c r="AD367" s="10"/>
      <c r="AE367" s="10"/>
      <c r="AI367" s="35"/>
      <c r="AJ367"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67" s="19" t="str">
        <f>IFERROR(IF(OR(TRIM(Table24[[#This Row],[DOB]])="",TRIM(Table24[[#This Row],[Date of Call]])=""),"Cannot be calculated",DATEDIF(Table24[[#This Row],[DOB]],Table24[[#This Row],[Date of Call]],"Y")),"Cannot be calculated")</f>
        <v>Cannot be calculated</v>
      </c>
      <c r="AL367"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67" s="19">
        <f>IFERROR(DATEDIF(Table24[[#This Row],[Date of Call]],Table24[[#This Row],[Follow-up Date]],"D"),"Cannot be calculated")</f>
        <v>0</v>
      </c>
      <c r="AN367" s="19" t="str">
        <f>IF(OR(Table24[[#This Row],[Client Age]]&lt;18,Table24[[#This Row],[If client DOB unknown, is client under 18?]]="Yes"),"Yes","No")</f>
        <v>No</v>
      </c>
      <c r="AO367" s="13" t="str">
        <f>IF(Table24[[#This Row],[Time of Inital Call]]="","",IFERROR(MROUND(Table24[[#This Row],[Time of Inital Call]],"1:00"),""))</f>
        <v/>
      </c>
      <c r="AP367" s="19" t="str">
        <f>IF(Table24[[#This Row],[Date of Call]]="","",TEXT(Table24[[#This Row],[Date of Call]],"dddd"))</f>
        <v/>
      </c>
      <c r="AQ367" s="19" t="str">
        <f>IFERROR(VLOOKUP(Table24[[#This Row],[Residence Zip Code]],Table27[],3,FALSE),"")</f>
        <v/>
      </c>
    </row>
    <row r="368" spans="1:43" x14ac:dyDescent="0.25">
      <c r="A368" s="10"/>
      <c r="C368" s="10"/>
      <c r="D368" s="11"/>
      <c r="E368" s="12"/>
      <c r="F368" s="12"/>
      <c r="G368" s="12"/>
      <c r="H368" s="10"/>
      <c r="I368" s="12"/>
      <c r="J368" s="12"/>
      <c r="K368" s="12"/>
      <c r="L368" s="12"/>
      <c r="M368" s="16"/>
      <c r="N368" s="18"/>
      <c r="O368" s="13"/>
      <c r="P368" s="13"/>
      <c r="Q368" s="13"/>
      <c r="R368" s="18"/>
      <c r="S368" s="13"/>
      <c r="T368" s="13"/>
      <c r="U368" s="10"/>
      <c r="V368" s="2"/>
      <c r="X368" s="13"/>
      <c r="Y368" s="3"/>
      <c r="Z368" s="3"/>
      <c r="AA368" s="12"/>
      <c r="AB368" s="10"/>
      <c r="AC368" s="10"/>
      <c r="AD368" s="10"/>
      <c r="AE368" s="10"/>
      <c r="AI368" s="35"/>
      <c r="AJ368"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68" s="19" t="str">
        <f>IFERROR(IF(OR(TRIM(Table24[[#This Row],[DOB]])="",TRIM(Table24[[#This Row],[Date of Call]])=""),"Cannot be calculated",DATEDIF(Table24[[#This Row],[DOB]],Table24[[#This Row],[Date of Call]],"Y")),"Cannot be calculated")</f>
        <v>Cannot be calculated</v>
      </c>
      <c r="AL368"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68" s="19">
        <f>IFERROR(DATEDIF(Table24[[#This Row],[Date of Call]],Table24[[#This Row],[Follow-up Date]],"D"),"Cannot be calculated")</f>
        <v>0</v>
      </c>
      <c r="AN368" s="19" t="str">
        <f>IF(OR(Table24[[#This Row],[Client Age]]&lt;18,Table24[[#This Row],[If client DOB unknown, is client under 18?]]="Yes"),"Yes","No")</f>
        <v>No</v>
      </c>
      <c r="AO368" s="13" t="str">
        <f>IF(Table24[[#This Row],[Time of Inital Call]]="","",IFERROR(MROUND(Table24[[#This Row],[Time of Inital Call]],"1:00"),""))</f>
        <v/>
      </c>
      <c r="AP368" s="19" t="str">
        <f>IF(Table24[[#This Row],[Date of Call]]="","",TEXT(Table24[[#This Row],[Date of Call]],"dddd"))</f>
        <v/>
      </c>
      <c r="AQ368" s="19" t="str">
        <f>IFERROR(VLOOKUP(Table24[[#This Row],[Residence Zip Code]],Table27[],3,FALSE),"")</f>
        <v/>
      </c>
    </row>
    <row r="369" spans="1:43" x14ac:dyDescent="0.25">
      <c r="A369" s="10"/>
      <c r="C369" s="10"/>
      <c r="D369" s="11"/>
      <c r="E369" s="12"/>
      <c r="F369" s="12"/>
      <c r="G369" s="12"/>
      <c r="H369" s="10"/>
      <c r="I369" s="12"/>
      <c r="J369" s="12"/>
      <c r="K369" s="12"/>
      <c r="L369" s="12"/>
      <c r="M369" s="16"/>
      <c r="N369" s="18"/>
      <c r="O369" s="13"/>
      <c r="P369" s="13"/>
      <c r="Q369" s="13"/>
      <c r="R369" s="18"/>
      <c r="S369" s="13"/>
      <c r="T369" s="13"/>
      <c r="U369" s="10"/>
      <c r="V369" s="2"/>
      <c r="X369" s="13"/>
      <c r="Y369" s="3"/>
      <c r="Z369" s="3"/>
      <c r="AA369" s="12"/>
      <c r="AB369" s="10"/>
      <c r="AC369" s="10"/>
      <c r="AD369" s="10"/>
      <c r="AE369" s="10"/>
      <c r="AI369" s="35"/>
      <c r="AJ369"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69" s="19" t="str">
        <f>IFERROR(IF(OR(TRIM(Table24[[#This Row],[DOB]])="",TRIM(Table24[[#This Row],[Date of Call]])=""),"Cannot be calculated",DATEDIF(Table24[[#This Row],[DOB]],Table24[[#This Row],[Date of Call]],"Y")),"Cannot be calculated")</f>
        <v>Cannot be calculated</v>
      </c>
      <c r="AL369"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69" s="19">
        <f>IFERROR(DATEDIF(Table24[[#This Row],[Date of Call]],Table24[[#This Row],[Follow-up Date]],"D"),"Cannot be calculated")</f>
        <v>0</v>
      </c>
      <c r="AN369" s="19" t="str">
        <f>IF(OR(Table24[[#This Row],[Client Age]]&lt;18,Table24[[#This Row],[If client DOB unknown, is client under 18?]]="Yes"),"Yes","No")</f>
        <v>No</v>
      </c>
      <c r="AO369" s="13" t="str">
        <f>IF(Table24[[#This Row],[Time of Inital Call]]="","",IFERROR(MROUND(Table24[[#This Row],[Time of Inital Call]],"1:00"),""))</f>
        <v/>
      </c>
      <c r="AP369" s="19" t="str">
        <f>IF(Table24[[#This Row],[Date of Call]]="","",TEXT(Table24[[#This Row],[Date of Call]],"dddd"))</f>
        <v/>
      </c>
      <c r="AQ369" s="19" t="str">
        <f>IFERROR(VLOOKUP(Table24[[#This Row],[Residence Zip Code]],Table27[],3,FALSE),"")</f>
        <v/>
      </c>
    </row>
    <row r="370" spans="1:43" x14ac:dyDescent="0.25">
      <c r="A370" s="10"/>
      <c r="C370" s="10"/>
      <c r="D370" s="11"/>
      <c r="E370" s="12"/>
      <c r="F370" s="12"/>
      <c r="G370" s="12"/>
      <c r="H370" s="10"/>
      <c r="I370" s="12"/>
      <c r="J370" s="12"/>
      <c r="K370" s="12"/>
      <c r="L370" s="12"/>
      <c r="M370" s="16"/>
      <c r="N370" s="18"/>
      <c r="O370" s="13"/>
      <c r="P370" s="13"/>
      <c r="Q370" s="13"/>
      <c r="R370" s="18"/>
      <c r="S370" s="13"/>
      <c r="T370" s="13"/>
      <c r="U370" s="10"/>
      <c r="V370" s="2"/>
      <c r="X370" s="13"/>
      <c r="Y370" s="3"/>
      <c r="Z370" s="3"/>
      <c r="AA370" s="12"/>
      <c r="AB370" s="10"/>
      <c r="AC370" s="10"/>
      <c r="AD370" s="10"/>
      <c r="AE370" s="10"/>
      <c r="AI370" s="35"/>
      <c r="AJ370"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70" s="19" t="str">
        <f>IFERROR(IF(OR(TRIM(Table24[[#This Row],[DOB]])="",TRIM(Table24[[#This Row],[Date of Call]])=""),"Cannot be calculated",DATEDIF(Table24[[#This Row],[DOB]],Table24[[#This Row],[Date of Call]],"Y")),"Cannot be calculated")</f>
        <v>Cannot be calculated</v>
      </c>
      <c r="AL370"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70" s="19">
        <f>IFERROR(DATEDIF(Table24[[#This Row],[Date of Call]],Table24[[#This Row],[Follow-up Date]],"D"),"Cannot be calculated")</f>
        <v>0</v>
      </c>
      <c r="AN370" s="19" t="str">
        <f>IF(OR(Table24[[#This Row],[Client Age]]&lt;18,Table24[[#This Row],[If client DOB unknown, is client under 18?]]="Yes"),"Yes","No")</f>
        <v>No</v>
      </c>
      <c r="AO370" s="13" t="str">
        <f>IF(Table24[[#This Row],[Time of Inital Call]]="","",IFERROR(MROUND(Table24[[#This Row],[Time of Inital Call]],"1:00"),""))</f>
        <v/>
      </c>
      <c r="AP370" s="19" t="str">
        <f>IF(Table24[[#This Row],[Date of Call]]="","",TEXT(Table24[[#This Row],[Date of Call]],"dddd"))</f>
        <v/>
      </c>
      <c r="AQ370" s="19" t="str">
        <f>IFERROR(VLOOKUP(Table24[[#This Row],[Residence Zip Code]],Table27[],3,FALSE),"")</f>
        <v/>
      </c>
    </row>
    <row r="371" spans="1:43" x14ac:dyDescent="0.25">
      <c r="A371" s="10"/>
      <c r="C371" s="10"/>
      <c r="D371" s="11"/>
      <c r="E371" s="12"/>
      <c r="F371" s="12"/>
      <c r="G371" s="12"/>
      <c r="H371" s="10"/>
      <c r="I371" s="12"/>
      <c r="J371" s="12"/>
      <c r="K371" s="12"/>
      <c r="L371" s="12"/>
      <c r="M371" s="16"/>
      <c r="N371" s="18"/>
      <c r="O371" s="13"/>
      <c r="P371" s="13"/>
      <c r="Q371" s="13"/>
      <c r="R371" s="18"/>
      <c r="S371" s="13"/>
      <c r="T371" s="13"/>
      <c r="U371" s="10"/>
      <c r="V371" s="2"/>
      <c r="X371" s="13"/>
      <c r="Y371" s="3"/>
      <c r="Z371" s="3"/>
      <c r="AA371" s="12"/>
      <c r="AB371" s="10"/>
      <c r="AC371" s="10"/>
      <c r="AD371" s="10"/>
      <c r="AE371" s="10"/>
      <c r="AI371" s="35"/>
      <c r="AJ371"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71" s="19" t="str">
        <f>IFERROR(IF(OR(TRIM(Table24[[#This Row],[DOB]])="",TRIM(Table24[[#This Row],[Date of Call]])=""),"Cannot be calculated",DATEDIF(Table24[[#This Row],[DOB]],Table24[[#This Row],[Date of Call]],"Y")),"Cannot be calculated")</f>
        <v>Cannot be calculated</v>
      </c>
      <c r="AL371"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71" s="19">
        <f>IFERROR(DATEDIF(Table24[[#This Row],[Date of Call]],Table24[[#This Row],[Follow-up Date]],"D"),"Cannot be calculated")</f>
        <v>0</v>
      </c>
      <c r="AN371" s="19" t="str">
        <f>IF(OR(Table24[[#This Row],[Client Age]]&lt;18,Table24[[#This Row],[If client DOB unknown, is client under 18?]]="Yes"),"Yes","No")</f>
        <v>No</v>
      </c>
      <c r="AO371" s="13" t="str">
        <f>IF(Table24[[#This Row],[Time of Inital Call]]="","",IFERROR(MROUND(Table24[[#This Row],[Time of Inital Call]],"1:00"),""))</f>
        <v/>
      </c>
      <c r="AP371" s="19" t="str">
        <f>IF(Table24[[#This Row],[Date of Call]]="","",TEXT(Table24[[#This Row],[Date of Call]],"dddd"))</f>
        <v/>
      </c>
      <c r="AQ371" s="19" t="str">
        <f>IFERROR(VLOOKUP(Table24[[#This Row],[Residence Zip Code]],Table27[],3,FALSE),"")</f>
        <v/>
      </c>
    </row>
    <row r="372" spans="1:43" x14ac:dyDescent="0.25">
      <c r="A372" s="10"/>
      <c r="C372" s="10"/>
      <c r="D372" s="11"/>
      <c r="E372" s="12"/>
      <c r="F372" s="12"/>
      <c r="G372" s="12"/>
      <c r="H372" s="10"/>
      <c r="I372" s="12"/>
      <c r="J372" s="12"/>
      <c r="K372" s="12"/>
      <c r="L372" s="12"/>
      <c r="M372" s="16"/>
      <c r="N372" s="18"/>
      <c r="O372" s="13"/>
      <c r="P372" s="13"/>
      <c r="Q372" s="13"/>
      <c r="R372" s="18"/>
      <c r="S372" s="13"/>
      <c r="T372" s="13"/>
      <c r="U372" s="10"/>
      <c r="V372" s="2"/>
      <c r="X372" s="13"/>
      <c r="Y372" s="3"/>
      <c r="Z372" s="3"/>
      <c r="AA372" s="12"/>
      <c r="AB372" s="10"/>
      <c r="AC372" s="10"/>
      <c r="AD372" s="10"/>
      <c r="AE372" s="10"/>
      <c r="AI372" s="35"/>
      <c r="AJ372"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72" s="19" t="str">
        <f>IFERROR(IF(OR(TRIM(Table24[[#This Row],[DOB]])="",TRIM(Table24[[#This Row],[Date of Call]])=""),"Cannot be calculated",DATEDIF(Table24[[#This Row],[DOB]],Table24[[#This Row],[Date of Call]],"Y")),"Cannot be calculated")</f>
        <v>Cannot be calculated</v>
      </c>
      <c r="AL372"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72" s="19">
        <f>IFERROR(DATEDIF(Table24[[#This Row],[Date of Call]],Table24[[#This Row],[Follow-up Date]],"D"),"Cannot be calculated")</f>
        <v>0</v>
      </c>
      <c r="AN372" s="19" t="str">
        <f>IF(OR(Table24[[#This Row],[Client Age]]&lt;18,Table24[[#This Row],[If client DOB unknown, is client under 18?]]="Yes"),"Yes","No")</f>
        <v>No</v>
      </c>
      <c r="AO372" s="13" t="str">
        <f>IF(Table24[[#This Row],[Time of Inital Call]]="","",IFERROR(MROUND(Table24[[#This Row],[Time of Inital Call]],"1:00"),""))</f>
        <v/>
      </c>
      <c r="AP372" s="19" t="str">
        <f>IF(Table24[[#This Row],[Date of Call]]="","",TEXT(Table24[[#This Row],[Date of Call]],"dddd"))</f>
        <v/>
      </c>
      <c r="AQ372" s="19" t="str">
        <f>IFERROR(VLOOKUP(Table24[[#This Row],[Residence Zip Code]],Table27[],3,FALSE),"")</f>
        <v/>
      </c>
    </row>
    <row r="373" spans="1:43" x14ac:dyDescent="0.25">
      <c r="A373" s="10"/>
      <c r="C373" s="10"/>
      <c r="D373" s="11"/>
      <c r="E373" s="12"/>
      <c r="F373" s="12"/>
      <c r="G373" s="12"/>
      <c r="H373" s="10"/>
      <c r="I373" s="12"/>
      <c r="J373" s="12"/>
      <c r="K373" s="12"/>
      <c r="L373" s="12"/>
      <c r="M373" s="16"/>
      <c r="N373" s="18"/>
      <c r="O373" s="13"/>
      <c r="P373" s="13"/>
      <c r="Q373" s="13"/>
      <c r="R373" s="18"/>
      <c r="S373" s="13"/>
      <c r="T373" s="13"/>
      <c r="U373" s="10"/>
      <c r="V373" s="2"/>
      <c r="X373" s="13"/>
      <c r="Y373" s="3"/>
      <c r="Z373" s="3"/>
      <c r="AA373" s="12"/>
      <c r="AB373" s="10"/>
      <c r="AC373" s="10"/>
      <c r="AD373" s="10"/>
      <c r="AE373" s="10"/>
      <c r="AI373" s="35"/>
      <c r="AJ373"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73" s="19" t="str">
        <f>IFERROR(IF(OR(TRIM(Table24[[#This Row],[DOB]])="",TRIM(Table24[[#This Row],[Date of Call]])=""),"Cannot be calculated",DATEDIF(Table24[[#This Row],[DOB]],Table24[[#This Row],[Date of Call]],"Y")),"Cannot be calculated")</f>
        <v>Cannot be calculated</v>
      </c>
      <c r="AL373"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73" s="19">
        <f>IFERROR(DATEDIF(Table24[[#This Row],[Date of Call]],Table24[[#This Row],[Follow-up Date]],"D"),"Cannot be calculated")</f>
        <v>0</v>
      </c>
      <c r="AN373" s="19" t="str">
        <f>IF(OR(Table24[[#This Row],[Client Age]]&lt;18,Table24[[#This Row],[If client DOB unknown, is client under 18?]]="Yes"),"Yes","No")</f>
        <v>No</v>
      </c>
      <c r="AO373" s="13" t="str">
        <f>IF(Table24[[#This Row],[Time of Inital Call]]="","",IFERROR(MROUND(Table24[[#This Row],[Time of Inital Call]],"1:00"),""))</f>
        <v/>
      </c>
      <c r="AP373" s="19" t="str">
        <f>IF(Table24[[#This Row],[Date of Call]]="","",TEXT(Table24[[#This Row],[Date of Call]],"dddd"))</f>
        <v/>
      </c>
      <c r="AQ373" s="19" t="str">
        <f>IFERROR(VLOOKUP(Table24[[#This Row],[Residence Zip Code]],Table27[],3,FALSE),"")</f>
        <v/>
      </c>
    </row>
    <row r="374" spans="1:43" x14ac:dyDescent="0.25">
      <c r="A374" s="10"/>
      <c r="C374" s="10"/>
      <c r="D374" s="11"/>
      <c r="E374" s="12"/>
      <c r="F374" s="12"/>
      <c r="G374" s="12"/>
      <c r="H374" s="10"/>
      <c r="I374" s="12"/>
      <c r="J374" s="12"/>
      <c r="K374" s="12"/>
      <c r="L374" s="12"/>
      <c r="M374" s="16"/>
      <c r="N374" s="18"/>
      <c r="O374" s="13"/>
      <c r="P374" s="13"/>
      <c r="Q374" s="13"/>
      <c r="R374" s="18"/>
      <c r="S374" s="13"/>
      <c r="T374" s="13"/>
      <c r="U374" s="10"/>
      <c r="V374" s="2"/>
      <c r="X374" s="13"/>
      <c r="Y374" s="3"/>
      <c r="Z374" s="3"/>
      <c r="AA374" s="12"/>
      <c r="AB374" s="10"/>
      <c r="AC374" s="10"/>
      <c r="AD374" s="10"/>
      <c r="AE374" s="10"/>
      <c r="AI374" s="35"/>
      <c r="AJ374"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74" s="19" t="str">
        <f>IFERROR(IF(OR(TRIM(Table24[[#This Row],[DOB]])="",TRIM(Table24[[#This Row],[Date of Call]])=""),"Cannot be calculated",DATEDIF(Table24[[#This Row],[DOB]],Table24[[#This Row],[Date of Call]],"Y")),"Cannot be calculated")</f>
        <v>Cannot be calculated</v>
      </c>
      <c r="AL374"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74" s="19">
        <f>IFERROR(DATEDIF(Table24[[#This Row],[Date of Call]],Table24[[#This Row],[Follow-up Date]],"D"),"Cannot be calculated")</f>
        <v>0</v>
      </c>
      <c r="AN374" s="19" t="str">
        <f>IF(OR(Table24[[#This Row],[Client Age]]&lt;18,Table24[[#This Row],[If client DOB unknown, is client under 18?]]="Yes"),"Yes","No")</f>
        <v>No</v>
      </c>
      <c r="AO374" s="13" t="str">
        <f>IF(Table24[[#This Row],[Time of Inital Call]]="","",IFERROR(MROUND(Table24[[#This Row],[Time of Inital Call]],"1:00"),""))</f>
        <v/>
      </c>
      <c r="AP374" s="19" t="str">
        <f>IF(Table24[[#This Row],[Date of Call]]="","",TEXT(Table24[[#This Row],[Date of Call]],"dddd"))</f>
        <v/>
      </c>
      <c r="AQ374" s="19" t="str">
        <f>IFERROR(VLOOKUP(Table24[[#This Row],[Residence Zip Code]],Table27[],3,FALSE),"")</f>
        <v/>
      </c>
    </row>
    <row r="375" spans="1:43" x14ac:dyDescent="0.25">
      <c r="A375" s="10"/>
      <c r="C375" s="10"/>
      <c r="D375" s="11"/>
      <c r="E375" s="12"/>
      <c r="F375" s="12"/>
      <c r="G375" s="12"/>
      <c r="H375" s="10"/>
      <c r="I375" s="12"/>
      <c r="J375" s="12"/>
      <c r="K375" s="12"/>
      <c r="L375" s="12"/>
      <c r="M375" s="16"/>
      <c r="N375" s="18"/>
      <c r="O375" s="13"/>
      <c r="P375" s="13"/>
      <c r="Q375" s="13"/>
      <c r="R375" s="18"/>
      <c r="S375" s="13"/>
      <c r="T375" s="13"/>
      <c r="U375" s="10"/>
      <c r="V375" s="2"/>
      <c r="X375" s="13"/>
      <c r="Y375" s="3"/>
      <c r="Z375" s="3"/>
      <c r="AA375" s="12"/>
      <c r="AB375" s="10"/>
      <c r="AC375" s="10"/>
      <c r="AD375" s="10"/>
      <c r="AE375" s="10"/>
      <c r="AI375" s="35"/>
      <c r="AJ375"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75" s="19" t="str">
        <f>IFERROR(IF(OR(TRIM(Table24[[#This Row],[DOB]])="",TRIM(Table24[[#This Row],[Date of Call]])=""),"Cannot be calculated",DATEDIF(Table24[[#This Row],[DOB]],Table24[[#This Row],[Date of Call]],"Y")),"Cannot be calculated")</f>
        <v>Cannot be calculated</v>
      </c>
      <c r="AL375"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75" s="19">
        <f>IFERROR(DATEDIF(Table24[[#This Row],[Date of Call]],Table24[[#This Row],[Follow-up Date]],"D"),"Cannot be calculated")</f>
        <v>0</v>
      </c>
      <c r="AN375" s="19" t="str">
        <f>IF(OR(Table24[[#This Row],[Client Age]]&lt;18,Table24[[#This Row],[If client DOB unknown, is client under 18?]]="Yes"),"Yes","No")</f>
        <v>No</v>
      </c>
      <c r="AO375" s="13" t="str">
        <f>IF(Table24[[#This Row],[Time of Inital Call]]="","",IFERROR(MROUND(Table24[[#This Row],[Time of Inital Call]],"1:00"),""))</f>
        <v/>
      </c>
      <c r="AP375" s="19" t="str">
        <f>IF(Table24[[#This Row],[Date of Call]]="","",TEXT(Table24[[#This Row],[Date of Call]],"dddd"))</f>
        <v/>
      </c>
      <c r="AQ375" s="19" t="str">
        <f>IFERROR(VLOOKUP(Table24[[#This Row],[Residence Zip Code]],Table27[],3,FALSE),"")</f>
        <v/>
      </c>
    </row>
    <row r="376" spans="1:43" x14ac:dyDescent="0.25">
      <c r="A376" s="10"/>
      <c r="C376" s="10"/>
      <c r="D376" s="11"/>
      <c r="E376" s="12"/>
      <c r="F376" s="12"/>
      <c r="G376" s="12"/>
      <c r="H376" s="10"/>
      <c r="I376" s="12"/>
      <c r="J376" s="12"/>
      <c r="K376" s="12"/>
      <c r="L376" s="12"/>
      <c r="M376" s="16"/>
      <c r="N376" s="18"/>
      <c r="O376" s="13"/>
      <c r="P376" s="13"/>
      <c r="Q376" s="13"/>
      <c r="R376" s="18"/>
      <c r="S376" s="13"/>
      <c r="T376" s="13"/>
      <c r="U376" s="10"/>
      <c r="V376" s="2"/>
      <c r="X376" s="13"/>
      <c r="Y376" s="3"/>
      <c r="Z376" s="3"/>
      <c r="AA376" s="12"/>
      <c r="AB376" s="10"/>
      <c r="AC376" s="10"/>
      <c r="AD376" s="10"/>
      <c r="AE376" s="10"/>
      <c r="AI376" s="35"/>
      <c r="AJ376"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76" s="19" t="str">
        <f>IFERROR(IF(OR(TRIM(Table24[[#This Row],[DOB]])="",TRIM(Table24[[#This Row],[Date of Call]])=""),"Cannot be calculated",DATEDIF(Table24[[#This Row],[DOB]],Table24[[#This Row],[Date of Call]],"Y")),"Cannot be calculated")</f>
        <v>Cannot be calculated</v>
      </c>
      <c r="AL376"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76" s="19">
        <f>IFERROR(DATEDIF(Table24[[#This Row],[Date of Call]],Table24[[#This Row],[Follow-up Date]],"D"),"Cannot be calculated")</f>
        <v>0</v>
      </c>
      <c r="AN376" s="19" t="str">
        <f>IF(OR(Table24[[#This Row],[Client Age]]&lt;18,Table24[[#This Row],[If client DOB unknown, is client under 18?]]="Yes"),"Yes","No")</f>
        <v>No</v>
      </c>
      <c r="AO376" s="13" t="str">
        <f>IF(Table24[[#This Row],[Time of Inital Call]]="","",IFERROR(MROUND(Table24[[#This Row],[Time of Inital Call]],"1:00"),""))</f>
        <v/>
      </c>
      <c r="AP376" s="19" t="str">
        <f>IF(Table24[[#This Row],[Date of Call]]="","",TEXT(Table24[[#This Row],[Date of Call]],"dddd"))</f>
        <v/>
      </c>
      <c r="AQ376" s="19" t="str">
        <f>IFERROR(VLOOKUP(Table24[[#This Row],[Residence Zip Code]],Table27[],3,FALSE),"")</f>
        <v/>
      </c>
    </row>
    <row r="377" spans="1:43" x14ac:dyDescent="0.25">
      <c r="A377" s="10"/>
      <c r="C377" s="10"/>
      <c r="D377" s="11"/>
      <c r="E377" s="12"/>
      <c r="F377" s="12"/>
      <c r="G377" s="12"/>
      <c r="H377" s="10"/>
      <c r="I377" s="12"/>
      <c r="J377" s="12"/>
      <c r="K377" s="12"/>
      <c r="L377" s="12"/>
      <c r="M377" s="16"/>
      <c r="N377" s="18"/>
      <c r="O377" s="13"/>
      <c r="P377" s="13"/>
      <c r="Q377" s="13"/>
      <c r="R377" s="18"/>
      <c r="S377" s="13"/>
      <c r="T377" s="13"/>
      <c r="U377" s="10"/>
      <c r="V377" s="2"/>
      <c r="X377" s="13"/>
      <c r="Y377" s="3"/>
      <c r="Z377" s="3"/>
      <c r="AA377" s="12"/>
      <c r="AB377" s="10"/>
      <c r="AC377" s="10"/>
      <c r="AD377" s="10"/>
      <c r="AE377" s="10"/>
      <c r="AI377" s="35"/>
      <c r="AJ377"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77" s="19" t="str">
        <f>IFERROR(IF(OR(TRIM(Table24[[#This Row],[DOB]])="",TRIM(Table24[[#This Row],[Date of Call]])=""),"Cannot be calculated",DATEDIF(Table24[[#This Row],[DOB]],Table24[[#This Row],[Date of Call]],"Y")),"Cannot be calculated")</f>
        <v>Cannot be calculated</v>
      </c>
      <c r="AL377"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77" s="19">
        <f>IFERROR(DATEDIF(Table24[[#This Row],[Date of Call]],Table24[[#This Row],[Follow-up Date]],"D"),"Cannot be calculated")</f>
        <v>0</v>
      </c>
      <c r="AN377" s="19" t="str">
        <f>IF(OR(Table24[[#This Row],[Client Age]]&lt;18,Table24[[#This Row],[If client DOB unknown, is client under 18?]]="Yes"),"Yes","No")</f>
        <v>No</v>
      </c>
      <c r="AO377" s="13" t="str">
        <f>IF(Table24[[#This Row],[Time of Inital Call]]="","",IFERROR(MROUND(Table24[[#This Row],[Time of Inital Call]],"1:00"),""))</f>
        <v/>
      </c>
      <c r="AP377" s="19" t="str">
        <f>IF(Table24[[#This Row],[Date of Call]]="","",TEXT(Table24[[#This Row],[Date of Call]],"dddd"))</f>
        <v/>
      </c>
      <c r="AQ377" s="19" t="str">
        <f>IFERROR(VLOOKUP(Table24[[#This Row],[Residence Zip Code]],Table27[],3,FALSE),"")</f>
        <v/>
      </c>
    </row>
    <row r="378" spans="1:43" x14ac:dyDescent="0.25">
      <c r="A378" s="10"/>
      <c r="C378" s="10"/>
      <c r="D378" s="11"/>
      <c r="E378" s="12"/>
      <c r="F378" s="12"/>
      <c r="G378" s="12"/>
      <c r="H378" s="10"/>
      <c r="I378" s="12"/>
      <c r="J378" s="12"/>
      <c r="K378" s="12"/>
      <c r="L378" s="12"/>
      <c r="M378" s="16"/>
      <c r="N378" s="18"/>
      <c r="O378" s="13"/>
      <c r="P378" s="13"/>
      <c r="Q378" s="13"/>
      <c r="R378" s="18"/>
      <c r="S378" s="13"/>
      <c r="T378" s="13"/>
      <c r="U378" s="10"/>
      <c r="V378" s="2"/>
      <c r="X378" s="13"/>
      <c r="Y378" s="3"/>
      <c r="Z378" s="3"/>
      <c r="AA378" s="12"/>
      <c r="AB378" s="10"/>
      <c r="AC378" s="10"/>
      <c r="AD378" s="10"/>
      <c r="AE378" s="10"/>
      <c r="AI378" s="35"/>
      <c r="AJ378"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78" s="19" t="str">
        <f>IFERROR(IF(OR(TRIM(Table24[[#This Row],[DOB]])="",TRIM(Table24[[#This Row],[Date of Call]])=""),"Cannot be calculated",DATEDIF(Table24[[#This Row],[DOB]],Table24[[#This Row],[Date of Call]],"Y")),"Cannot be calculated")</f>
        <v>Cannot be calculated</v>
      </c>
      <c r="AL378"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78" s="19">
        <f>IFERROR(DATEDIF(Table24[[#This Row],[Date of Call]],Table24[[#This Row],[Follow-up Date]],"D"),"Cannot be calculated")</f>
        <v>0</v>
      </c>
      <c r="AN378" s="19" t="str">
        <f>IF(OR(Table24[[#This Row],[Client Age]]&lt;18,Table24[[#This Row],[If client DOB unknown, is client under 18?]]="Yes"),"Yes","No")</f>
        <v>No</v>
      </c>
      <c r="AO378" s="13" t="str">
        <f>IF(Table24[[#This Row],[Time of Inital Call]]="","",IFERROR(MROUND(Table24[[#This Row],[Time of Inital Call]],"1:00"),""))</f>
        <v/>
      </c>
      <c r="AP378" s="19" t="str">
        <f>IF(Table24[[#This Row],[Date of Call]]="","",TEXT(Table24[[#This Row],[Date of Call]],"dddd"))</f>
        <v/>
      </c>
      <c r="AQ378" s="19" t="str">
        <f>IFERROR(VLOOKUP(Table24[[#This Row],[Residence Zip Code]],Table27[],3,FALSE),"")</f>
        <v/>
      </c>
    </row>
    <row r="379" spans="1:43" x14ac:dyDescent="0.25">
      <c r="A379" s="10"/>
      <c r="C379" s="10"/>
      <c r="D379" s="11"/>
      <c r="E379" s="12"/>
      <c r="F379" s="12"/>
      <c r="G379" s="12"/>
      <c r="H379" s="10"/>
      <c r="I379" s="12"/>
      <c r="J379" s="12"/>
      <c r="K379" s="12"/>
      <c r="L379" s="12"/>
      <c r="M379" s="16"/>
      <c r="N379" s="18"/>
      <c r="O379" s="13"/>
      <c r="P379" s="13"/>
      <c r="Q379" s="13"/>
      <c r="R379" s="18"/>
      <c r="S379" s="13"/>
      <c r="T379" s="13"/>
      <c r="U379" s="10"/>
      <c r="V379" s="2"/>
      <c r="X379" s="13"/>
      <c r="Y379" s="3"/>
      <c r="Z379" s="3"/>
      <c r="AA379" s="12"/>
      <c r="AB379" s="10"/>
      <c r="AC379" s="10"/>
      <c r="AD379" s="10"/>
      <c r="AE379" s="10"/>
      <c r="AI379" s="35"/>
      <c r="AJ379"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79" s="19" t="str">
        <f>IFERROR(IF(OR(TRIM(Table24[[#This Row],[DOB]])="",TRIM(Table24[[#This Row],[Date of Call]])=""),"Cannot be calculated",DATEDIF(Table24[[#This Row],[DOB]],Table24[[#This Row],[Date of Call]],"Y")),"Cannot be calculated")</f>
        <v>Cannot be calculated</v>
      </c>
      <c r="AL379"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79" s="19">
        <f>IFERROR(DATEDIF(Table24[[#This Row],[Date of Call]],Table24[[#This Row],[Follow-up Date]],"D"),"Cannot be calculated")</f>
        <v>0</v>
      </c>
      <c r="AN379" s="19" t="str">
        <f>IF(OR(Table24[[#This Row],[Client Age]]&lt;18,Table24[[#This Row],[If client DOB unknown, is client under 18?]]="Yes"),"Yes","No")</f>
        <v>No</v>
      </c>
      <c r="AO379" s="13" t="str">
        <f>IF(Table24[[#This Row],[Time of Inital Call]]="","",IFERROR(MROUND(Table24[[#This Row],[Time of Inital Call]],"1:00"),""))</f>
        <v/>
      </c>
      <c r="AP379" s="19" t="str">
        <f>IF(Table24[[#This Row],[Date of Call]]="","",TEXT(Table24[[#This Row],[Date of Call]],"dddd"))</f>
        <v/>
      </c>
      <c r="AQ379" s="19" t="str">
        <f>IFERROR(VLOOKUP(Table24[[#This Row],[Residence Zip Code]],Table27[],3,FALSE),"")</f>
        <v/>
      </c>
    </row>
    <row r="380" spans="1:43" x14ac:dyDescent="0.25">
      <c r="A380" s="10"/>
      <c r="C380" s="10"/>
      <c r="D380" s="11"/>
      <c r="E380" s="12"/>
      <c r="F380" s="12"/>
      <c r="G380" s="12"/>
      <c r="H380" s="10"/>
      <c r="I380" s="12"/>
      <c r="J380" s="12"/>
      <c r="K380" s="12"/>
      <c r="L380" s="12"/>
      <c r="M380" s="16"/>
      <c r="N380" s="18"/>
      <c r="O380" s="13"/>
      <c r="P380" s="13"/>
      <c r="Q380" s="13"/>
      <c r="R380" s="18"/>
      <c r="S380" s="13"/>
      <c r="T380" s="13"/>
      <c r="U380" s="10"/>
      <c r="V380" s="2"/>
      <c r="X380" s="13"/>
      <c r="Y380" s="3"/>
      <c r="Z380" s="3"/>
      <c r="AA380" s="12"/>
      <c r="AB380" s="10"/>
      <c r="AC380" s="10"/>
      <c r="AD380" s="10"/>
      <c r="AE380" s="10"/>
      <c r="AI380" s="35"/>
      <c r="AJ380"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80" s="19" t="str">
        <f>IFERROR(IF(OR(TRIM(Table24[[#This Row],[DOB]])="",TRIM(Table24[[#This Row],[Date of Call]])=""),"Cannot be calculated",DATEDIF(Table24[[#This Row],[DOB]],Table24[[#This Row],[Date of Call]],"Y")),"Cannot be calculated")</f>
        <v>Cannot be calculated</v>
      </c>
      <c r="AL380"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80" s="19">
        <f>IFERROR(DATEDIF(Table24[[#This Row],[Date of Call]],Table24[[#This Row],[Follow-up Date]],"D"),"Cannot be calculated")</f>
        <v>0</v>
      </c>
      <c r="AN380" s="19" t="str">
        <f>IF(OR(Table24[[#This Row],[Client Age]]&lt;18,Table24[[#This Row],[If client DOB unknown, is client under 18?]]="Yes"),"Yes","No")</f>
        <v>No</v>
      </c>
      <c r="AO380" s="13" t="str">
        <f>IF(Table24[[#This Row],[Time of Inital Call]]="","",IFERROR(MROUND(Table24[[#This Row],[Time of Inital Call]],"1:00"),""))</f>
        <v/>
      </c>
      <c r="AP380" s="19" t="str">
        <f>IF(Table24[[#This Row],[Date of Call]]="","",TEXT(Table24[[#This Row],[Date of Call]],"dddd"))</f>
        <v/>
      </c>
      <c r="AQ380" s="19" t="str">
        <f>IFERROR(VLOOKUP(Table24[[#This Row],[Residence Zip Code]],Table27[],3,FALSE),"")</f>
        <v/>
      </c>
    </row>
    <row r="381" spans="1:43" x14ac:dyDescent="0.25">
      <c r="A381" s="10"/>
      <c r="C381" s="10"/>
      <c r="D381" s="11"/>
      <c r="E381" s="12"/>
      <c r="F381" s="12"/>
      <c r="G381" s="12"/>
      <c r="H381" s="10"/>
      <c r="I381" s="12"/>
      <c r="J381" s="12"/>
      <c r="K381" s="12"/>
      <c r="L381" s="12"/>
      <c r="M381" s="16"/>
      <c r="N381" s="18"/>
      <c r="O381" s="13"/>
      <c r="P381" s="13"/>
      <c r="Q381" s="13"/>
      <c r="R381" s="18"/>
      <c r="S381" s="13"/>
      <c r="T381" s="13"/>
      <c r="U381" s="10"/>
      <c r="V381" s="2"/>
      <c r="X381" s="13"/>
      <c r="Y381" s="3"/>
      <c r="Z381" s="3"/>
      <c r="AA381" s="12"/>
      <c r="AB381" s="10"/>
      <c r="AC381" s="10"/>
      <c r="AD381" s="10"/>
      <c r="AE381" s="10"/>
      <c r="AI381" s="35"/>
      <c r="AJ381"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81" s="19" t="str">
        <f>IFERROR(IF(OR(TRIM(Table24[[#This Row],[DOB]])="",TRIM(Table24[[#This Row],[Date of Call]])=""),"Cannot be calculated",DATEDIF(Table24[[#This Row],[DOB]],Table24[[#This Row],[Date of Call]],"Y")),"Cannot be calculated")</f>
        <v>Cannot be calculated</v>
      </c>
      <c r="AL381"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81" s="19">
        <f>IFERROR(DATEDIF(Table24[[#This Row],[Date of Call]],Table24[[#This Row],[Follow-up Date]],"D"),"Cannot be calculated")</f>
        <v>0</v>
      </c>
      <c r="AN381" s="19" t="str">
        <f>IF(OR(Table24[[#This Row],[Client Age]]&lt;18,Table24[[#This Row],[If client DOB unknown, is client under 18?]]="Yes"),"Yes","No")</f>
        <v>No</v>
      </c>
      <c r="AO381" s="13" t="str">
        <f>IF(Table24[[#This Row],[Time of Inital Call]]="","",IFERROR(MROUND(Table24[[#This Row],[Time of Inital Call]],"1:00"),""))</f>
        <v/>
      </c>
      <c r="AP381" s="19" t="str">
        <f>IF(Table24[[#This Row],[Date of Call]]="","",TEXT(Table24[[#This Row],[Date of Call]],"dddd"))</f>
        <v/>
      </c>
      <c r="AQ381" s="19" t="str">
        <f>IFERROR(VLOOKUP(Table24[[#This Row],[Residence Zip Code]],Table27[],3,FALSE),"")</f>
        <v/>
      </c>
    </row>
    <row r="382" spans="1:43" x14ac:dyDescent="0.25">
      <c r="A382" s="10"/>
      <c r="C382" s="10"/>
      <c r="D382" s="11"/>
      <c r="E382" s="12"/>
      <c r="F382" s="12"/>
      <c r="G382" s="12"/>
      <c r="H382" s="10"/>
      <c r="I382" s="12"/>
      <c r="J382" s="12"/>
      <c r="K382" s="12"/>
      <c r="L382" s="12"/>
      <c r="M382" s="16"/>
      <c r="N382" s="18"/>
      <c r="O382" s="13"/>
      <c r="P382" s="13"/>
      <c r="Q382" s="13"/>
      <c r="R382" s="18"/>
      <c r="S382" s="13"/>
      <c r="T382" s="13"/>
      <c r="U382" s="10"/>
      <c r="V382" s="2"/>
      <c r="X382" s="13"/>
      <c r="Y382" s="3"/>
      <c r="Z382" s="3"/>
      <c r="AA382" s="12"/>
      <c r="AB382" s="10"/>
      <c r="AC382" s="10"/>
      <c r="AD382" s="10"/>
      <c r="AE382" s="10"/>
      <c r="AI382" s="35"/>
      <c r="AJ382"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82" s="19" t="str">
        <f>IFERROR(IF(OR(TRIM(Table24[[#This Row],[DOB]])="",TRIM(Table24[[#This Row],[Date of Call]])=""),"Cannot be calculated",DATEDIF(Table24[[#This Row],[DOB]],Table24[[#This Row],[Date of Call]],"Y")),"Cannot be calculated")</f>
        <v>Cannot be calculated</v>
      </c>
      <c r="AL382"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82" s="19">
        <f>IFERROR(DATEDIF(Table24[[#This Row],[Date of Call]],Table24[[#This Row],[Follow-up Date]],"D"),"Cannot be calculated")</f>
        <v>0</v>
      </c>
      <c r="AN382" s="19" t="str">
        <f>IF(OR(Table24[[#This Row],[Client Age]]&lt;18,Table24[[#This Row],[If client DOB unknown, is client under 18?]]="Yes"),"Yes","No")</f>
        <v>No</v>
      </c>
      <c r="AO382" s="13" t="str">
        <f>IF(Table24[[#This Row],[Time of Inital Call]]="","",IFERROR(MROUND(Table24[[#This Row],[Time of Inital Call]],"1:00"),""))</f>
        <v/>
      </c>
      <c r="AP382" s="19" t="str">
        <f>IF(Table24[[#This Row],[Date of Call]]="","",TEXT(Table24[[#This Row],[Date of Call]],"dddd"))</f>
        <v/>
      </c>
      <c r="AQ382" s="19" t="str">
        <f>IFERROR(VLOOKUP(Table24[[#This Row],[Residence Zip Code]],Table27[],3,FALSE),"")</f>
        <v/>
      </c>
    </row>
    <row r="383" spans="1:43" x14ac:dyDescent="0.25">
      <c r="A383" s="10"/>
      <c r="C383" s="10"/>
      <c r="D383" s="11"/>
      <c r="E383" s="12"/>
      <c r="F383" s="12"/>
      <c r="G383" s="12"/>
      <c r="H383" s="10"/>
      <c r="I383" s="12"/>
      <c r="J383" s="12"/>
      <c r="K383" s="12"/>
      <c r="L383" s="12"/>
      <c r="M383" s="16"/>
      <c r="N383" s="18"/>
      <c r="O383" s="13"/>
      <c r="P383" s="13"/>
      <c r="Q383" s="13"/>
      <c r="R383" s="18"/>
      <c r="S383" s="13"/>
      <c r="T383" s="13"/>
      <c r="U383" s="10"/>
      <c r="V383" s="2"/>
      <c r="X383" s="13"/>
      <c r="Y383" s="3"/>
      <c r="Z383" s="3"/>
      <c r="AA383" s="12"/>
      <c r="AB383" s="10"/>
      <c r="AC383" s="10"/>
      <c r="AD383" s="10"/>
      <c r="AE383" s="10"/>
      <c r="AI383" s="35"/>
      <c r="AJ383"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83" s="19" t="str">
        <f>IFERROR(IF(OR(TRIM(Table24[[#This Row],[DOB]])="",TRIM(Table24[[#This Row],[Date of Call]])=""),"Cannot be calculated",DATEDIF(Table24[[#This Row],[DOB]],Table24[[#This Row],[Date of Call]],"Y")),"Cannot be calculated")</f>
        <v>Cannot be calculated</v>
      </c>
      <c r="AL383"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83" s="19">
        <f>IFERROR(DATEDIF(Table24[[#This Row],[Date of Call]],Table24[[#This Row],[Follow-up Date]],"D"),"Cannot be calculated")</f>
        <v>0</v>
      </c>
      <c r="AN383" s="19" t="str">
        <f>IF(OR(Table24[[#This Row],[Client Age]]&lt;18,Table24[[#This Row],[If client DOB unknown, is client under 18?]]="Yes"),"Yes","No")</f>
        <v>No</v>
      </c>
      <c r="AO383" s="13" t="str">
        <f>IF(Table24[[#This Row],[Time of Inital Call]]="","",IFERROR(MROUND(Table24[[#This Row],[Time of Inital Call]],"1:00"),""))</f>
        <v/>
      </c>
      <c r="AP383" s="19" t="str">
        <f>IF(Table24[[#This Row],[Date of Call]]="","",TEXT(Table24[[#This Row],[Date of Call]],"dddd"))</f>
        <v/>
      </c>
      <c r="AQ383" s="19" t="str">
        <f>IFERROR(VLOOKUP(Table24[[#This Row],[Residence Zip Code]],Table27[],3,FALSE),"")</f>
        <v/>
      </c>
    </row>
    <row r="384" spans="1:43" x14ac:dyDescent="0.25">
      <c r="A384" s="10"/>
      <c r="C384" s="10"/>
      <c r="D384" s="11"/>
      <c r="E384" s="12"/>
      <c r="F384" s="12"/>
      <c r="G384" s="12"/>
      <c r="H384" s="10"/>
      <c r="I384" s="12"/>
      <c r="J384" s="12"/>
      <c r="K384" s="12"/>
      <c r="L384" s="12"/>
      <c r="M384" s="16"/>
      <c r="N384" s="18"/>
      <c r="O384" s="13"/>
      <c r="P384" s="13"/>
      <c r="Q384" s="13"/>
      <c r="R384" s="18"/>
      <c r="S384" s="13"/>
      <c r="T384" s="13"/>
      <c r="U384" s="10"/>
      <c r="V384" s="2"/>
      <c r="X384" s="13"/>
      <c r="Y384" s="3"/>
      <c r="Z384" s="3"/>
      <c r="AA384" s="12"/>
      <c r="AB384" s="10"/>
      <c r="AC384" s="10"/>
      <c r="AD384" s="10"/>
      <c r="AE384" s="10"/>
      <c r="AI384" s="35"/>
      <c r="AJ384"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84" s="19" t="str">
        <f>IFERROR(IF(OR(TRIM(Table24[[#This Row],[DOB]])="",TRIM(Table24[[#This Row],[Date of Call]])=""),"Cannot be calculated",DATEDIF(Table24[[#This Row],[DOB]],Table24[[#This Row],[Date of Call]],"Y")),"Cannot be calculated")</f>
        <v>Cannot be calculated</v>
      </c>
      <c r="AL384"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84" s="19">
        <f>IFERROR(DATEDIF(Table24[[#This Row],[Date of Call]],Table24[[#This Row],[Follow-up Date]],"D"),"Cannot be calculated")</f>
        <v>0</v>
      </c>
      <c r="AN384" s="19" t="str">
        <f>IF(OR(Table24[[#This Row],[Client Age]]&lt;18,Table24[[#This Row],[If client DOB unknown, is client under 18?]]="Yes"),"Yes","No")</f>
        <v>No</v>
      </c>
      <c r="AO384" s="13" t="str">
        <f>IF(Table24[[#This Row],[Time of Inital Call]]="","",IFERROR(MROUND(Table24[[#This Row],[Time of Inital Call]],"1:00"),""))</f>
        <v/>
      </c>
      <c r="AP384" s="19" t="str">
        <f>IF(Table24[[#This Row],[Date of Call]]="","",TEXT(Table24[[#This Row],[Date of Call]],"dddd"))</f>
        <v/>
      </c>
      <c r="AQ384" s="19" t="str">
        <f>IFERROR(VLOOKUP(Table24[[#This Row],[Residence Zip Code]],Table27[],3,FALSE),"")</f>
        <v/>
      </c>
    </row>
    <row r="385" spans="1:43" x14ac:dyDescent="0.25">
      <c r="A385" s="10"/>
      <c r="C385" s="10"/>
      <c r="D385" s="11"/>
      <c r="E385" s="12"/>
      <c r="F385" s="12"/>
      <c r="G385" s="12"/>
      <c r="H385" s="10"/>
      <c r="I385" s="12"/>
      <c r="J385" s="12"/>
      <c r="K385" s="12"/>
      <c r="L385" s="12"/>
      <c r="M385" s="16"/>
      <c r="N385" s="18"/>
      <c r="O385" s="13"/>
      <c r="P385" s="13"/>
      <c r="Q385" s="13"/>
      <c r="R385" s="18"/>
      <c r="S385" s="13"/>
      <c r="T385" s="13"/>
      <c r="U385" s="10"/>
      <c r="V385" s="2"/>
      <c r="X385" s="13"/>
      <c r="Y385" s="3"/>
      <c r="Z385" s="3"/>
      <c r="AA385" s="12"/>
      <c r="AB385" s="10"/>
      <c r="AC385" s="10"/>
      <c r="AD385" s="10"/>
      <c r="AE385" s="10"/>
      <c r="AI385" s="35"/>
      <c r="AJ385"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85" s="19" t="str">
        <f>IFERROR(IF(OR(TRIM(Table24[[#This Row],[DOB]])="",TRIM(Table24[[#This Row],[Date of Call]])=""),"Cannot be calculated",DATEDIF(Table24[[#This Row],[DOB]],Table24[[#This Row],[Date of Call]],"Y")),"Cannot be calculated")</f>
        <v>Cannot be calculated</v>
      </c>
      <c r="AL385"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85" s="19">
        <f>IFERROR(DATEDIF(Table24[[#This Row],[Date of Call]],Table24[[#This Row],[Follow-up Date]],"D"),"Cannot be calculated")</f>
        <v>0</v>
      </c>
      <c r="AN385" s="19" t="str">
        <f>IF(OR(Table24[[#This Row],[Client Age]]&lt;18,Table24[[#This Row],[If client DOB unknown, is client under 18?]]="Yes"),"Yes","No")</f>
        <v>No</v>
      </c>
      <c r="AO385" s="13" t="str">
        <f>IF(Table24[[#This Row],[Time of Inital Call]]="","",IFERROR(MROUND(Table24[[#This Row],[Time of Inital Call]],"1:00"),""))</f>
        <v/>
      </c>
      <c r="AP385" s="19" t="str">
        <f>IF(Table24[[#This Row],[Date of Call]]="","",TEXT(Table24[[#This Row],[Date of Call]],"dddd"))</f>
        <v/>
      </c>
      <c r="AQ385" s="19" t="str">
        <f>IFERROR(VLOOKUP(Table24[[#This Row],[Residence Zip Code]],Table27[],3,FALSE),"")</f>
        <v/>
      </c>
    </row>
    <row r="386" spans="1:43" x14ac:dyDescent="0.25">
      <c r="A386" s="10"/>
      <c r="C386" s="10"/>
      <c r="D386" s="11"/>
      <c r="E386" s="12"/>
      <c r="F386" s="12"/>
      <c r="G386" s="12"/>
      <c r="H386" s="10"/>
      <c r="I386" s="12"/>
      <c r="J386" s="12"/>
      <c r="K386" s="12"/>
      <c r="L386" s="12"/>
      <c r="M386" s="16"/>
      <c r="N386" s="18"/>
      <c r="O386" s="13"/>
      <c r="P386" s="13"/>
      <c r="Q386" s="13"/>
      <c r="R386" s="18"/>
      <c r="S386" s="13"/>
      <c r="T386" s="13"/>
      <c r="U386" s="10"/>
      <c r="V386" s="2"/>
      <c r="X386" s="13"/>
      <c r="Y386" s="3"/>
      <c r="Z386" s="3"/>
      <c r="AA386" s="12"/>
      <c r="AB386" s="10"/>
      <c r="AC386" s="10"/>
      <c r="AD386" s="10"/>
      <c r="AE386" s="10"/>
      <c r="AI386" s="35"/>
      <c r="AJ386"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86" s="19" t="str">
        <f>IFERROR(IF(OR(TRIM(Table24[[#This Row],[DOB]])="",TRIM(Table24[[#This Row],[Date of Call]])=""),"Cannot be calculated",DATEDIF(Table24[[#This Row],[DOB]],Table24[[#This Row],[Date of Call]],"Y")),"Cannot be calculated")</f>
        <v>Cannot be calculated</v>
      </c>
      <c r="AL386"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86" s="19">
        <f>IFERROR(DATEDIF(Table24[[#This Row],[Date of Call]],Table24[[#This Row],[Follow-up Date]],"D"),"Cannot be calculated")</f>
        <v>0</v>
      </c>
      <c r="AN386" s="19" t="str">
        <f>IF(OR(Table24[[#This Row],[Client Age]]&lt;18,Table24[[#This Row],[If client DOB unknown, is client under 18?]]="Yes"),"Yes","No")</f>
        <v>No</v>
      </c>
      <c r="AO386" s="13" t="str">
        <f>IF(Table24[[#This Row],[Time of Inital Call]]="","",IFERROR(MROUND(Table24[[#This Row],[Time of Inital Call]],"1:00"),""))</f>
        <v/>
      </c>
      <c r="AP386" s="19" t="str">
        <f>IF(Table24[[#This Row],[Date of Call]]="","",TEXT(Table24[[#This Row],[Date of Call]],"dddd"))</f>
        <v/>
      </c>
      <c r="AQ386" s="19" t="str">
        <f>IFERROR(VLOOKUP(Table24[[#This Row],[Residence Zip Code]],Table27[],3,FALSE),"")</f>
        <v/>
      </c>
    </row>
    <row r="387" spans="1:43" x14ac:dyDescent="0.25">
      <c r="A387" s="10"/>
      <c r="C387" s="10"/>
      <c r="D387" s="11"/>
      <c r="E387" s="12"/>
      <c r="F387" s="12"/>
      <c r="G387" s="12"/>
      <c r="H387" s="10"/>
      <c r="I387" s="12"/>
      <c r="J387" s="12"/>
      <c r="K387" s="12"/>
      <c r="L387" s="12"/>
      <c r="M387" s="16"/>
      <c r="N387" s="18"/>
      <c r="O387" s="13"/>
      <c r="P387" s="13"/>
      <c r="Q387" s="13"/>
      <c r="R387" s="18"/>
      <c r="S387" s="13"/>
      <c r="T387" s="13"/>
      <c r="U387" s="10"/>
      <c r="V387" s="2"/>
      <c r="X387" s="13"/>
      <c r="Y387" s="3"/>
      <c r="Z387" s="3"/>
      <c r="AA387" s="12"/>
      <c r="AB387" s="10"/>
      <c r="AC387" s="10"/>
      <c r="AD387" s="10"/>
      <c r="AE387" s="10"/>
      <c r="AI387" s="35"/>
      <c r="AJ387"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87" s="19" t="str">
        <f>IFERROR(IF(OR(TRIM(Table24[[#This Row],[DOB]])="",TRIM(Table24[[#This Row],[Date of Call]])=""),"Cannot be calculated",DATEDIF(Table24[[#This Row],[DOB]],Table24[[#This Row],[Date of Call]],"Y")),"Cannot be calculated")</f>
        <v>Cannot be calculated</v>
      </c>
      <c r="AL387"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87" s="19">
        <f>IFERROR(DATEDIF(Table24[[#This Row],[Date of Call]],Table24[[#This Row],[Follow-up Date]],"D"),"Cannot be calculated")</f>
        <v>0</v>
      </c>
      <c r="AN387" s="19" t="str">
        <f>IF(OR(Table24[[#This Row],[Client Age]]&lt;18,Table24[[#This Row],[If client DOB unknown, is client under 18?]]="Yes"),"Yes","No")</f>
        <v>No</v>
      </c>
      <c r="AO387" s="13" t="str">
        <f>IF(Table24[[#This Row],[Time of Inital Call]]="","",IFERROR(MROUND(Table24[[#This Row],[Time of Inital Call]],"1:00"),""))</f>
        <v/>
      </c>
      <c r="AP387" s="19" t="str">
        <f>IF(Table24[[#This Row],[Date of Call]]="","",TEXT(Table24[[#This Row],[Date of Call]],"dddd"))</f>
        <v/>
      </c>
      <c r="AQ387" s="19" t="str">
        <f>IFERROR(VLOOKUP(Table24[[#This Row],[Residence Zip Code]],Table27[],3,FALSE),"")</f>
        <v/>
      </c>
    </row>
    <row r="388" spans="1:43" x14ac:dyDescent="0.25">
      <c r="A388" s="10"/>
      <c r="C388" s="10"/>
      <c r="D388" s="11"/>
      <c r="E388" s="12"/>
      <c r="F388" s="12"/>
      <c r="G388" s="12"/>
      <c r="H388" s="10"/>
      <c r="I388" s="12"/>
      <c r="J388" s="12"/>
      <c r="K388" s="12"/>
      <c r="L388" s="12"/>
      <c r="M388" s="16"/>
      <c r="N388" s="18"/>
      <c r="O388" s="13"/>
      <c r="P388" s="13"/>
      <c r="Q388" s="13"/>
      <c r="R388" s="18"/>
      <c r="S388" s="13"/>
      <c r="T388" s="13"/>
      <c r="U388" s="10"/>
      <c r="V388" s="2"/>
      <c r="X388" s="13"/>
      <c r="Y388" s="3"/>
      <c r="Z388" s="3"/>
      <c r="AA388" s="12"/>
      <c r="AB388" s="10"/>
      <c r="AC388" s="10"/>
      <c r="AD388" s="10"/>
      <c r="AE388" s="10"/>
      <c r="AI388" s="35"/>
      <c r="AJ388"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88" s="19" t="str">
        <f>IFERROR(IF(OR(TRIM(Table24[[#This Row],[DOB]])="",TRIM(Table24[[#This Row],[Date of Call]])=""),"Cannot be calculated",DATEDIF(Table24[[#This Row],[DOB]],Table24[[#This Row],[Date of Call]],"Y")),"Cannot be calculated")</f>
        <v>Cannot be calculated</v>
      </c>
      <c r="AL388"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88" s="19">
        <f>IFERROR(DATEDIF(Table24[[#This Row],[Date of Call]],Table24[[#This Row],[Follow-up Date]],"D"),"Cannot be calculated")</f>
        <v>0</v>
      </c>
      <c r="AN388" s="19" t="str">
        <f>IF(OR(Table24[[#This Row],[Client Age]]&lt;18,Table24[[#This Row],[If client DOB unknown, is client under 18?]]="Yes"),"Yes","No")</f>
        <v>No</v>
      </c>
      <c r="AO388" s="13" t="str">
        <f>IF(Table24[[#This Row],[Time of Inital Call]]="","",IFERROR(MROUND(Table24[[#This Row],[Time of Inital Call]],"1:00"),""))</f>
        <v/>
      </c>
      <c r="AP388" s="19" t="str">
        <f>IF(Table24[[#This Row],[Date of Call]]="","",TEXT(Table24[[#This Row],[Date of Call]],"dddd"))</f>
        <v/>
      </c>
      <c r="AQ388" s="19" t="str">
        <f>IFERROR(VLOOKUP(Table24[[#This Row],[Residence Zip Code]],Table27[],3,FALSE),"")</f>
        <v/>
      </c>
    </row>
    <row r="389" spans="1:43" x14ac:dyDescent="0.25">
      <c r="A389" s="10"/>
      <c r="C389" s="10"/>
      <c r="D389" s="11"/>
      <c r="E389" s="12"/>
      <c r="F389" s="12"/>
      <c r="G389" s="12"/>
      <c r="H389" s="10"/>
      <c r="I389" s="12"/>
      <c r="J389" s="12"/>
      <c r="K389" s="12"/>
      <c r="L389" s="12"/>
      <c r="M389" s="16"/>
      <c r="N389" s="18"/>
      <c r="O389" s="13"/>
      <c r="P389" s="13"/>
      <c r="Q389" s="13"/>
      <c r="R389" s="18"/>
      <c r="S389" s="13"/>
      <c r="T389" s="13"/>
      <c r="U389" s="10"/>
      <c r="V389" s="2"/>
      <c r="X389" s="13"/>
      <c r="Y389" s="3"/>
      <c r="Z389" s="3"/>
      <c r="AA389" s="12"/>
      <c r="AB389" s="10"/>
      <c r="AC389" s="10"/>
      <c r="AD389" s="10"/>
      <c r="AE389" s="10"/>
      <c r="AI389" s="35"/>
      <c r="AJ389"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89" s="19" t="str">
        <f>IFERROR(IF(OR(TRIM(Table24[[#This Row],[DOB]])="",TRIM(Table24[[#This Row],[Date of Call]])=""),"Cannot be calculated",DATEDIF(Table24[[#This Row],[DOB]],Table24[[#This Row],[Date of Call]],"Y")),"Cannot be calculated")</f>
        <v>Cannot be calculated</v>
      </c>
      <c r="AL389"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89" s="19">
        <f>IFERROR(DATEDIF(Table24[[#This Row],[Date of Call]],Table24[[#This Row],[Follow-up Date]],"D"),"Cannot be calculated")</f>
        <v>0</v>
      </c>
      <c r="AN389" s="19" t="str">
        <f>IF(OR(Table24[[#This Row],[Client Age]]&lt;18,Table24[[#This Row],[If client DOB unknown, is client under 18?]]="Yes"),"Yes","No")</f>
        <v>No</v>
      </c>
      <c r="AO389" s="13" t="str">
        <f>IF(Table24[[#This Row],[Time of Inital Call]]="","",IFERROR(MROUND(Table24[[#This Row],[Time of Inital Call]],"1:00"),""))</f>
        <v/>
      </c>
      <c r="AP389" s="19" t="str">
        <f>IF(Table24[[#This Row],[Date of Call]]="","",TEXT(Table24[[#This Row],[Date of Call]],"dddd"))</f>
        <v/>
      </c>
      <c r="AQ389" s="19" t="str">
        <f>IFERROR(VLOOKUP(Table24[[#This Row],[Residence Zip Code]],Table27[],3,FALSE),"")</f>
        <v/>
      </c>
    </row>
    <row r="390" spans="1:43" x14ac:dyDescent="0.25">
      <c r="A390" s="10"/>
      <c r="C390" s="10"/>
      <c r="D390" s="11"/>
      <c r="E390" s="12"/>
      <c r="F390" s="12"/>
      <c r="G390" s="12"/>
      <c r="H390" s="10"/>
      <c r="I390" s="12"/>
      <c r="J390" s="12"/>
      <c r="K390" s="12"/>
      <c r="L390" s="12"/>
      <c r="M390" s="16"/>
      <c r="N390" s="18"/>
      <c r="O390" s="13"/>
      <c r="P390" s="13"/>
      <c r="Q390" s="13"/>
      <c r="R390" s="18"/>
      <c r="S390" s="13"/>
      <c r="T390" s="13"/>
      <c r="U390" s="10"/>
      <c r="V390" s="2"/>
      <c r="X390" s="13"/>
      <c r="Y390" s="3"/>
      <c r="Z390" s="3"/>
      <c r="AA390" s="12"/>
      <c r="AB390" s="10"/>
      <c r="AC390" s="10"/>
      <c r="AD390" s="10"/>
      <c r="AE390" s="10"/>
      <c r="AI390" s="35"/>
      <c r="AJ390"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90" s="19" t="str">
        <f>IFERROR(IF(OR(TRIM(Table24[[#This Row],[DOB]])="",TRIM(Table24[[#This Row],[Date of Call]])=""),"Cannot be calculated",DATEDIF(Table24[[#This Row],[DOB]],Table24[[#This Row],[Date of Call]],"Y")),"Cannot be calculated")</f>
        <v>Cannot be calculated</v>
      </c>
      <c r="AL390"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90" s="19">
        <f>IFERROR(DATEDIF(Table24[[#This Row],[Date of Call]],Table24[[#This Row],[Follow-up Date]],"D"),"Cannot be calculated")</f>
        <v>0</v>
      </c>
      <c r="AN390" s="19" t="str">
        <f>IF(OR(Table24[[#This Row],[Client Age]]&lt;18,Table24[[#This Row],[If client DOB unknown, is client under 18?]]="Yes"),"Yes","No")</f>
        <v>No</v>
      </c>
      <c r="AO390" s="13" t="str">
        <f>IF(Table24[[#This Row],[Time of Inital Call]]="","",IFERROR(MROUND(Table24[[#This Row],[Time of Inital Call]],"1:00"),""))</f>
        <v/>
      </c>
      <c r="AP390" s="19" t="str">
        <f>IF(Table24[[#This Row],[Date of Call]]="","",TEXT(Table24[[#This Row],[Date of Call]],"dddd"))</f>
        <v/>
      </c>
      <c r="AQ390" s="19" t="str">
        <f>IFERROR(VLOOKUP(Table24[[#This Row],[Residence Zip Code]],Table27[],3,FALSE),"")</f>
        <v/>
      </c>
    </row>
    <row r="391" spans="1:43" x14ac:dyDescent="0.25">
      <c r="A391" s="10"/>
      <c r="C391" s="10"/>
      <c r="D391" s="11"/>
      <c r="E391" s="12"/>
      <c r="F391" s="12"/>
      <c r="G391" s="12"/>
      <c r="H391" s="10"/>
      <c r="I391" s="12"/>
      <c r="J391" s="12"/>
      <c r="K391" s="12"/>
      <c r="L391" s="12"/>
      <c r="M391" s="16"/>
      <c r="N391" s="18"/>
      <c r="O391" s="13"/>
      <c r="P391" s="13"/>
      <c r="Q391" s="13"/>
      <c r="R391" s="18"/>
      <c r="S391" s="13"/>
      <c r="T391" s="13"/>
      <c r="U391" s="10"/>
      <c r="V391" s="2"/>
      <c r="X391" s="13"/>
      <c r="Y391" s="3"/>
      <c r="Z391" s="3"/>
      <c r="AA391" s="12"/>
      <c r="AB391" s="10"/>
      <c r="AC391" s="10"/>
      <c r="AD391" s="10"/>
      <c r="AE391" s="10"/>
      <c r="AI391" s="35"/>
      <c r="AJ391"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91" s="19" t="str">
        <f>IFERROR(IF(OR(TRIM(Table24[[#This Row],[DOB]])="",TRIM(Table24[[#This Row],[Date of Call]])=""),"Cannot be calculated",DATEDIF(Table24[[#This Row],[DOB]],Table24[[#This Row],[Date of Call]],"Y")),"Cannot be calculated")</f>
        <v>Cannot be calculated</v>
      </c>
      <c r="AL391"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91" s="19">
        <f>IFERROR(DATEDIF(Table24[[#This Row],[Date of Call]],Table24[[#This Row],[Follow-up Date]],"D"),"Cannot be calculated")</f>
        <v>0</v>
      </c>
      <c r="AN391" s="19" t="str">
        <f>IF(OR(Table24[[#This Row],[Client Age]]&lt;18,Table24[[#This Row],[If client DOB unknown, is client under 18?]]="Yes"),"Yes","No")</f>
        <v>No</v>
      </c>
      <c r="AO391" s="13" t="str">
        <f>IF(Table24[[#This Row],[Time of Inital Call]]="","",IFERROR(MROUND(Table24[[#This Row],[Time of Inital Call]],"1:00"),""))</f>
        <v/>
      </c>
      <c r="AP391" s="19" t="str">
        <f>IF(Table24[[#This Row],[Date of Call]]="","",TEXT(Table24[[#This Row],[Date of Call]],"dddd"))</f>
        <v/>
      </c>
      <c r="AQ391" s="19" t="str">
        <f>IFERROR(VLOOKUP(Table24[[#This Row],[Residence Zip Code]],Table27[],3,FALSE),"")</f>
        <v/>
      </c>
    </row>
    <row r="392" spans="1:43" x14ac:dyDescent="0.25">
      <c r="A392" s="10"/>
      <c r="C392" s="10"/>
      <c r="D392" s="11"/>
      <c r="E392" s="12"/>
      <c r="F392" s="12"/>
      <c r="G392" s="12"/>
      <c r="H392" s="10"/>
      <c r="I392" s="12"/>
      <c r="J392" s="12"/>
      <c r="K392" s="12"/>
      <c r="L392" s="12"/>
      <c r="M392" s="16"/>
      <c r="N392" s="18"/>
      <c r="O392" s="13"/>
      <c r="P392" s="13"/>
      <c r="Q392" s="13"/>
      <c r="R392" s="18"/>
      <c r="S392" s="13"/>
      <c r="T392" s="13"/>
      <c r="U392" s="10"/>
      <c r="V392" s="2"/>
      <c r="X392" s="13"/>
      <c r="Y392" s="3"/>
      <c r="Z392" s="3"/>
      <c r="AA392" s="12"/>
      <c r="AB392" s="10"/>
      <c r="AC392" s="10"/>
      <c r="AD392" s="10"/>
      <c r="AE392" s="10"/>
      <c r="AI392" s="35"/>
      <c r="AJ392"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92" s="19" t="str">
        <f>IFERROR(IF(OR(TRIM(Table24[[#This Row],[DOB]])="",TRIM(Table24[[#This Row],[Date of Call]])=""),"Cannot be calculated",DATEDIF(Table24[[#This Row],[DOB]],Table24[[#This Row],[Date of Call]],"Y")),"Cannot be calculated")</f>
        <v>Cannot be calculated</v>
      </c>
      <c r="AL392"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92" s="19">
        <f>IFERROR(DATEDIF(Table24[[#This Row],[Date of Call]],Table24[[#This Row],[Follow-up Date]],"D"),"Cannot be calculated")</f>
        <v>0</v>
      </c>
      <c r="AN392" s="19" t="str">
        <f>IF(OR(Table24[[#This Row],[Client Age]]&lt;18,Table24[[#This Row],[If client DOB unknown, is client under 18?]]="Yes"),"Yes","No")</f>
        <v>No</v>
      </c>
      <c r="AO392" s="13" t="str">
        <f>IF(Table24[[#This Row],[Time of Inital Call]]="","",IFERROR(MROUND(Table24[[#This Row],[Time of Inital Call]],"1:00"),""))</f>
        <v/>
      </c>
      <c r="AP392" s="19" t="str">
        <f>IF(Table24[[#This Row],[Date of Call]]="","",TEXT(Table24[[#This Row],[Date of Call]],"dddd"))</f>
        <v/>
      </c>
      <c r="AQ392" s="19" t="str">
        <f>IFERROR(VLOOKUP(Table24[[#This Row],[Residence Zip Code]],Table27[],3,FALSE),"")</f>
        <v/>
      </c>
    </row>
    <row r="393" spans="1:43" x14ac:dyDescent="0.25">
      <c r="A393" s="10"/>
      <c r="C393" s="10"/>
      <c r="D393" s="11"/>
      <c r="E393" s="12"/>
      <c r="F393" s="12"/>
      <c r="G393" s="12"/>
      <c r="H393" s="10"/>
      <c r="I393" s="12"/>
      <c r="J393" s="12"/>
      <c r="K393" s="12"/>
      <c r="L393" s="12"/>
      <c r="M393" s="16"/>
      <c r="N393" s="18"/>
      <c r="O393" s="13"/>
      <c r="P393" s="13"/>
      <c r="Q393" s="13"/>
      <c r="R393" s="18"/>
      <c r="S393" s="13"/>
      <c r="T393" s="13"/>
      <c r="U393" s="10"/>
      <c r="V393" s="2"/>
      <c r="X393" s="13"/>
      <c r="Y393" s="3"/>
      <c r="Z393" s="3"/>
      <c r="AA393" s="12"/>
      <c r="AB393" s="10"/>
      <c r="AC393" s="10"/>
      <c r="AD393" s="10"/>
      <c r="AE393" s="10"/>
      <c r="AI393" s="35"/>
      <c r="AJ393"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93" s="19" t="str">
        <f>IFERROR(IF(OR(TRIM(Table24[[#This Row],[DOB]])="",TRIM(Table24[[#This Row],[Date of Call]])=""),"Cannot be calculated",DATEDIF(Table24[[#This Row],[DOB]],Table24[[#This Row],[Date of Call]],"Y")),"Cannot be calculated")</f>
        <v>Cannot be calculated</v>
      </c>
      <c r="AL393"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93" s="19">
        <f>IFERROR(DATEDIF(Table24[[#This Row],[Date of Call]],Table24[[#This Row],[Follow-up Date]],"D"),"Cannot be calculated")</f>
        <v>0</v>
      </c>
      <c r="AN393" s="19" t="str">
        <f>IF(OR(Table24[[#This Row],[Client Age]]&lt;18,Table24[[#This Row],[If client DOB unknown, is client under 18?]]="Yes"),"Yes","No")</f>
        <v>No</v>
      </c>
      <c r="AO393" s="13" t="str">
        <f>IF(Table24[[#This Row],[Time of Inital Call]]="","",IFERROR(MROUND(Table24[[#This Row],[Time of Inital Call]],"1:00"),""))</f>
        <v/>
      </c>
      <c r="AP393" s="19" t="str">
        <f>IF(Table24[[#This Row],[Date of Call]]="","",TEXT(Table24[[#This Row],[Date of Call]],"dddd"))</f>
        <v/>
      </c>
      <c r="AQ393" s="19" t="str">
        <f>IFERROR(VLOOKUP(Table24[[#This Row],[Residence Zip Code]],Table27[],3,FALSE),"")</f>
        <v/>
      </c>
    </row>
    <row r="394" spans="1:43" x14ac:dyDescent="0.25">
      <c r="A394" s="10"/>
      <c r="C394" s="10"/>
      <c r="D394" s="11"/>
      <c r="E394" s="12"/>
      <c r="F394" s="12"/>
      <c r="G394" s="12"/>
      <c r="H394" s="10"/>
      <c r="I394" s="12"/>
      <c r="J394" s="12"/>
      <c r="K394" s="12"/>
      <c r="L394" s="12"/>
      <c r="M394" s="16"/>
      <c r="N394" s="18"/>
      <c r="O394" s="13"/>
      <c r="P394" s="13"/>
      <c r="Q394" s="13"/>
      <c r="R394" s="18"/>
      <c r="S394" s="13"/>
      <c r="T394" s="13"/>
      <c r="U394" s="10"/>
      <c r="V394" s="2"/>
      <c r="X394" s="13"/>
      <c r="Y394" s="3"/>
      <c r="Z394" s="3"/>
      <c r="AA394" s="12"/>
      <c r="AB394" s="10"/>
      <c r="AC394" s="10"/>
      <c r="AD394" s="10"/>
      <c r="AE394" s="10"/>
      <c r="AI394" s="35"/>
      <c r="AJ394"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94" s="19" t="str">
        <f>IFERROR(IF(OR(TRIM(Table24[[#This Row],[DOB]])="",TRIM(Table24[[#This Row],[Date of Call]])=""),"Cannot be calculated",DATEDIF(Table24[[#This Row],[DOB]],Table24[[#This Row],[Date of Call]],"Y")),"Cannot be calculated")</f>
        <v>Cannot be calculated</v>
      </c>
      <c r="AL394"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94" s="19">
        <f>IFERROR(DATEDIF(Table24[[#This Row],[Date of Call]],Table24[[#This Row],[Follow-up Date]],"D"),"Cannot be calculated")</f>
        <v>0</v>
      </c>
      <c r="AN394" s="19" t="str">
        <f>IF(OR(Table24[[#This Row],[Client Age]]&lt;18,Table24[[#This Row],[If client DOB unknown, is client under 18?]]="Yes"),"Yes","No")</f>
        <v>No</v>
      </c>
      <c r="AO394" s="13" t="str">
        <f>IF(Table24[[#This Row],[Time of Inital Call]]="","",IFERROR(MROUND(Table24[[#This Row],[Time of Inital Call]],"1:00"),""))</f>
        <v/>
      </c>
      <c r="AP394" s="19" t="str">
        <f>IF(Table24[[#This Row],[Date of Call]]="","",TEXT(Table24[[#This Row],[Date of Call]],"dddd"))</f>
        <v/>
      </c>
      <c r="AQ394" s="19" t="str">
        <f>IFERROR(VLOOKUP(Table24[[#This Row],[Residence Zip Code]],Table27[],3,FALSE),"")</f>
        <v/>
      </c>
    </row>
    <row r="395" spans="1:43" x14ac:dyDescent="0.25">
      <c r="A395" s="10"/>
      <c r="C395" s="10"/>
      <c r="D395" s="11"/>
      <c r="E395" s="12"/>
      <c r="F395" s="12"/>
      <c r="G395" s="12"/>
      <c r="H395" s="10"/>
      <c r="I395" s="12"/>
      <c r="J395" s="12"/>
      <c r="K395" s="12"/>
      <c r="L395" s="12"/>
      <c r="M395" s="16"/>
      <c r="N395" s="18"/>
      <c r="O395" s="13"/>
      <c r="P395" s="13"/>
      <c r="Q395" s="13"/>
      <c r="R395" s="18"/>
      <c r="S395" s="13"/>
      <c r="T395" s="13"/>
      <c r="U395" s="10"/>
      <c r="V395" s="2"/>
      <c r="X395" s="13"/>
      <c r="Y395" s="3"/>
      <c r="Z395" s="3"/>
      <c r="AA395" s="12"/>
      <c r="AB395" s="10"/>
      <c r="AC395" s="10"/>
      <c r="AD395" s="10"/>
      <c r="AE395" s="10"/>
      <c r="AI395" s="35"/>
      <c r="AJ395"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95" s="19" t="str">
        <f>IFERROR(IF(OR(TRIM(Table24[[#This Row],[DOB]])="",TRIM(Table24[[#This Row],[Date of Call]])=""),"Cannot be calculated",DATEDIF(Table24[[#This Row],[DOB]],Table24[[#This Row],[Date of Call]],"Y")),"Cannot be calculated")</f>
        <v>Cannot be calculated</v>
      </c>
      <c r="AL395"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95" s="19">
        <f>IFERROR(DATEDIF(Table24[[#This Row],[Date of Call]],Table24[[#This Row],[Follow-up Date]],"D"),"Cannot be calculated")</f>
        <v>0</v>
      </c>
      <c r="AN395" s="19" t="str">
        <f>IF(OR(Table24[[#This Row],[Client Age]]&lt;18,Table24[[#This Row],[If client DOB unknown, is client under 18?]]="Yes"),"Yes","No")</f>
        <v>No</v>
      </c>
      <c r="AO395" s="13" t="str">
        <f>IF(Table24[[#This Row],[Time of Inital Call]]="","",IFERROR(MROUND(Table24[[#This Row],[Time of Inital Call]],"1:00"),""))</f>
        <v/>
      </c>
      <c r="AP395" s="19" t="str">
        <f>IF(Table24[[#This Row],[Date of Call]]="","",TEXT(Table24[[#This Row],[Date of Call]],"dddd"))</f>
        <v/>
      </c>
      <c r="AQ395" s="19" t="str">
        <f>IFERROR(VLOOKUP(Table24[[#This Row],[Residence Zip Code]],Table27[],3,FALSE),"")</f>
        <v/>
      </c>
    </row>
    <row r="396" spans="1:43" x14ac:dyDescent="0.25">
      <c r="A396" s="10"/>
      <c r="C396" s="10"/>
      <c r="D396" s="11"/>
      <c r="E396" s="12"/>
      <c r="F396" s="12"/>
      <c r="G396" s="12"/>
      <c r="H396" s="10"/>
      <c r="I396" s="12"/>
      <c r="J396" s="12"/>
      <c r="K396" s="12"/>
      <c r="L396" s="12"/>
      <c r="M396" s="16"/>
      <c r="N396" s="18"/>
      <c r="O396" s="13"/>
      <c r="P396" s="13"/>
      <c r="Q396" s="13"/>
      <c r="R396" s="18"/>
      <c r="S396" s="13"/>
      <c r="T396" s="13"/>
      <c r="U396" s="10"/>
      <c r="V396" s="2"/>
      <c r="X396" s="13"/>
      <c r="Y396" s="3"/>
      <c r="Z396" s="3"/>
      <c r="AA396" s="12"/>
      <c r="AB396" s="10"/>
      <c r="AC396" s="10"/>
      <c r="AD396" s="10"/>
      <c r="AE396" s="10"/>
      <c r="AI396" s="35"/>
      <c r="AJ396"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96" s="19" t="str">
        <f>IFERROR(IF(OR(TRIM(Table24[[#This Row],[DOB]])="",TRIM(Table24[[#This Row],[Date of Call]])=""),"Cannot be calculated",DATEDIF(Table24[[#This Row],[DOB]],Table24[[#This Row],[Date of Call]],"Y")),"Cannot be calculated")</f>
        <v>Cannot be calculated</v>
      </c>
      <c r="AL396"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96" s="19">
        <f>IFERROR(DATEDIF(Table24[[#This Row],[Date of Call]],Table24[[#This Row],[Follow-up Date]],"D"),"Cannot be calculated")</f>
        <v>0</v>
      </c>
      <c r="AN396" s="19" t="str">
        <f>IF(OR(Table24[[#This Row],[Client Age]]&lt;18,Table24[[#This Row],[If client DOB unknown, is client under 18?]]="Yes"),"Yes","No")</f>
        <v>No</v>
      </c>
      <c r="AO396" s="13" t="str">
        <f>IF(Table24[[#This Row],[Time of Inital Call]]="","",IFERROR(MROUND(Table24[[#This Row],[Time of Inital Call]],"1:00"),""))</f>
        <v/>
      </c>
      <c r="AP396" s="19" t="str">
        <f>IF(Table24[[#This Row],[Date of Call]]="","",TEXT(Table24[[#This Row],[Date of Call]],"dddd"))</f>
        <v/>
      </c>
      <c r="AQ396" s="19" t="str">
        <f>IFERROR(VLOOKUP(Table24[[#This Row],[Residence Zip Code]],Table27[],3,FALSE),"")</f>
        <v/>
      </c>
    </row>
    <row r="397" spans="1:43" x14ac:dyDescent="0.25">
      <c r="A397" s="10"/>
      <c r="C397" s="10"/>
      <c r="D397" s="11"/>
      <c r="E397" s="12"/>
      <c r="F397" s="12"/>
      <c r="G397" s="12"/>
      <c r="H397" s="10"/>
      <c r="I397" s="12"/>
      <c r="J397" s="12"/>
      <c r="K397" s="12"/>
      <c r="L397" s="12"/>
      <c r="M397" s="16"/>
      <c r="N397" s="18"/>
      <c r="O397" s="13"/>
      <c r="P397" s="13"/>
      <c r="Q397" s="13"/>
      <c r="R397" s="18"/>
      <c r="S397" s="13"/>
      <c r="T397" s="13"/>
      <c r="U397" s="10"/>
      <c r="V397" s="2"/>
      <c r="X397" s="13"/>
      <c r="Y397" s="3"/>
      <c r="Z397" s="3"/>
      <c r="AA397" s="12"/>
      <c r="AB397" s="10"/>
      <c r="AC397" s="10"/>
      <c r="AD397" s="10"/>
      <c r="AE397" s="10"/>
      <c r="AI397" s="35"/>
      <c r="AJ397"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97" s="19" t="str">
        <f>IFERROR(IF(OR(TRIM(Table24[[#This Row],[DOB]])="",TRIM(Table24[[#This Row],[Date of Call]])=""),"Cannot be calculated",DATEDIF(Table24[[#This Row],[DOB]],Table24[[#This Row],[Date of Call]],"Y")),"Cannot be calculated")</f>
        <v>Cannot be calculated</v>
      </c>
      <c r="AL397"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97" s="19">
        <f>IFERROR(DATEDIF(Table24[[#This Row],[Date of Call]],Table24[[#This Row],[Follow-up Date]],"D"),"Cannot be calculated")</f>
        <v>0</v>
      </c>
      <c r="AN397" s="19" t="str">
        <f>IF(OR(Table24[[#This Row],[Client Age]]&lt;18,Table24[[#This Row],[If client DOB unknown, is client under 18?]]="Yes"),"Yes","No")</f>
        <v>No</v>
      </c>
      <c r="AO397" s="13" t="str">
        <f>IF(Table24[[#This Row],[Time of Inital Call]]="","",IFERROR(MROUND(Table24[[#This Row],[Time of Inital Call]],"1:00"),""))</f>
        <v/>
      </c>
      <c r="AP397" s="19" t="str">
        <f>IF(Table24[[#This Row],[Date of Call]]="","",TEXT(Table24[[#This Row],[Date of Call]],"dddd"))</f>
        <v/>
      </c>
      <c r="AQ397" s="19" t="str">
        <f>IFERROR(VLOOKUP(Table24[[#This Row],[Residence Zip Code]],Table27[],3,FALSE),"")</f>
        <v/>
      </c>
    </row>
    <row r="398" spans="1:43" x14ac:dyDescent="0.25">
      <c r="A398" s="10"/>
      <c r="C398" s="10"/>
      <c r="D398" s="11"/>
      <c r="E398" s="12"/>
      <c r="F398" s="12"/>
      <c r="G398" s="12"/>
      <c r="H398" s="10"/>
      <c r="I398" s="12"/>
      <c r="J398" s="12"/>
      <c r="K398" s="12"/>
      <c r="L398" s="12"/>
      <c r="M398" s="16"/>
      <c r="N398" s="18"/>
      <c r="O398" s="13"/>
      <c r="P398" s="13"/>
      <c r="Q398" s="13"/>
      <c r="R398" s="18"/>
      <c r="S398" s="13"/>
      <c r="T398" s="13"/>
      <c r="U398" s="10"/>
      <c r="V398" s="2"/>
      <c r="X398" s="13"/>
      <c r="Y398" s="3"/>
      <c r="Z398" s="3"/>
      <c r="AA398" s="12"/>
      <c r="AB398" s="10"/>
      <c r="AC398" s="10"/>
      <c r="AD398" s="10"/>
      <c r="AE398" s="10"/>
      <c r="AI398" s="35"/>
      <c r="AJ398"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98" s="19" t="str">
        <f>IFERROR(IF(OR(TRIM(Table24[[#This Row],[DOB]])="",TRIM(Table24[[#This Row],[Date of Call]])=""),"Cannot be calculated",DATEDIF(Table24[[#This Row],[DOB]],Table24[[#This Row],[Date of Call]],"Y")),"Cannot be calculated")</f>
        <v>Cannot be calculated</v>
      </c>
      <c r="AL398"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98" s="19">
        <f>IFERROR(DATEDIF(Table24[[#This Row],[Date of Call]],Table24[[#This Row],[Follow-up Date]],"D"),"Cannot be calculated")</f>
        <v>0</v>
      </c>
      <c r="AN398" s="19" t="str">
        <f>IF(OR(Table24[[#This Row],[Client Age]]&lt;18,Table24[[#This Row],[If client DOB unknown, is client under 18?]]="Yes"),"Yes","No")</f>
        <v>No</v>
      </c>
      <c r="AO398" s="13" t="str">
        <f>IF(Table24[[#This Row],[Time of Inital Call]]="","",IFERROR(MROUND(Table24[[#This Row],[Time of Inital Call]],"1:00"),""))</f>
        <v/>
      </c>
      <c r="AP398" s="19" t="str">
        <f>IF(Table24[[#This Row],[Date of Call]]="","",TEXT(Table24[[#This Row],[Date of Call]],"dddd"))</f>
        <v/>
      </c>
      <c r="AQ398" s="19" t="str">
        <f>IFERROR(VLOOKUP(Table24[[#This Row],[Residence Zip Code]],Table27[],3,FALSE),"")</f>
        <v/>
      </c>
    </row>
    <row r="399" spans="1:43" x14ac:dyDescent="0.25">
      <c r="A399" s="10"/>
      <c r="C399" s="10"/>
      <c r="D399" s="11"/>
      <c r="E399" s="12"/>
      <c r="F399" s="12"/>
      <c r="G399" s="12"/>
      <c r="H399" s="10"/>
      <c r="I399" s="12"/>
      <c r="J399" s="12"/>
      <c r="K399" s="12"/>
      <c r="L399" s="12"/>
      <c r="M399" s="16"/>
      <c r="N399" s="18"/>
      <c r="O399" s="13"/>
      <c r="P399" s="13"/>
      <c r="Q399" s="13"/>
      <c r="R399" s="18"/>
      <c r="S399" s="13"/>
      <c r="T399" s="13"/>
      <c r="U399" s="10"/>
      <c r="V399" s="2"/>
      <c r="X399" s="13"/>
      <c r="Y399" s="3"/>
      <c r="Z399" s="3"/>
      <c r="AA399" s="12"/>
      <c r="AB399" s="10"/>
      <c r="AC399" s="10"/>
      <c r="AD399" s="10"/>
      <c r="AE399" s="10"/>
      <c r="AI399" s="35"/>
      <c r="AJ399"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399" s="19" t="str">
        <f>IFERROR(IF(OR(TRIM(Table24[[#This Row],[DOB]])="",TRIM(Table24[[#This Row],[Date of Call]])=""),"Cannot be calculated",DATEDIF(Table24[[#This Row],[DOB]],Table24[[#This Row],[Date of Call]],"Y")),"Cannot be calculated")</f>
        <v>Cannot be calculated</v>
      </c>
      <c r="AL399"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399" s="19">
        <f>IFERROR(DATEDIF(Table24[[#This Row],[Date of Call]],Table24[[#This Row],[Follow-up Date]],"D"),"Cannot be calculated")</f>
        <v>0</v>
      </c>
      <c r="AN399" s="19" t="str">
        <f>IF(OR(Table24[[#This Row],[Client Age]]&lt;18,Table24[[#This Row],[If client DOB unknown, is client under 18?]]="Yes"),"Yes","No")</f>
        <v>No</v>
      </c>
      <c r="AO399" s="13" t="str">
        <f>IF(Table24[[#This Row],[Time of Inital Call]]="","",IFERROR(MROUND(Table24[[#This Row],[Time of Inital Call]],"1:00"),""))</f>
        <v/>
      </c>
      <c r="AP399" s="19" t="str">
        <f>IF(Table24[[#This Row],[Date of Call]]="","",TEXT(Table24[[#This Row],[Date of Call]],"dddd"))</f>
        <v/>
      </c>
      <c r="AQ399" s="19" t="str">
        <f>IFERROR(VLOOKUP(Table24[[#This Row],[Residence Zip Code]],Table27[],3,FALSE),"")</f>
        <v/>
      </c>
    </row>
    <row r="400" spans="1:43" x14ac:dyDescent="0.25">
      <c r="A400" s="10"/>
      <c r="C400" s="10"/>
      <c r="D400" s="11"/>
      <c r="E400" s="12"/>
      <c r="F400" s="12"/>
      <c r="G400" s="12"/>
      <c r="H400" s="10"/>
      <c r="I400" s="12"/>
      <c r="J400" s="12"/>
      <c r="K400" s="12"/>
      <c r="L400" s="12"/>
      <c r="M400" s="16"/>
      <c r="N400" s="18"/>
      <c r="O400" s="13"/>
      <c r="P400" s="13"/>
      <c r="Q400" s="13"/>
      <c r="R400" s="18"/>
      <c r="S400" s="13"/>
      <c r="T400" s="13"/>
      <c r="U400" s="10"/>
      <c r="V400" s="2"/>
      <c r="X400" s="13"/>
      <c r="Y400" s="3"/>
      <c r="Z400" s="3"/>
      <c r="AA400" s="12"/>
      <c r="AB400" s="10"/>
      <c r="AC400" s="10"/>
      <c r="AD400" s="10"/>
      <c r="AE400" s="10"/>
      <c r="AI400" s="35"/>
      <c r="AJ400"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00" s="19" t="str">
        <f>IFERROR(IF(OR(TRIM(Table24[[#This Row],[DOB]])="",TRIM(Table24[[#This Row],[Date of Call]])=""),"Cannot be calculated",DATEDIF(Table24[[#This Row],[DOB]],Table24[[#This Row],[Date of Call]],"Y")),"Cannot be calculated")</f>
        <v>Cannot be calculated</v>
      </c>
      <c r="AL400"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00" s="19">
        <f>IFERROR(DATEDIF(Table24[[#This Row],[Date of Call]],Table24[[#This Row],[Follow-up Date]],"D"),"Cannot be calculated")</f>
        <v>0</v>
      </c>
      <c r="AN400" s="19" t="str">
        <f>IF(OR(Table24[[#This Row],[Client Age]]&lt;18,Table24[[#This Row],[If client DOB unknown, is client under 18?]]="Yes"),"Yes","No")</f>
        <v>No</v>
      </c>
      <c r="AO400" s="13" t="str">
        <f>IF(Table24[[#This Row],[Time of Inital Call]]="","",IFERROR(MROUND(Table24[[#This Row],[Time of Inital Call]],"1:00"),""))</f>
        <v/>
      </c>
      <c r="AP400" s="19" t="str">
        <f>IF(Table24[[#This Row],[Date of Call]]="","",TEXT(Table24[[#This Row],[Date of Call]],"dddd"))</f>
        <v/>
      </c>
      <c r="AQ400" s="19" t="str">
        <f>IFERROR(VLOOKUP(Table24[[#This Row],[Residence Zip Code]],Table27[],3,FALSE),"")</f>
        <v/>
      </c>
    </row>
    <row r="401" spans="1:43" x14ac:dyDescent="0.25">
      <c r="A401" s="10"/>
      <c r="C401" s="10"/>
      <c r="D401" s="11"/>
      <c r="E401" s="12"/>
      <c r="F401" s="12"/>
      <c r="G401" s="12"/>
      <c r="H401" s="10"/>
      <c r="I401" s="12"/>
      <c r="J401" s="12"/>
      <c r="K401" s="12"/>
      <c r="L401" s="12"/>
      <c r="M401" s="16"/>
      <c r="N401" s="18"/>
      <c r="O401" s="13"/>
      <c r="P401" s="13"/>
      <c r="Q401" s="13"/>
      <c r="R401" s="18"/>
      <c r="S401" s="13"/>
      <c r="T401" s="13"/>
      <c r="U401" s="10"/>
      <c r="V401" s="2"/>
      <c r="X401" s="13"/>
      <c r="Y401" s="3"/>
      <c r="Z401" s="3"/>
      <c r="AA401" s="12"/>
      <c r="AB401" s="10"/>
      <c r="AC401" s="10"/>
      <c r="AD401" s="10"/>
      <c r="AE401" s="10"/>
      <c r="AI401" s="35"/>
      <c r="AJ401"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01" s="19" t="str">
        <f>IFERROR(IF(OR(TRIM(Table24[[#This Row],[DOB]])="",TRIM(Table24[[#This Row],[Date of Call]])=""),"Cannot be calculated",DATEDIF(Table24[[#This Row],[DOB]],Table24[[#This Row],[Date of Call]],"Y")),"Cannot be calculated")</f>
        <v>Cannot be calculated</v>
      </c>
      <c r="AL401"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01" s="19">
        <f>IFERROR(DATEDIF(Table24[[#This Row],[Date of Call]],Table24[[#This Row],[Follow-up Date]],"D"),"Cannot be calculated")</f>
        <v>0</v>
      </c>
      <c r="AN401" s="19" t="str">
        <f>IF(OR(Table24[[#This Row],[Client Age]]&lt;18,Table24[[#This Row],[If client DOB unknown, is client under 18?]]="Yes"),"Yes","No")</f>
        <v>No</v>
      </c>
      <c r="AO401" s="13" t="str">
        <f>IF(Table24[[#This Row],[Time of Inital Call]]="","",IFERROR(MROUND(Table24[[#This Row],[Time of Inital Call]],"1:00"),""))</f>
        <v/>
      </c>
      <c r="AP401" s="19" t="str">
        <f>IF(Table24[[#This Row],[Date of Call]]="","",TEXT(Table24[[#This Row],[Date of Call]],"dddd"))</f>
        <v/>
      </c>
      <c r="AQ401" s="19" t="str">
        <f>IFERROR(VLOOKUP(Table24[[#This Row],[Residence Zip Code]],Table27[],3,FALSE),"")</f>
        <v/>
      </c>
    </row>
    <row r="402" spans="1:43" x14ac:dyDescent="0.25">
      <c r="A402" s="10"/>
      <c r="C402" s="10"/>
      <c r="D402" s="11"/>
      <c r="E402" s="12"/>
      <c r="F402" s="12"/>
      <c r="G402" s="12"/>
      <c r="H402" s="10"/>
      <c r="I402" s="12"/>
      <c r="J402" s="12"/>
      <c r="K402" s="12"/>
      <c r="L402" s="12"/>
      <c r="M402" s="16"/>
      <c r="N402" s="18"/>
      <c r="O402" s="13"/>
      <c r="P402" s="13"/>
      <c r="Q402" s="13"/>
      <c r="R402" s="18"/>
      <c r="S402" s="13"/>
      <c r="T402" s="13"/>
      <c r="U402" s="10"/>
      <c r="V402" s="2"/>
      <c r="X402" s="13"/>
      <c r="Y402" s="3"/>
      <c r="Z402" s="3"/>
      <c r="AA402" s="12"/>
      <c r="AB402" s="10"/>
      <c r="AC402" s="10"/>
      <c r="AD402" s="10"/>
      <c r="AE402" s="10"/>
      <c r="AI402" s="35"/>
      <c r="AJ402"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02" s="19" t="str">
        <f>IFERROR(IF(OR(TRIM(Table24[[#This Row],[DOB]])="",TRIM(Table24[[#This Row],[Date of Call]])=""),"Cannot be calculated",DATEDIF(Table24[[#This Row],[DOB]],Table24[[#This Row],[Date of Call]],"Y")),"Cannot be calculated")</f>
        <v>Cannot be calculated</v>
      </c>
      <c r="AL402"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02" s="19">
        <f>IFERROR(DATEDIF(Table24[[#This Row],[Date of Call]],Table24[[#This Row],[Follow-up Date]],"D"),"Cannot be calculated")</f>
        <v>0</v>
      </c>
      <c r="AN402" s="19" t="str">
        <f>IF(OR(Table24[[#This Row],[Client Age]]&lt;18,Table24[[#This Row],[If client DOB unknown, is client under 18?]]="Yes"),"Yes","No")</f>
        <v>No</v>
      </c>
      <c r="AO402" s="13" t="str">
        <f>IF(Table24[[#This Row],[Time of Inital Call]]="","",IFERROR(MROUND(Table24[[#This Row],[Time of Inital Call]],"1:00"),""))</f>
        <v/>
      </c>
      <c r="AP402" s="19" t="str">
        <f>IF(Table24[[#This Row],[Date of Call]]="","",TEXT(Table24[[#This Row],[Date of Call]],"dddd"))</f>
        <v/>
      </c>
      <c r="AQ402" s="19" t="str">
        <f>IFERROR(VLOOKUP(Table24[[#This Row],[Residence Zip Code]],Table27[],3,FALSE),"")</f>
        <v/>
      </c>
    </row>
    <row r="403" spans="1:43" x14ac:dyDescent="0.25">
      <c r="A403" s="10"/>
      <c r="C403" s="10"/>
      <c r="D403" s="11"/>
      <c r="E403" s="12"/>
      <c r="F403" s="12"/>
      <c r="G403" s="12"/>
      <c r="H403" s="10"/>
      <c r="I403" s="12"/>
      <c r="J403" s="12"/>
      <c r="K403" s="12"/>
      <c r="L403" s="12"/>
      <c r="M403" s="16"/>
      <c r="N403" s="18"/>
      <c r="O403" s="13"/>
      <c r="P403" s="13"/>
      <c r="Q403" s="13"/>
      <c r="R403" s="18"/>
      <c r="S403" s="13"/>
      <c r="T403" s="13"/>
      <c r="U403" s="10"/>
      <c r="V403" s="2"/>
      <c r="X403" s="13"/>
      <c r="Y403" s="3"/>
      <c r="Z403" s="3"/>
      <c r="AA403" s="12"/>
      <c r="AB403" s="10"/>
      <c r="AC403" s="10"/>
      <c r="AD403" s="10"/>
      <c r="AE403" s="10"/>
      <c r="AI403" s="35"/>
      <c r="AJ403"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03" s="19" t="str">
        <f>IFERROR(IF(OR(TRIM(Table24[[#This Row],[DOB]])="",TRIM(Table24[[#This Row],[Date of Call]])=""),"Cannot be calculated",DATEDIF(Table24[[#This Row],[DOB]],Table24[[#This Row],[Date of Call]],"Y")),"Cannot be calculated")</f>
        <v>Cannot be calculated</v>
      </c>
      <c r="AL403"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03" s="19">
        <f>IFERROR(DATEDIF(Table24[[#This Row],[Date of Call]],Table24[[#This Row],[Follow-up Date]],"D"),"Cannot be calculated")</f>
        <v>0</v>
      </c>
      <c r="AN403" s="19" t="str">
        <f>IF(OR(Table24[[#This Row],[Client Age]]&lt;18,Table24[[#This Row],[If client DOB unknown, is client under 18?]]="Yes"),"Yes","No")</f>
        <v>No</v>
      </c>
      <c r="AO403" s="13" t="str">
        <f>IF(Table24[[#This Row],[Time of Inital Call]]="","",IFERROR(MROUND(Table24[[#This Row],[Time of Inital Call]],"1:00"),""))</f>
        <v/>
      </c>
      <c r="AP403" s="19" t="str">
        <f>IF(Table24[[#This Row],[Date of Call]]="","",TEXT(Table24[[#This Row],[Date of Call]],"dddd"))</f>
        <v/>
      </c>
      <c r="AQ403" s="19" t="str">
        <f>IFERROR(VLOOKUP(Table24[[#This Row],[Residence Zip Code]],Table27[],3,FALSE),"")</f>
        <v/>
      </c>
    </row>
    <row r="404" spans="1:43" x14ac:dyDescent="0.25">
      <c r="A404" s="10"/>
      <c r="C404" s="10"/>
      <c r="D404" s="11"/>
      <c r="E404" s="12"/>
      <c r="F404" s="12"/>
      <c r="G404" s="12"/>
      <c r="H404" s="10"/>
      <c r="I404" s="12"/>
      <c r="J404" s="12"/>
      <c r="K404" s="12"/>
      <c r="L404" s="12"/>
      <c r="M404" s="16"/>
      <c r="N404" s="18"/>
      <c r="O404" s="13"/>
      <c r="P404" s="13"/>
      <c r="Q404" s="13"/>
      <c r="R404" s="18"/>
      <c r="S404" s="13"/>
      <c r="T404" s="13"/>
      <c r="U404" s="10"/>
      <c r="V404" s="2"/>
      <c r="X404" s="13"/>
      <c r="Y404" s="3"/>
      <c r="Z404" s="3"/>
      <c r="AA404" s="12"/>
      <c r="AB404" s="10"/>
      <c r="AC404" s="10"/>
      <c r="AD404" s="10"/>
      <c r="AE404" s="10"/>
      <c r="AI404" s="35"/>
      <c r="AJ404"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04" s="19" t="str">
        <f>IFERROR(IF(OR(TRIM(Table24[[#This Row],[DOB]])="",TRIM(Table24[[#This Row],[Date of Call]])=""),"Cannot be calculated",DATEDIF(Table24[[#This Row],[DOB]],Table24[[#This Row],[Date of Call]],"Y")),"Cannot be calculated")</f>
        <v>Cannot be calculated</v>
      </c>
      <c r="AL404"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04" s="19">
        <f>IFERROR(DATEDIF(Table24[[#This Row],[Date of Call]],Table24[[#This Row],[Follow-up Date]],"D"),"Cannot be calculated")</f>
        <v>0</v>
      </c>
      <c r="AN404" s="19" t="str">
        <f>IF(OR(Table24[[#This Row],[Client Age]]&lt;18,Table24[[#This Row],[If client DOB unknown, is client under 18?]]="Yes"),"Yes","No")</f>
        <v>No</v>
      </c>
      <c r="AO404" s="13" t="str">
        <f>IF(Table24[[#This Row],[Time of Inital Call]]="","",IFERROR(MROUND(Table24[[#This Row],[Time of Inital Call]],"1:00"),""))</f>
        <v/>
      </c>
      <c r="AP404" s="19" t="str">
        <f>IF(Table24[[#This Row],[Date of Call]]="","",TEXT(Table24[[#This Row],[Date of Call]],"dddd"))</f>
        <v/>
      </c>
      <c r="AQ404" s="19" t="str">
        <f>IFERROR(VLOOKUP(Table24[[#This Row],[Residence Zip Code]],Table27[],3,FALSE),"")</f>
        <v/>
      </c>
    </row>
    <row r="405" spans="1:43" x14ac:dyDescent="0.25">
      <c r="A405" s="10"/>
      <c r="C405" s="10"/>
      <c r="D405" s="11"/>
      <c r="E405" s="12"/>
      <c r="F405" s="12"/>
      <c r="G405" s="12"/>
      <c r="H405" s="10"/>
      <c r="I405" s="12"/>
      <c r="J405" s="12"/>
      <c r="K405" s="12"/>
      <c r="L405" s="12"/>
      <c r="M405" s="16"/>
      <c r="N405" s="18"/>
      <c r="O405" s="13"/>
      <c r="P405" s="13"/>
      <c r="Q405" s="13"/>
      <c r="R405" s="18"/>
      <c r="S405" s="13"/>
      <c r="T405" s="13"/>
      <c r="U405" s="10"/>
      <c r="V405" s="2"/>
      <c r="X405" s="13"/>
      <c r="Y405" s="3"/>
      <c r="Z405" s="3"/>
      <c r="AA405" s="12"/>
      <c r="AB405" s="10"/>
      <c r="AC405" s="10"/>
      <c r="AD405" s="10"/>
      <c r="AE405" s="10"/>
      <c r="AI405" s="35"/>
      <c r="AJ405"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05" s="19" t="str">
        <f>IFERROR(IF(OR(TRIM(Table24[[#This Row],[DOB]])="",TRIM(Table24[[#This Row],[Date of Call]])=""),"Cannot be calculated",DATEDIF(Table24[[#This Row],[DOB]],Table24[[#This Row],[Date of Call]],"Y")),"Cannot be calculated")</f>
        <v>Cannot be calculated</v>
      </c>
      <c r="AL405"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05" s="19">
        <f>IFERROR(DATEDIF(Table24[[#This Row],[Date of Call]],Table24[[#This Row],[Follow-up Date]],"D"),"Cannot be calculated")</f>
        <v>0</v>
      </c>
      <c r="AN405" s="19" t="str">
        <f>IF(OR(Table24[[#This Row],[Client Age]]&lt;18,Table24[[#This Row],[If client DOB unknown, is client under 18?]]="Yes"),"Yes","No")</f>
        <v>No</v>
      </c>
      <c r="AO405" s="13" t="str">
        <f>IF(Table24[[#This Row],[Time of Inital Call]]="","",IFERROR(MROUND(Table24[[#This Row],[Time of Inital Call]],"1:00"),""))</f>
        <v/>
      </c>
      <c r="AP405" s="19" t="str">
        <f>IF(Table24[[#This Row],[Date of Call]]="","",TEXT(Table24[[#This Row],[Date of Call]],"dddd"))</f>
        <v/>
      </c>
      <c r="AQ405" s="19" t="str">
        <f>IFERROR(VLOOKUP(Table24[[#This Row],[Residence Zip Code]],Table27[],3,FALSE),"")</f>
        <v/>
      </c>
    </row>
    <row r="406" spans="1:43" x14ac:dyDescent="0.25">
      <c r="A406" s="10"/>
      <c r="C406" s="10"/>
      <c r="D406" s="11"/>
      <c r="E406" s="12"/>
      <c r="F406" s="12"/>
      <c r="G406" s="12"/>
      <c r="H406" s="10"/>
      <c r="I406" s="12"/>
      <c r="J406" s="12"/>
      <c r="K406" s="12"/>
      <c r="L406" s="12"/>
      <c r="M406" s="16"/>
      <c r="N406" s="18"/>
      <c r="O406" s="13"/>
      <c r="P406" s="13"/>
      <c r="Q406" s="13"/>
      <c r="R406" s="18"/>
      <c r="S406" s="13"/>
      <c r="T406" s="13"/>
      <c r="U406" s="10"/>
      <c r="V406" s="2"/>
      <c r="X406" s="13"/>
      <c r="Y406" s="3"/>
      <c r="Z406" s="3"/>
      <c r="AA406" s="12"/>
      <c r="AB406" s="10"/>
      <c r="AC406" s="10"/>
      <c r="AD406" s="10"/>
      <c r="AE406" s="10"/>
      <c r="AI406" s="35"/>
      <c r="AJ406"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06" s="19" t="str">
        <f>IFERROR(IF(OR(TRIM(Table24[[#This Row],[DOB]])="",TRIM(Table24[[#This Row],[Date of Call]])=""),"Cannot be calculated",DATEDIF(Table24[[#This Row],[DOB]],Table24[[#This Row],[Date of Call]],"Y")),"Cannot be calculated")</f>
        <v>Cannot be calculated</v>
      </c>
      <c r="AL406"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06" s="19">
        <f>IFERROR(DATEDIF(Table24[[#This Row],[Date of Call]],Table24[[#This Row],[Follow-up Date]],"D"),"Cannot be calculated")</f>
        <v>0</v>
      </c>
      <c r="AN406" s="19" t="str">
        <f>IF(OR(Table24[[#This Row],[Client Age]]&lt;18,Table24[[#This Row],[If client DOB unknown, is client under 18?]]="Yes"),"Yes","No")</f>
        <v>No</v>
      </c>
      <c r="AO406" s="13" t="str">
        <f>IF(Table24[[#This Row],[Time of Inital Call]]="","",IFERROR(MROUND(Table24[[#This Row],[Time of Inital Call]],"1:00"),""))</f>
        <v/>
      </c>
      <c r="AP406" s="19" t="str">
        <f>IF(Table24[[#This Row],[Date of Call]]="","",TEXT(Table24[[#This Row],[Date of Call]],"dddd"))</f>
        <v/>
      </c>
      <c r="AQ406" s="19" t="str">
        <f>IFERROR(VLOOKUP(Table24[[#This Row],[Residence Zip Code]],Table27[],3,FALSE),"")</f>
        <v/>
      </c>
    </row>
    <row r="407" spans="1:43" x14ac:dyDescent="0.25">
      <c r="A407" s="10"/>
      <c r="C407" s="10"/>
      <c r="D407" s="11"/>
      <c r="E407" s="12"/>
      <c r="F407" s="12"/>
      <c r="G407" s="12"/>
      <c r="H407" s="10"/>
      <c r="I407" s="12"/>
      <c r="J407" s="12"/>
      <c r="K407" s="12"/>
      <c r="L407" s="12"/>
      <c r="M407" s="16"/>
      <c r="N407" s="18"/>
      <c r="O407" s="13"/>
      <c r="P407" s="13"/>
      <c r="Q407" s="13"/>
      <c r="R407" s="18"/>
      <c r="S407" s="13"/>
      <c r="T407" s="13"/>
      <c r="U407" s="10"/>
      <c r="V407" s="2"/>
      <c r="X407" s="13"/>
      <c r="Y407" s="3"/>
      <c r="Z407" s="3"/>
      <c r="AA407" s="12"/>
      <c r="AB407" s="10"/>
      <c r="AC407" s="10"/>
      <c r="AD407" s="10"/>
      <c r="AE407" s="10"/>
      <c r="AI407" s="35"/>
      <c r="AJ407"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07" s="19" t="str">
        <f>IFERROR(IF(OR(TRIM(Table24[[#This Row],[DOB]])="",TRIM(Table24[[#This Row],[Date of Call]])=""),"Cannot be calculated",DATEDIF(Table24[[#This Row],[DOB]],Table24[[#This Row],[Date of Call]],"Y")),"Cannot be calculated")</f>
        <v>Cannot be calculated</v>
      </c>
      <c r="AL407"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07" s="19">
        <f>IFERROR(DATEDIF(Table24[[#This Row],[Date of Call]],Table24[[#This Row],[Follow-up Date]],"D"),"Cannot be calculated")</f>
        <v>0</v>
      </c>
      <c r="AN407" s="19" t="str">
        <f>IF(OR(Table24[[#This Row],[Client Age]]&lt;18,Table24[[#This Row],[If client DOB unknown, is client under 18?]]="Yes"),"Yes","No")</f>
        <v>No</v>
      </c>
      <c r="AO407" s="13" t="str">
        <f>IF(Table24[[#This Row],[Time of Inital Call]]="","",IFERROR(MROUND(Table24[[#This Row],[Time of Inital Call]],"1:00"),""))</f>
        <v/>
      </c>
      <c r="AP407" s="19" t="str">
        <f>IF(Table24[[#This Row],[Date of Call]]="","",TEXT(Table24[[#This Row],[Date of Call]],"dddd"))</f>
        <v/>
      </c>
      <c r="AQ407" s="19" t="str">
        <f>IFERROR(VLOOKUP(Table24[[#This Row],[Residence Zip Code]],Table27[],3,FALSE),"")</f>
        <v/>
      </c>
    </row>
    <row r="408" spans="1:43" x14ac:dyDescent="0.25">
      <c r="A408" s="10"/>
      <c r="C408" s="10"/>
      <c r="D408" s="11"/>
      <c r="E408" s="12"/>
      <c r="F408" s="12"/>
      <c r="G408" s="12"/>
      <c r="H408" s="10"/>
      <c r="I408" s="12"/>
      <c r="J408" s="12"/>
      <c r="K408" s="12"/>
      <c r="L408" s="12"/>
      <c r="M408" s="16"/>
      <c r="N408" s="18"/>
      <c r="O408" s="13"/>
      <c r="P408" s="13"/>
      <c r="Q408" s="13"/>
      <c r="R408" s="18"/>
      <c r="S408" s="13"/>
      <c r="T408" s="13"/>
      <c r="U408" s="10"/>
      <c r="V408" s="2"/>
      <c r="X408" s="13"/>
      <c r="Y408" s="3"/>
      <c r="Z408" s="3"/>
      <c r="AA408" s="12"/>
      <c r="AB408" s="10"/>
      <c r="AC408" s="10"/>
      <c r="AD408" s="10"/>
      <c r="AE408" s="10"/>
      <c r="AI408" s="35"/>
      <c r="AJ408"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08" s="19" t="str">
        <f>IFERROR(IF(OR(TRIM(Table24[[#This Row],[DOB]])="",TRIM(Table24[[#This Row],[Date of Call]])=""),"Cannot be calculated",DATEDIF(Table24[[#This Row],[DOB]],Table24[[#This Row],[Date of Call]],"Y")),"Cannot be calculated")</f>
        <v>Cannot be calculated</v>
      </c>
      <c r="AL408"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08" s="19">
        <f>IFERROR(DATEDIF(Table24[[#This Row],[Date of Call]],Table24[[#This Row],[Follow-up Date]],"D"),"Cannot be calculated")</f>
        <v>0</v>
      </c>
      <c r="AN408" s="19" t="str">
        <f>IF(OR(Table24[[#This Row],[Client Age]]&lt;18,Table24[[#This Row],[If client DOB unknown, is client under 18?]]="Yes"),"Yes","No")</f>
        <v>No</v>
      </c>
      <c r="AO408" s="13" t="str">
        <f>IF(Table24[[#This Row],[Time of Inital Call]]="","",IFERROR(MROUND(Table24[[#This Row],[Time of Inital Call]],"1:00"),""))</f>
        <v/>
      </c>
      <c r="AP408" s="19" t="str">
        <f>IF(Table24[[#This Row],[Date of Call]]="","",TEXT(Table24[[#This Row],[Date of Call]],"dddd"))</f>
        <v/>
      </c>
      <c r="AQ408" s="19" t="str">
        <f>IFERROR(VLOOKUP(Table24[[#This Row],[Residence Zip Code]],Table27[],3,FALSE),"")</f>
        <v/>
      </c>
    </row>
    <row r="409" spans="1:43" x14ac:dyDescent="0.25">
      <c r="A409" s="10"/>
      <c r="C409" s="10"/>
      <c r="D409" s="11"/>
      <c r="E409" s="12"/>
      <c r="F409" s="12"/>
      <c r="G409" s="12"/>
      <c r="H409" s="10"/>
      <c r="I409" s="12"/>
      <c r="J409" s="12"/>
      <c r="K409" s="12"/>
      <c r="L409" s="12"/>
      <c r="M409" s="16"/>
      <c r="N409" s="18"/>
      <c r="O409" s="13"/>
      <c r="P409" s="13"/>
      <c r="Q409" s="13"/>
      <c r="R409" s="18"/>
      <c r="S409" s="13"/>
      <c r="T409" s="13"/>
      <c r="U409" s="10"/>
      <c r="V409" s="2"/>
      <c r="X409" s="13"/>
      <c r="Y409" s="3"/>
      <c r="Z409" s="3"/>
      <c r="AA409" s="12"/>
      <c r="AB409" s="10"/>
      <c r="AC409" s="10"/>
      <c r="AD409" s="10"/>
      <c r="AE409" s="10"/>
      <c r="AI409" s="35"/>
      <c r="AJ409"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09" s="19" t="str">
        <f>IFERROR(IF(OR(TRIM(Table24[[#This Row],[DOB]])="",TRIM(Table24[[#This Row],[Date of Call]])=""),"Cannot be calculated",DATEDIF(Table24[[#This Row],[DOB]],Table24[[#This Row],[Date of Call]],"Y")),"Cannot be calculated")</f>
        <v>Cannot be calculated</v>
      </c>
      <c r="AL409"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09" s="19">
        <f>IFERROR(DATEDIF(Table24[[#This Row],[Date of Call]],Table24[[#This Row],[Follow-up Date]],"D"),"Cannot be calculated")</f>
        <v>0</v>
      </c>
      <c r="AN409" s="19" t="str">
        <f>IF(OR(Table24[[#This Row],[Client Age]]&lt;18,Table24[[#This Row],[If client DOB unknown, is client under 18?]]="Yes"),"Yes","No")</f>
        <v>No</v>
      </c>
      <c r="AO409" s="13" t="str">
        <f>IF(Table24[[#This Row],[Time of Inital Call]]="","",IFERROR(MROUND(Table24[[#This Row],[Time of Inital Call]],"1:00"),""))</f>
        <v/>
      </c>
      <c r="AP409" s="19" t="str">
        <f>IF(Table24[[#This Row],[Date of Call]]="","",TEXT(Table24[[#This Row],[Date of Call]],"dddd"))</f>
        <v/>
      </c>
      <c r="AQ409" s="19" t="str">
        <f>IFERROR(VLOOKUP(Table24[[#This Row],[Residence Zip Code]],Table27[],3,FALSE),"")</f>
        <v/>
      </c>
    </row>
    <row r="410" spans="1:43" x14ac:dyDescent="0.25">
      <c r="A410" s="10"/>
      <c r="C410" s="10"/>
      <c r="D410" s="11"/>
      <c r="E410" s="12"/>
      <c r="F410" s="12"/>
      <c r="G410" s="12"/>
      <c r="H410" s="10"/>
      <c r="I410" s="12"/>
      <c r="J410" s="12"/>
      <c r="K410" s="12"/>
      <c r="L410" s="12"/>
      <c r="M410" s="16"/>
      <c r="N410" s="18"/>
      <c r="O410" s="13"/>
      <c r="P410" s="13"/>
      <c r="Q410" s="13"/>
      <c r="R410" s="18"/>
      <c r="S410" s="13"/>
      <c r="T410" s="13"/>
      <c r="U410" s="10"/>
      <c r="V410" s="2"/>
      <c r="X410" s="13"/>
      <c r="Y410" s="3"/>
      <c r="Z410" s="3"/>
      <c r="AA410" s="12"/>
      <c r="AB410" s="10"/>
      <c r="AC410" s="10"/>
      <c r="AD410" s="10"/>
      <c r="AE410" s="10"/>
      <c r="AI410" s="35"/>
      <c r="AJ410"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10" s="19" t="str">
        <f>IFERROR(IF(OR(TRIM(Table24[[#This Row],[DOB]])="",TRIM(Table24[[#This Row],[Date of Call]])=""),"Cannot be calculated",DATEDIF(Table24[[#This Row],[DOB]],Table24[[#This Row],[Date of Call]],"Y")),"Cannot be calculated")</f>
        <v>Cannot be calculated</v>
      </c>
      <c r="AL410"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10" s="19">
        <f>IFERROR(DATEDIF(Table24[[#This Row],[Date of Call]],Table24[[#This Row],[Follow-up Date]],"D"),"Cannot be calculated")</f>
        <v>0</v>
      </c>
      <c r="AN410" s="19" t="str">
        <f>IF(OR(Table24[[#This Row],[Client Age]]&lt;18,Table24[[#This Row],[If client DOB unknown, is client under 18?]]="Yes"),"Yes","No")</f>
        <v>No</v>
      </c>
      <c r="AO410" s="13" t="str">
        <f>IF(Table24[[#This Row],[Time of Inital Call]]="","",IFERROR(MROUND(Table24[[#This Row],[Time of Inital Call]],"1:00"),""))</f>
        <v/>
      </c>
      <c r="AP410" s="19" t="str">
        <f>IF(Table24[[#This Row],[Date of Call]]="","",TEXT(Table24[[#This Row],[Date of Call]],"dddd"))</f>
        <v/>
      </c>
      <c r="AQ410" s="19" t="str">
        <f>IFERROR(VLOOKUP(Table24[[#This Row],[Residence Zip Code]],Table27[],3,FALSE),"")</f>
        <v/>
      </c>
    </row>
    <row r="411" spans="1:43" x14ac:dyDescent="0.25">
      <c r="A411" s="10"/>
      <c r="C411" s="10"/>
      <c r="D411" s="11"/>
      <c r="E411" s="12"/>
      <c r="F411" s="12"/>
      <c r="G411" s="12"/>
      <c r="H411" s="10"/>
      <c r="I411" s="12"/>
      <c r="J411" s="12"/>
      <c r="K411" s="12"/>
      <c r="L411" s="12"/>
      <c r="M411" s="16"/>
      <c r="N411" s="18"/>
      <c r="O411" s="13"/>
      <c r="P411" s="13"/>
      <c r="Q411" s="13"/>
      <c r="R411" s="18"/>
      <c r="S411" s="13"/>
      <c r="T411" s="13"/>
      <c r="U411" s="10"/>
      <c r="V411" s="2"/>
      <c r="X411" s="13"/>
      <c r="Y411" s="3"/>
      <c r="Z411" s="3"/>
      <c r="AA411" s="12"/>
      <c r="AB411" s="10"/>
      <c r="AC411" s="10"/>
      <c r="AD411" s="10"/>
      <c r="AE411" s="10"/>
      <c r="AI411" s="35"/>
      <c r="AJ411"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11" s="19" t="str">
        <f>IFERROR(IF(OR(TRIM(Table24[[#This Row],[DOB]])="",TRIM(Table24[[#This Row],[Date of Call]])=""),"Cannot be calculated",DATEDIF(Table24[[#This Row],[DOB]],Table24[[#This Row],[Date of Call]],"Y")),"Cannot be calculated")</f>
        <v>Cannot be calculated</v>
      </c>
      <c r="AL411"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11" s="19">
        <f>IFERROR(DATEDIF(Table24[[#This Row],[Date of Call]],Table24[[#This Row],[Follow-up Date]],"D"),"Cannot be calculated")</f>
        <v>0</v>
      </c>
      <c r="AN411" s="19" t="str">
        <f>IF(OR(Table24[[#This Row],[Client Age]]&lt;18,Table24[[#This Row],[If client DOB unknown, is client under 18?]]="Yes"),"Yes","No")</f>
        <v>No</v>
      </c>
      <c r="AO411" s="13" t="str">
        <f>IF(Table24[[#This Row],[Time of Inital Call]]="","",IFERROR(MROUND(Table24[[#This Row],[Time of Inital Call]],"1:00"),""))</f>
        <v/>
      </c>
      <c r="AP411" s="19" t="str">
        <f>IF(Table24[[#This Row],[Date of Call]]="","",TEXT(Table24[[#This Row],[Date of Call]],"dddd"))</f>
        <v/>
      </c>
      <c r="AQ411" s="19" t="str">
        <f>IFERROR(VLOOKUP(Table24[[#This Row],[Residence Zip Code]],Table27[],3,FALSE),"")</f>
        <v/>
      </c>
    </row>
    <row r="412" spans="1:43" x14ac:dyDescent="0.25">
      <c r="A412" s="10"/>
      <c r="C412" s="10"/>
      <c r="D412" s="11"/>
      <c r="E412" s="12"/>
      <c r="F412" s="12"/>
      <c r="G412" s="12"/>
      <c r="H412" s="10"/>
      <c r="I412" s="12"/>
      <c r="J412" s="12"/>
      <c r="K412" s="12"/>
      <c r="L412" s="12"/>
      <c r="M412" s="16"/>
      <c r="N412" s="18"/>
      <c r="O412" s="13"/>
      <c r="P412" s="13"/>
      <c r="Q412" s="13"/>
      <c r="R412" s="18"/>
      <c r="S412" s="13"/>
      <c r="T412" s="13"/>
      <c r="U412" s="10"/>
      <c r="V412" s="2"/>
      <c r="X412" s="13"/>
      <c r="Y412" s="3"/>
      <c r="Z412" s="3"/>
      <c r="AA412" s="12"/>
      <c r="AB412" s="10"/>
      <c r="AC412" s="10"/>
      <c r="AD412" s="10"/>
      <c r="AE412" s="10"/>
      <c r="AI412" s="35"/>
      <c r="AJ412"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12" s="19" t="str">
        <f>IFERROR(IF(OR(TRIM(Table24[[#This Row],[DOB]])="",TRIM(Table24[[#This Row],[Date of Call]])=""),"Cannot be calculated",DATEDIF(Table24[[#This Row],[DOB]],Table24[[#This Row],[Date of Call]],"Y")),"Cannot be calculated")</f>
        <v>Cannot be calculated</v>
      </c>
      <c r="AL412"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12" s="19">
        <f>IFERROR(DATEDIF(Table24[[#This Row],[Date of Call]],Table24[[#This Row],[Follow-up Date]],"D"),"Cannot be calculated")</f>
        <v>0</v>
      </c>
      <c r="AN412" s="19" t="str">
        <f>IF(OR(Table24[[#This Row],[Client Age]]&lt;18,Table24[[#This Row],[If client DOB unknown, is client under 18?]]="Yes"),"Yes","No")</f>
        <v>No</v>
      </c>
      <c r="AO412" s="13" t="str">
        <f>IF(Table24[[#This Row],[Time of Inital Call]]="","",IFERROR(MROUND(Table24[[#This Row],[Time of Inital Call]],"1:00"),""))</f>
        <v/>
      </c>
      <c r="AP412" s="19" t="str">
        <f>IF(Table24[[#This Row],[Date of Call]]="","",TEXT(Table24[[#This Row],[Date of Call]],"dddd"))</f>
        <v/>
      </c>
      <c r="AQ412" s="19" t="str">
        <f>IFERROR(VLOOKUP(Table24[[#This Row],[Residence Zip Code]],Table27[],3,FALSE),"")</f>
        <v/>
      </c>
    </row>
    <row r="413" spans="1:43" x14ac:dyDescent="0.25">
      <c r="A413" s="10"/>
      <c r="C413" s="10"/>
      <c r="D413" s="11"/>
      <c r="E413" s="12"/>
      <c r="F413" s="12"/>
      <c r="G413" s="12"/>
      <c r="H413" s="10"/>
      <c r="I413" s="12"/>
      <c r="J413" s="12"/>
      <c r="K413" s="12"/>
      <c r="L413" s="12"/>
      <c r="M413" s="16"/>
      <c r="N413" s="18"/>
      <c r="O413" s="13"/>
      <c r="P413" s="13"/>
      <c r="Q413" s="13"/>
      <c r="R413" s="18"/>
      <c r="S413" s="13"/>
      <c r="T413" s="13"/>
      <c r="U413" s="10"/>
      <c r="V413" s="2"/>
      <c r="X413" s="13"/>
      <c r="Y413" s="3"/>
      <c r="Z413" s="3"/>
      <c r="AA413" s="12"/>
      <c r="AB413" s="10"/>
      <c r="AC413" s="10"/>
      <c r="AD413" s="10"/>
      <c r="AE413" s="10"/>
      <c r="AI413" s="35"/>
      <c r="AJ413"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13" s="19" t="str">
        <f>IFERROR(IF(OR(TRIM(Table24[[#This Row],[DOB]])="",TRIM(Table24[[#This Row],[Date of Call]])=""),"Cannot be calculated",DATEDIF(Table24[[#This Row],[DOB]],Table24[[#This Row],[Date of Call]],"Y")),"Cannot be calculated")</f>
        <v>Cannot be calculated</v>
      </c>
      <c r="AL413"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13" s="19">
        <f>IFERROR(DATEDIF(Table24[[#This Row],[Date of Call]],Table24[[#This Row],[Follow-up Date]],"D"),"Cannot be calculated")</f>
        <v>0</v>
      </c>
      <c r="AN413" s="19" t="str">
        <f>IF(OR(Table24[[#This Row],[Client Age]]&lt;18,Table24[[#This Row],[If client DOB unknown, is client under 18?]]="Yes"),"Yes","No")</f>
        <v>No</v>
      </c>
      <c r="AO413" s="13" t="str">
        <f>IF(Table24[[#This Row],[Time of Inital Call]]="","",IFERROR(MROUND(Table24[[#This Row],[Time of Inital Call]],"1:00"),""))</f>
        <v/>
      </c>
      <c r="AP413" s="19" t="str">
        <f>IF(Table24[[#This Row],[Date of Call]]="","",TEXT(Table24[[#This Row],[Date of Call]],"dddd"))</f>
        <v/>
      </c>
      <c r="AQ413" s="19" t="str">
        <f>IFERROR(VLOOKUP(Table24[[#This Row],[Residence Zip Code]],Table27[],3,FALSE),"")</f>
        <v/>
      </c>
    </row>
    <row r="414" spans="1:43" x14ac:dyDescent="0.25">
      <c r="A414" s="10"/>
      <c r="C414" s="10"/>
      <c r="D414" s="11"/>
      <c r="E414" s="12"/>
      <c r="F414" s="12"/>
      <c r="G414" s="12"/>
      <c r="H414" s="10"/>
      <c r="I414" s="12"/>
      <c r="J414" s="12"/>
      <c r="K414" s="12"/>
      <c r="L414" s="12"/>
      <c r="M414" s="16"/>
      <c r="N414" s="18"/>
      <c r="O414" s="13"/>
      <c r="P414" s="13"/>
      <c r="Q414" s="13"/>
      <c r="R414" s="18"/>
      <c r="S414" s="13"/>
      <c r="T414" s="13"/>
      <c r="U414" s="10"/>
      <c r="V414" s="2"/>
      <c r="X414" s="13"/>
      <c r="Y414" s="3"/>
      <c r="Z414" s="3"/>
      <c r="AA414" s="12"/>
      <c r="AB414" s="10"/>
      <c r="AC414" s="10"/>
      <c r="AD414" s="10"/>
      <c r="AE414" s="10"/>
      <c r="AI414" s="35"/>
      <c r="AJ414"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14" s="19" t="str">
        <f>IFERROR(IF(OR(TRIM(Table24[[#This Row],[DOB]])="",TRIM(Table24[[#This Row],[Date of Call]])=""),"Cannot be calculated",DATEDIF(Table24[[#This Row],[DOB]],Table24[[#This Row],[Date of Call]],"Y")),"Cannot be calculated")</f>
        <v>Cannot be calculated</v>
      </c>
      <c r="AL414"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14" s="19">
        <f>IFERROR(DATEDIF(Table24[[#This Row],[Date of Call]],Table24[[#This Row],[Follow-up Date]],"D"),"Cannot be calculated")</f>
        <v>0</v>
      </c>
      <c r="AN414" s="19" t="str">
        <f>IF(OR(Table24[[#This Row],[Client Age]]&lt;18,Table24[[#This Row],[If client DOB unknown, is client under 18?]]="Yes"),"Yes","No")</f>
        <v>No</v>
      </c>
      <c r="AO414" s="13" t="str">
        <f>IF(Table24[[#This Row],[Time of Inital Call]]="","",IFERROR(MROUND(Table24[[#This Row],[Time of Inital Call]],"1:00"),""))</f>
        <v/>
      </c>
      <c r="AP414" s="19" t="str">
        <f>IF(Table24[[#This Row],[Date of Call]]="","",TEXT(Table24[[#This Row],[Date of Call]],"dddd"))</f>
        <v/>
      </c>
      <c r="AQ414" s="19" t="str">
        <f>IFERROR(VLOOKUP(Table24[[#This Row],[Residence Zip Code]],Table27[],3,FALSE),"")</f>
        <v/>
      </c>
    </row>
    <row r="415" spans="1:43" x14ac:dyDescent="0.25">
      <c r="A415" s="10"/>
      <c r="C415" s="10"/>
      <c r="D415" s="11"/>
      <c r="E415" s="12"/>
      <c r="F415" s="12"/>
      <c r="G415" s="12"/>
      <c r="H415" s="10"/>
      <c r="I415" s="12"/>
      <c r="J415" s="12"/>
      <c r="K415" s="12"/>
      <c r="L415" s="12"/>
      <c r="M415" s="16"/>
      <c r="N415" s="18"/>
      <c r="O415" s="13"/>
      <c r="P415" s="13"/>
      <c r="Q415" s="13"/>
      <c r="R415" s="18"/>
      <c r="S415" s="13"/>
      <c r="T415" s="13"/>
      <c r="U415" s="10"/>
      <c r="V415" s="2"/>
      <c r="X415" s="13"/>
      <c r="Y415" s="3"/>
      <c r="Z415" s="3"/>
      <c r="AA415" s="12"/>
      <c r="AB415" s="10"/>
      <c r="AC415" s="10"/>
      <c r="AD415" s="10"/>
      <c r="AE415" s="10"/>
      <c r="AI415" s="35"/>
      <c r="AJ415"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15" s="19" t="str">
        <f>IFERROR(IF(OR(TRIM(Table24[[#This Row],[DOB]])="",TRIM(Table24[[#This Row],[Date of Call]])=""),"Cannot be calculated",DATEDIF(Table24[[#This Row],[DOB]],Table24[[#This Row],[Date of Call]],"Y")),"Cannot be calculated")</f>
        <v>Cannot be calculated</v>
      </c>
      <c r="AL415"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15" s="19">
        <f>IFERROR(DATEDIF(Table24[[#This Row],[Date of Call]],Table24[[#This Row],[Follow-up Date]],"D"),"Cannot be calculated")</f>
        <v>0</v>
      </c>
      <c r="AN415" s="19" t="str">
        <f>IF(OR(Table24[[#This Row],[Client Age]]&lt;18,Table24[[#This Row],[If client DOB unknown, is client under 18?]]="Yes"),"Yes","No")</f>
        <v>No</v>
      </c>
      <c r="AO415" s="13" t="str">
        <f>IF(Table24[[#This Row],[Time of Inital Call]]="","",IFERROR(MROUND(Table24[[#This Row],[Time of Inital Call]],"1:00"),""))</f>
        <v/>
      </c>
      <c r="AP415" s="19" t="str">
        <f>IF(Table24[[#This Row],[Date of Call]]="","",TEXT(Table24[[#This Row],[Date of Call]],"dddd"))</f>
        <v/>
      </c>
      <c r="AQ415" s="19" t="str">
        <f>IFERROR(VLOOKUP(Table24[[#This Row],[Residence Zip Code]],Table27[],3,FALSE),"")</f>
        <v/>
      </c>
    </row>
    <row r="416" spans="1:43" x14ac:dyDescent="0.25">
      <c r="A416" s="10"/>
      <c r="C416" s="10"/>
      <c r="D416" s="11"/>
      <c r="E416" s="12"/>
      <c r="F416" s="12"/>
      <c r="G416" s="12"/>
      <c r="H416" s="10"/>
      <c r="I416" s="12"/>
      <c r="J416" s="12"/>
      <c r="K416" s="12"/>
      <c r="L416" s="12"/>
      <c r="M416" s="16"/>
      <c r="N416" s="18"/>
      <c r="O416" s="13"/>
      <c r="P416" s="13"/>
      <c r="Q416" s="13"/>
      <c r="R416" s="18"/>
      <c r="S416" s="13"/>
      <c r="T416" s="13"/>
      <c r="U416" s="10"/>
      <c r="V416" s="2"/>
      <c r="X416" s="13"/>
      <c r="Y416" s="3"/>
      <c r="Z416" s="3"/>
      <c r="AA416" s="12"/>
      <c r="AB416" s="10"/>
      <c r="AC416" s="10"/>
      <c r="AD416" s="10"/>
      <c r="AE416" s="10"/>
      <c r="AI416" s="35"/>
      <c r="AJ416"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16" s="19" t="str">
        <f>IFERROR(IF(OR(TRIM(Table24[[#This Row],[DOB]])="",TRIM(Table24[[#This Row],[Date of Call]])=""),"Cannot be calculated",DATEDIF(Table24[[#This Row],[DOB]],Table24[[#This Row],[Date of Call]],"Y")),"Cannot be calculated")</f>
        <v>Cannot be calculated</v>
      </c>
      <c r="AL416"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16" s="19">
        <f>IFERROR(DATEDIF(Table24[[#This Row],[Date of Call]],Table24[[#This Row],[Follow-up Date]],"D"),"Cannot be calculated")</f>
        <v>0</v>
      </c>
      <c r="AN416" s="19" t="str">
        <f>IF(OR(Table24[[#This Row],[Client Age]]&lt;18,Table24[[#This Row],[If client DOB unknown, is client under 18?]]="Yes"),"Yes","No")</f>
        <v>No</v>
      </c>
      <c r="AO416" s="13" t="str">
        <f>IF(Table24[[#This Row],[Time of Inital Call]]="","",IFERROR(MROUND(Table24[[#This Row],[Time of Inital Call]],"1:00"),""))</f>
        <v/>
      </c>
      <c r="AP416" s="19" t="str">
        <f>IF(Table24[[#This Row],[Date of Call]]="","",TEXT(Table24[[#This Row],[Date of Call]],"dddd"))</f>
        <v/>
      </c>
      <c r="AQ416" s="19" t="str">
        <f>IFERROR(VLOOKUP(Table24[[#This Row],[Residence Zip Code]],Table27[],3,FALSE),"")</f>
        <v/>
      </c>
    </row>
    <row r="417" spans="1:43" x14ac:dyDescent="0.25">
      <c r="A417" s="10"/>
      <c r="C417" s="10"/>
      <c r="D417" s="11"/>
      <c r="E417" s="12"/>
      <c r="F417" s="12"/>
      <c r="G417" s="12"/>
      <c r="H417" s="10"/>
      <c r="I417" s="12"/>
      <c r="J417" s="12"/>
      <c r="K417" s="12"/>
      <c r="L417" s="12"/>
      <c r="M417" s="16"/>
      <c r="N417" s="18"/>
      <c r="O417" s="13"/>
      <c r="P417" s="13"/>
      <c r="Q417" s="13"/>
      <c r="R417" s="18"/>
      <c r="S417" s="13"/>
      <c r="T417" s="13"/>
      <c r="U417" s="10"/>
      <c r="V417" s="2"/>
      <c r="X417" s="13"/>
      <c r="Y417" s="3"/>
      <c r="Z417" s="3"/>
      <c r="AA417" s="12"/>
      <c r="AB417" s="10"/>
      <c r="AC417" s="10"/>
      <c r="AD417" s="10"/>
      <c r="AE417" s="10"/>
      <c r="AI417" s="35"/>
      <c r="AJ417"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17" s="19" t="str">
        <f>IFERROR(IF(OR(TRIM(Table24[[#This Row],[DOB]])="",TRIM(Table24[[#This Row],[Date of Call]])=""),"Cannot be calculated",DATEDIF(Table24[[#This Row],[DOB]],Table24[[#This Row],[Date of Call]],"Y")),"Cannot be calculated")</f>
        <v>Cannot be calculated</v>
      </c>
      <c r="AL417"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17" s="19">
        <f>IFERROR(DATEDIF(Table24[[#This Row],[Date of Call]],Table24[[#This Row],[Follow-up Date]],"D"),"Cannot be calculated")</f>
        <v>0</v>
      </c>
      <c r="AN417" s="19" t="str">
        <f>IF(OR(Table24[[#This Row],[Client Age]]&lt;18,Table24[[#This Row],[If client DOB unknown, is client under 18?]]="Yes"),"Yes","No")</f>
        <v>No</v>
      </c>
      <c r="AO417" s="13" t="str">
        <f>IF(Table24[[#This Row],[Time of Inital Call]]="","",IFERROR(MROUND(Table24[[#This Row],[Time of Inital Call]],"1:00"),""))</f>
        <v/>
      </c>
      <c r="AP417" s="19" t="str">
        <f>IF(Table24[[#This Row],[Date of Call]]="","",TEXT(Table24[[#This Row],[Date of Call]],"dddd"))</f>
        <v/>
      </c>
      <c r="AQ417" s="19" t="str">
        <f>IFERROR(VLOOKUP(Table24[[#This Row],[Residence Zip Code]],Table27[],3,FALSE),"")</f>
        <v/>
      </c>
    </row>
    <row r="418" spans="1:43" x14ac:dyDescent="0.25">
      <c r="A418" s="10"/>
      <c r="C418" s="10"/>
      <c r="D418" s="11"/>
      <c r="E418" s="12"/>
      <c r="F418" s="12"/>
      <c r="G418" s="12"/>
      <c r="H418" s="10"/>
      <c r="I418" s="12"/>
      <c r="J418" s="12"/>
      <c r="K418" s="12"/>
      <c r="L418" s="12"/>
      <c r="M418" s="16"/>
      <c r="N418" s="18"/>
      <c r="O418" s="13"/>
      <c r="P418" s="13"/>
      <c r="Q418" s="13"/>
      <c r="R418" s="18"/>
      <c r="S418" s="13"/>
      <c r="T418" s="13"/>
      <c r="U418" s="10"/>
      <c r="V418" s="2"/>
      <c r="X418" s="13"/>
      <c r="Y418" s="3"/>
      <c r="Z418" s="3"/>
      <c r="AA418" s="12"/>
      <c r="AB418" s="10"/>
      <c r="AC418" s="10"/>
      <c r="AD418" s="10"/>
      <c r="AE418" s="10"/>
      <c r="AI418" s="35"/>
      <c r="AJ418"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18" s="19" t="str">
        <f>IFERROR(IF(OR(TRIM(Table24[[#This Row],[DOB]])="",TRIM(Table24[[#This Row],[Date of Call]])=""),"Cannot be calculated",DATEDIF(Table24[[#This Row],[DOB]],Table24[[#This Row],[Date of Call]],"Y")),"Cannot be calculated")</f>
        <v>Cannot be calculated</v>
      </c>
      <c r="AL418"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18" s="19">
        <f>IFERROR(DATEDIF(Table24[[#This Row],[Date of Call]],Table24[[#This Row],[Follow-up Date]],"D"),"Cannot be calculated")</f>
        <v>0</v>
      </c>
      <c r="AN418" s="19" t="str">
        <f>IF(OR(Table24[[#This Row],[Client Age]]&lt;18,Table24[[#This Row],[If client DOB unknown, is client under 18?]]="Yes"),"Yes","No")</f>
        <v>No</v>
      </c>
      <c r="AO418" s="13" t="str">
        <f>IF(Table24[[#This Row],[Time of Inital Call]]="","",IFERROR(MROUND(Table24[[#This Row],[Time of Inital Call]],"1:00"),""))</f>
        <v/>
      </c>
      <c r="AP418" s="19" t="str">
        <f>IF(Table24[[#This Row],[Date of Call]]="","",TEXT(Table24[[#This Row],[Date of Call]],"dddd"))</f>
        <v/>
      </c>
      <c r="AQ418" s="19" t="str">
        <f>IFERROR(VLOOKUP(Table24[[#This Row],[Residence Zip Code]],Table27[],3,FALSE),"")</f>
        <v/>
      </c>
    </row>
    <row r="419" spans="1:43" x14ac:dyDescent="0.25">
      <c r="A419" s="10"/>
      <c r="C419" s="10"/>
      <c r="D419" s="11"/>
      <c r="E419" s="12"/>
      <c r="F419" s="12"/>
      <c r="G419" s="12"/>
      <c r="H419" s="10"/>
      <c r="I419" s="12"/>
      <c r="J419" s="12"/>
      <c r="K419" s="12"/>
      <c r="L419" s="12"/>
      <c r="M419" s="16"/>
      <c r="N419" s="18"/>
      <c r="O419" s="13"/>
      <c r="P419" s="13"/>
      <c r="Q419" s="13"/>
      <c r="R419" s="18"/>
      <c r="S419" s="13"/>
      <c r="T419" s="13"/>
      <c r="U419" s="10"/>
      <c r="V419" s="2"/>
      <c r="X419" s="13"/>
      <c r="Y419" s="3"/>
      <c r="Z419" s="3"/>
      <c r="AA419" s="12"/>
      <c r="AB419" s="10"/>
      <c r="AC419" s="10"/>
      <c r="AD419" s="10"/>
      <c r="AE419" s="10"/>
      <c r="AI419" s="35"/>
      <c r="AJ419"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19" s="19" t="str">
        <f>IFERROR(IF(OR(TRIM(Table24[[#This Row],[DOB]])="",TRIM(Table24[[#This Row],[Date of Call]])=""),"Cannot be calculated",DATEDIF(Table24[[#This Row],[DOB]],Table24[[#This Row],[Date of Call]],"Y")),"Cannot be calculated")</f>
        <v>Cannot be calculated</v>
      </c>
      <c r="AL419"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19" s="19">
        <f>IFERROR(DATEDIF(Table24[[#This Row],[Date of Call]],Table24[[#This Row],[Follow-up Date]],"D"),"Cannot be calculated")</f>
        <v>0</v>
      </c>
      <c r="AN419" s="19" t="str">
        <f>IF(OR(Table24[[#This Row],[Client Age]]&lt;18,Table24[[#This Row],[If client DOB unknown, is client under 18?]]="Yes"),"Yes","No")</f>
        <v>No</v>
      </c>
      <c r="AO419" s="13" t="str">
        <f>IF(Table24[[#This Row],[Time of Inital Call]]="","",IFERROR(MROUND(Table24[[#This Row],[Time of Inital Call]],"1:00"),""))</f>
        <v/>
      </c>
      <c r="AP419" s="19" t="str">
        <f>IF(Table24[[#This Row],[Date of Call]]="","",TEXT(Table24[[#This Row],[Date of Call]],"dddd"))</f>
        <v/>
      </c>
      <c r="AQ419" s="19" t="str">
        <f>IFERROR(VLOOKUP(Table24[[#This Row],[Residence Zip Code]],Table27[],3,FALSE),"")</f>
        <v/>
      </c>
    </row>
    <row r="420" spans="1:43" x14ac:dyDescent="0.25">
      <c r="A420" s="10"/>
      <c r="C420" s="10"/>
      <c r="D420" s="11"/>
      <c r="E420" s="12"/>
      <c r="F420" s="12"/>
      <c r="G420" s="12"/>
      <c r="H420" s="10"/>
      <c r="I420" s="12"/>
      <c r="J420" s="12"/>
      <c r="K420" s="12"/>
      <c r="L420" s="12"/>
      <c r="M420" s="16"/>
      <c r="N420" s="18"/>
      <c r="O420" s="13"/>
      <c r="P420" s="13"/>
      <c r="Q420" s="13"/>
      <c r="R420" s="18"/>
      <c r="S420" s="13"/>
      <c r="T420" s="13"/>
      <c r="U420" s="10"/>
      <c r="V420" s="2"/>
      <c r="X420" s="13"/>
      <c r="Y420" s="3"/>
      <c r="Z420" s="3"/>
      <c r="AA420" s="12"/>
      <c r="AB420" s="10"/>
      <c r="AC420" s="10"/>
      <c r="AD420" s="10"/>
      <c r="AE420" s="10"/>
      <c r="AI420" s="35"/>
      <c r="AJ420"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20" s="19" t="str">
        <f>IFERROR(IF(OR(TRIM(Table24[[#This Row],[DOB]])="",TRIM(Table24[[#This Row],[Date of Call]])=""),"Cannot be calculated",DATEDIF(Table24[[#This Row],[DOB]],Table24[[#This Row],[Date of Call]],"Y")),"Cannot be calculated")</f>
        <v>Cannot be calculated</v>
      </c>
      <c r="AL420"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20" s="19">
        <f>IFERROR(DATEDIF(Table24[[#This Row],[Date of Call]],Table24[[#This Row],[Follow-up Date]],"D"),"Cannot be calculated")</f>
        <v>0</v>
      </c>
      <c r="AN420" s="19" t="str">
        <f>IF(OR(Table24[[#This Row],[Client Age]]&lt;18,Table24[[#This Row],[If client DOB unknown, is client under 18?]]="Yes"),"Yes","No")</f>
        <v>No</v>
      </c>
      <c r="AO420" s="13" t="str">
        <f>IF(Table24[[#This Row],[Time of Inital Call]]="","",IFERROR(MROUND(Table24[[#This Row],[Time of Inital Call]],"1:00"),""))</f>
        <v/>
      </c>
      <c r="AP420" s="19" t="str">
        <f>IF(Table24[[#This Row],[Date of Call]]="","",TEXT(Table24[[#This Row],[Date of Call]],"dddd"))</f>
        <v/>
      </c>
      <c r="AQ420" s="19" t="str">
        <f>IFERROR(VLOOKUP(Table24[[#This Row],[Residence Zip Code]],Table27[],3,FALSE),"")</f>
        <v/>
      </c>
    </row>
    <row r="421" spans="1:43" x14ac:dyDescent="0.25">
      <c r="A421" s="10"/>
      <c r="C421" s="10"/>
      <c r="D421" s="11"/>
      <c r="E421" s="12"/>
      <c r="F421" s="12"/>
      <c r="G421" s="12"/>
      <c r="H421" s="10"/>
      <c r="I421" s="12"/>
      <c r="J421" s="12"/>
      <c r="K421" s="12"/>
      <c r="L421" s="12"/>
      <c r="M421" s="16"/>
      <c r="N421" s="18"/>
      <c r="O421" s="13"/>
      <c r="P421" s="13"/>
      <c r="Q421" s="13"/>
      <c r="R421" s="18"/>
      <c r="S421" s="13"/>
      <c r="T421" s="13"/>
      <c r="U421" s="10"/>
      <c r="V421" s="2"/>
      <c r="X421" s="13"/>
      <c r="Y421" s="3"/>
      <c r="Z421" s="3"/>
      <c r="AA421" s="12"/>
      <c r="AB421" s="10"/>
      <c r="AC421" s="10"/>
      <c r="AD421" s="10"/>
      <c r="AE421" s="10"/>
      <c r="AI421" s="35"/>
      <c r="AJ421"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21" s="19" t="str">
        <f>IFERROR(IF(OR(TRIM(Table24[[#This Row],[DOB]])="",TRIM(Table24[[#This Row],[Date of Call]])=""),"Cannot be calculated",DATEDIF(Table24[[#This Row],[DOB]],Table24[[#This Row],[Date of Call]],"Y")),"Cannot be calculated")</f>
        <v>Cannot be calculated</v>
      </c>
      <c r="AL421"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21" s="19">
        <f>IFERROR(DATEDIF(Table24[[#This Row],[Date of Call]],Table24[[#This Row],[Follow-up Date]],"D"),"Cannot be calculated")</f>
        <v>0</v>
      </c>
      <c r="AN421" s="19" t="str">
        <f>IF(OR(Table24[[#This Row],[Client Age]]&lt;18,Table24[[#This Row],[If client DOB unknown, is client under 18?]]="Yes"),"Yes","No")</f>
        <v>No</v>
      </c>
      <c r="AO421" s="13" t="str">
        <f>IF(Table24[[#This Row],[Time of Inital Call]]="","",IFERROR(MROUND(Table24[[#This Row],[Time of Inital Call]],"1:00"),""))</f>
        <v/>
      </c>
      <c r="AP421" s="19" t="str">
        <f>IF(Table24[[#This Row],[Date of Call]]="","",TEXT(Table24[[#This Row],[Date of Call]],"dddd"))</f>
        <v/>
      </c>
      <c r="AQ421" s="19" t="str">
        <f>IFERROR(VLOOKUP(Table24[[#This Row],[Residence Zip Code]],Table27[],3,FALSE),"")</f>
        <v/>
      </c>
    </row>
    <row r="422" spans="1:43" x14ac:dyDescent="0.25">
      <c r="A422" s="10"/>
      <c r="C422" s="10"/>
      <c r="D422" s="11"/>
      <c r="E422" s="12"/>
      <c r="F422" s="12"/>
      <c r="G422" s="12"/>
      <c r="H422" s="10"/>
      <c r="I422" s="12"/>
      <c r="J422" s="12"/>
      <c r="K422" s="12"/>
      <c r="L422" s="12"/>
      <c r="M422" s="16"/>
      <c r="N422" s="18"/>
      <c r="O422" s="13"/>
      <c r="P422" s="13"/>
      <c r="Q422" s="13"/>
      <c r="R422" s="18"/>
      <c r="S422" s="13"/>
      <c r="T422" s="13"/>
      <c r="U422" s="10"/>
      <c r="V422" s="2"/>
      <c r="X422" s="13"/>
      <c r="Y422" s="3"/>
      <c r="Z422" s="3"/>
      <c r="AA422" s="12"/>
      <c r="AB422" s="10"/>
      <c r="AC422" s="10"/>
      <c r="AD422" s="10"/>
      <c r="AE422" s="10"/>
      <c r="AI422" s="35"/>
      <c r="AJ422"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22" s="19" t="str">
        <f>IFERROR(IF(OR(TRIM(Table24[[#This Row],[DOB]])="",TRIM(Table24[[#This Row],[Date of Call]])=""),"Cannot be calculated",DATEDIF(Table24[[#This Row],[DOB]],Table24[[#This Row],[Date of Call]],"Y")),"Cannot be calculated")</f>
        <v>Cannot be calculated</v>
      </c>
      <c r="AL422"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22" s="19">
        <f>IFERROR(DATEDIF(Table24[[#This Row],[Date of Call]],Table24[[#This Row],[Follow-up Date]],"D"),"Cannot be calculated")</f>
        <v>0</v>
      </c>
      <c r="AN422" s="19" t="str">
        <f>IF(OR(Table24[[#This Row],[Client Age]]&lt;18,Table24[[#This Row],[If client DOB unknown, is client under 18?]]="Yes"),"Yes","No")</f>
        <v>No</v>
      </c>
      <c r="AO422" s="13" t="str">
        <f>IF(Table24[[#This Row],[Time of Inital Call]]="","",IFERROR(MROUND(Table24[[#This Row],[Time of Inital Call]],"1:00"),""))</f>
        <v/>
      </c>
      <c r="AP422" s="19" t="str">
        <f>IF(Table24[[#This Row],[Date of Call]]="","",TEXT(Table24[[#This Row],[Date of Call]],"dddd"))</f>
        <v/>
      </c>
      <c r="AQ422" s="19" t="str">
        <f>IFERROR(VLOOKUP(Table24[[#This Row],[Residence Zip Code]],Table27[],3,FALSE),"")</f>
        <v/>
      </c>
    </row>
    <row r="423" spans="1:43" x14ac:dyDescent="0.25">
      <c r="A423" s="10"/>
      <c r="C423" s="10"/>
      <c r="D423" s="11"/>
      <c r="E423" s="12"/>
      <c r="F423" s="12"/>
      <c r="G423" s="12"/>
      <c r="H423" s="10"/>
      <c r="I423" s="12"/>
      <c r="J423" s="12"/>
      <c r="K423" s="12"/>
      <c r="L423" s="12"/>
      <c r="M423" s="16"/>
      <c r="N423" s="18"/>
      <c r="O423" s="13"/>
      <c r="P423" s="13"/>
      <c r="Q423" s="13"/>
      <c r="R423" s="18"/>
      <c r="S423" s="13"/>
      <c r="T423" s="13"/>
      <c r="U423" s="10"/>
      <c r="V423" s="2"/>
      <c r="X423" s="13"/>
      <c r="Y423" s="3"/>
      <c r="Z423" s="3"/>
      <c r="AA423" s="12"/>
      <c r="AB423" s="10"/>
      <c r="AC423" s="10"/>
      <c r="AD423" s="10"/>
      <c r="AE423" s="10"/>
      <c r="AI423" s="35"/>
      <c r="AJ423"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23" s="19" t="str">
        <f>IFERROR(IF(OR(TRIM(Table24[[#This Row],[DOB]])="",TRIM(Table24[[#This Row],[Date of Call]])=""),"Cannot be calculated",DATEDIF(Table24[[#This Row],[DOB]],Table24[[#This Row],[Date of Call]],"Y")),"Cannot be calculated")</f>
        <v>Cannot be calculated</v>
      </c>
      <c r="AL423"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23" s="19">
        <f>IFERROR(DATEDIF(Table24[[#This Row],[Date of Call]],Table24[[#This Row],[Follow-up Date]],"D"),"Cannot be calculated")</f>
        <v>0</v>
      </c>
      <c r="AN423" s="19" t="str">
        <f>IF(OR(Table24[[#This Row],[Client Age]]&lt;18,Table24[[#This Row],[If client DOB unknown, is client under 18?]]="Yes"),"Yes","No")</f>
        <v>No</v>
      </c>
      <c r="AO423" s="13" t="str">
        <f>IF(Table24[[#This Row],[Time of Inital Call]]="","",IFERROR(MROUND(Table24[[#This Row],[Time of Inital Call]],"1:00"),""))</f>
        <v/>
      </c>
      <c r="AP423" s="19" t="str">
        <f>IF(Table24[[#This Row],[Date of Call]]="","",TEXT(Table24[[#This Row],[Date of Call]],"dddd"))</f>
        <v/>
      </c>
      <c r="AQ423" s="19" t="str">
        <f>IFERROR(VLOOKUP(Table24[[#This Row],[Residence Zip Code]],Table27[],3,FALSE),"")</f>
        <v/>
      </c>
    </row>
    <row r="424" spans="1:43" x14ac:dyDescent="0.25">
      <c r="A424" s="10"/>
      <c r="C424" s="10"/>
      <c r="D424" s="11"/>
      <c r="E424" s="12"/>
      <c r="F424" s="12"/>
      <c r="G424" s="12"/>
      <c r="H424" s="10"/>
      <c r="I424" s="12"/>
      <c r="J424" s="12"/>
      <c r="K424" s="12"/>
      <c r="L424" s="12"/>
      <c r="M424" s="16"/>
      <c r="N424" s="18"/>
      <c r="O424" s="13"/>
      <c r="P424" s="13"/>
      <c r="Q424" s="13"/>
      <c r="R424" s="18"/>
      <c r="S424" s="13"/>
      <c r="T424" s="13"/>
      <c r="U424" s="10"/>
      <c r="V424" s="2"/>
      <c r="X424" s="13"/>
      <c r="Y424" s="3"/>
      <c r="Z424" s="3"/>
      <c r="AA424" s="12"/>
      <c r="AB424" s="10"/>
      <c r="AC424" s="10"/>
      <c r="AD424" s="10"/>
      <c r="AE424" s="10"/>
      <c r="AI424" s="35"/>
      <c r="AJ424"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24" s="19" t="str">
        <f>IFERROR(IF(OR(TRIM(Table24[[#This Row],[DOB]])="",TRIM(Table24[[#This Row],[Date of Call]])=""),"Cannot be calculated",DATEDIF(Table24[[#This Row],[DOB]],Table24[[#This Row],[Date of Call]],"Y")),"Cannot be calculated")</f>
        <v>Cannot be calculated</v>
      </c>
      <c r="AL424"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24" s="19">
        <f>IFERROR(DATEDIF(Table24[[#This Row],[Date of Call]],Table24[[#This Row],[Follow-up Date]],"D"),"Cannot be calculated")</f>
        <v>0</v>
      </c>
      <c r="AN424" s="19" t="str">
        <f>IF(OR(Table24[[#This Row],[Client Age]]&lt;18,Table24[[#This Row],[If client DOB unknown, is client under 18?]]="Yes"),"Yes","No")</f>
        <v>No</v>
      </c>
      <c r="AO424" s="13" t="str">
        <f>IF(Table24[[#This Row],[Time of Inital Call]]="","",IFERROR(MROUND(Table24[[#This Row],[Time of Inital Call]],"1:00"),""))</f>
        <v/>
      </c>
      <c r="AP424" s="19" t="str">
        <f>IF(Table24[[#This Row],[Date of Call]]="","",TEXT(Table24[[#This Row],[Date of Call]],"dddd"))</f>
        <v/>
      </c>
      <c r="AQ424" s="19" t="str">
        <f>IFERROR(VLOOKUP(Table24[[#This Row],[Residence Zip Code]],Table27[],3,FALSE),"")</f>
        <v/>
      </c>
    </row>
    <row r="425" spans="1:43" x14ac:dyDescent="0.25">
      <c r="A425" s="10"/>
      <c r="C425" s="10"/>
      <c r="D425" s="11"/>
      <c r="E425" s="12"/>
      <c r="F425" s="12"/>
      <c r="G425" s="12"/>
      <c r="H425" s="10"/>
      <c r="I425" s="12"/>
      <c r="J425" s="12"/>
      <c r="K425" s="12"/>
      <c r="L425" s="12"/>
      <c r="M425" s="16"/>
      <c r="N425" s="18"/>
      <c r="O425" s="13"/>
      <c r="P425" s="13"/>
      <c r="Q425" s="13"/>
      <c r="R425" s="18"/>
      <c r="S425" s="13"/>
      <c r="T425" s="13"/>
      <c r="U425" s="10"/>
      <c r="V425" s="2"/>
      <c r="X425" s="13"/>
      <c r="Y425" s="3"/>
      <c r="Z425" s="3"/>
      <c r="AA425" s="12"/>
      <c r="AB425" s="10"/>
      <c r="AC425" s="10"/>
      <c r="AD425" s="10"/>
      <c r="AE425" s="10"/>
      <c r="AI425" s="35"/>
      <c r="AJ425"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25" s="19" t="str">
        <f>IFERROR(IF(OR(TRIM(Table24[[#This Row],[DOB]])="",TRIM(Table24[[#This Row],[Date of Call]])=""),"Cannot be calculated",DATEDIF(Table24[[#This Row],[DOB]],Table24[[#This Row],[Date of Call]],"Y")),"Cannot be calculated")</f>
        <v>Cannot be calculated</v>
      </c>
      <c r="AL425"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25" s="19">
        <f>IFERROR(DATEDIF(Table24[[#This Row],[Date of Call]],Table24[[#This Row],[Follow-up Date]],"D"),"Cannot be calculated")</f>
        <v>0</v>
      </c>
      <c r="AN425" s="19" t="str">
        <f>IF(OR(Table24[[#This Row],[Client Age]]&lt;18,Table24[[#This Row],[If client DOB unknown, is client under 18?]]="Yes"),"Yes","No")</f>
        <v>No</v>
      </c>
      <c r="AO425" s="13" t="str">
        <f>IF(Table24[[#This Row],[Time of Inital Call]]="","",IFERROR(MROUND(Table24[[#This Row],[Time of Inital Call]],"1:00"),""))</f>
        <v/>
      </c>
      <c r="AP425" s="19" t="str">
        <f>IF(Table24[[#This Row],[Date of Call]]="","",TEXT(Table24[[#This Row],[Date of Call]],"dddd"))</f>
        <v/>
      </c>
      <c r="AQ425" s="19" t="str">
        <f>IFERROR(VLOOKUP(Table24[[#This Row],[Residence Zip Code]],Table27[],3,FALSE),"")</f>
        <v/>
      </c>
    </row>
    <row r="426" spans="1:43" x14ac:dyDescent="0.25">
      <c r="A426" s="10"/>
      <c r="C426" s="10"/>
      <c r="D426" s="11"/>
      <c r="E426" s="12"/>
      <c r="F426" s="12"/>
      <c r="G426" s="12"/>
      <c r="H426" s="10"/>
      <c r="I426" s="12"/>
      <c r="J426" s="12"/>
      <c r="K426" s="12"/>
      <c r="L426" s="12"/>
      <c r="M426" s="16"/>
      <c r="N426" s="18"/>
      <c r="O426" s="13"/>
      <c r="P426" s="13"/>
      <c r="Q426" s="13"/>
      <c r="R426" s="18"/>
      <c r="S426" s="13"/>
      <c r="T426" s="13"/>
      <c r="U426" s="10"/>
      <c r="V426" s="2"/>
      <c r="X426" s="13"/>
      <c r="Y426" s="3"/>
      <c r="Z426" s="3"/>
      <c r="AA426" s="12"/>
      <c r="AB426" s="10"/>
      <c r="AC426" s="10"/>
      <c r="AD426" s="10"/>
      <c r="AE426" s="10"/>
      <c r="AI426" s="35"/>
      <c r="AJ426"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26" s="19" t="str">
        <f>IFERROR(IF(OR(TRIM(Table24[[#This Row],[DOB]])="",TRIM(Table24[[#This Row],[Date of Call]])=""),"Cannot be calculated",DATEDIF(Table24[[#This Row],[DOB]],Table24[[#This Row],[Date of Call]],"Y")),"Cannot be calculated")</f>
        <v>Cannot be calculated</v>
      </c>
      <c r="AL426"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26" s="19">
        <f>IFERROR(DATEDIF(Table24[[#This Row],[Date of Call]],Table24[[#This Row],[Follow-up Date]],"D"),"Cannot be calculated")</f>
        <v>0</v>
      </c>
      <c r="AN426" s="19" t="str">
        <f>IF(OR(Table24[[#This Row],[Client Age]]&lt;18,Table24[[#This Row],[If client DOB unknown, is client under 18?]]="Yes"),"Yes","No")</f>
        <v>No</v>
      </c>
      <c r="AO426" s="13" t="str">
        <f>IF(Table24[[#This Row],[Time of Inital Call]]="","",IFERROR(MROUND(Table24[[#This Row],[Time of Inital Call]],"1:00"),""))</f>
        <v/>
      </c>
      <c r="AP426" s="19" t="str">
        <f>IF(Table24[[#This Row],[Date of Call]]="","",TEXT(Table24[[#This Row],[Date of Call]],"dddd"))</f>
        <v/>
      </c>
      <c r="AQ426" s="19" t="str">
        <f>IFERROR(VLOOKUP(Table24[[#This Row],[Residence Zip Code]],Table27[],3,FALSE),"")</f>
        <v/>
      </c>
    </row>
    <row r="427" spans="1:43" x14ac:dyDescent="0.25">
      <c r="A427" s="10"/>
      <c r="C427" s="10"/>
      <c r="D427" s="11"/>
      <c r="E427" s="12"/>
      <c r="F427" s="12"/>
      <c r="G427" s="12"/>
      <c r="H427" s="10"/>
      <c r="I427" s="12"/>
      <c r="J427" s="12"/>
      <c r="K427" s="12"/>
      <c r="L427" s="12"/>
      <c r="M427" s="16"/>
      <c r="N427" s="18"/>
      <c r="O427" s="13"/>
      <c r="P427" s="13"/>
      <c r="Q427" s="13"/>
      <c r="R427" s="18"/>
      <c r="S427" s="13"/>
      <c r="T427" s="13"/>
      <c r="U427" s="10"/>
      <c r="V427" s="2"/>
      <c r="X427" s="13"/>
      <c r="Y427" s="3"/>
      <c r="Z427" s="3"/>
      <c r="AA427" s="12"/>
      <c r="AB427" s="10"/>
      <c r="AC427" s="10"/>
      <c r="AD427" s="10"/>
      <c r="AE427" s="10"/>
      <c r="AI427" s="35"/>
      <c r="AJ427"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27" s="19" t="str">
        <f>IFERROR(IF(OR(TRIM(Table24[[#This Row],[DOB]])="",TRIM(Table24[[#This Row],[Date of Call]])=""),"Cannot be calculated",DATEDIF(Table24[[#This Row],[DOB]],Table24[[#This Row],[Date of Call]],"Y")),"Cannot be calculated")</f>
        <v>Cannot be calculated</v>
      </c>
      <c r="AL427"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27" s="19">
        <f>IFERROR(DATEDIF(Table24[[#This Row],[Date of Call]],Table24[[#This Row],[Follow-up Date]],"D"),"Cannot be calculated")</f>
        <v>0</v>
      </c>
      <c r="AN427" s="19" t="str">
        <f>IF(OR(Table24[[#This Row],[Client Age]]&lt;18,Table24[[#This Row],[If client DOB unknown, is client under 18?]]="Yes"),"Yes","No")</f>
        <v>No</v>
      </c>
      <c r="AO427" s="13" t="str">
        <f>IF(Table24[[#This Row],[Time of Inital Call]]="","",IFERROR(MROUND(Table24[[#This Row],[Time of Inital Call]],"1:00"),""))</f>
        <v/>
      </c>
      <c r="AP427" s="19" t="str">
        <f>IF(Table24[[#This Row],[Date of Call]]="","",TEXT(Table24[[#This Row],[Date of Call]],"dddd"))</f>
        <v/>
      </c>
      <c r="AQ427" s="19" t="str">
        <f>IFERROR(VLOOKUP(Table24[[#This Row],[Residence Zip Code]],Table27[],3,FALSE),"")</f>
        <v/>
      </c>
    </row>
    <row r="428" spans="1:43" x14ac:dyDescent="0.25">
      <c r="A428" s="10"/>
      <c r="C428" s="10"/>
      <c r="D428" s="11"/>
      <c r="E428" s="12"/>
      <c r="F428" s="12"/>
      <c r="G428" s="12"/>
      <c r="H428" s="10"/>
      <c r="I428" s="12"/>
      <c r="J428" s="12"/>
      <c r="K428" s="12"/>
      <c r="L428" s="12"/>
      <c r="M428" s="16"/>
      <c r="N428" s="18"/>
      <c r="O428" s="13"/>
      <c r="P428" s="13"/>
      <c r="Q428" s="13"/>
      <c r="R428" s="18"/>
      <c r="S428" s="13"/>
      <c r="T428" s="13"/>
      <c r="U428" s="10"/>
      <c r="V428" s="2"/>
      <c r="X428" s="13"/>
      <c r="Y428" s="3"/>
      <c r="Z428" s="3"/>
      <c r="AA428" s="12"/>
      <c r="AB428" s="10"/>
      <c r="AC428" s="10"/>
      <c r="AD428" s="10"/>
      <c r="AE428" s="10"/>
      <c r="AI428" s="35"/>
      <c r="AJ428"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28" s="19" t="str">
        <f>IFERROR(IF(OR(TRIM(Table24[[#This Row],[DOB]])="",TRIM(Table24[[#This Row],[Date of Call]])=""),"Cannot be calculated",DATEDIF(Table24[[#This Row],[DOB]],Table24[[#This Row],[Date of Call]],"Y")),"Cannot be calculated")</f>
        <v>Cannot be calculated</v>
      </c>
      <c r="AL428"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28" s="19">
        <f>IFERROR(DATEDIF(Table24[[#This Row],[Date of Call]],Table24[[#This Row],[Follow-up Date]],"D"),"Cannot be calculated")</f>
        <v>0</v>
      </c>
      <c r="AN428" s="19" t="str">
        <f>IF(OR(Table24[[#This Row],[Client Age]]&lt;18,Table24[[#This Row],[If client DOB unknown, is client under 18?]]="Yes"),"Yes","No")</f>
        <v>No</v>
      </c>
      <c r="AO428" s="13" t="str">
        <f>IF(Table24[[#This Row],[Time of Inital Call]]="","",IFERROR(MROUND(Table24[[#This Row],[Time of Inital Call]],"1:00"),""))</f>
        <v/>
      </c>
      <c r="AP428" s="19" t="str">
        <f>IF(Table24[[#This Row],[Date of Call]]="","",TEXT(Table24[[#This Row],[Date of Call]],"dddd"))</f>
        <v/>
      </c>
      <c r="AQ428" s="19" t="str">
        <f>IFERROR(VLOOKUP(Table24[[#This Row],[Residence Zip Code]],Table27[],3,FALSE),"")</f>
        <v/>
      </c>
    </row>
    <row r="429" spans="1:43" x14ac:dyDescent="0.25">
      <c r="A429" s="10"/>
      <c r="C429" s="10"/>
      <c r="D429" s="11"/>
      <c r="E429" s="12"/>
      <c r="F429" s="12"/>
      <c r="G429" s="12"/>
      <c r="H429" s="10"/>
      <c r="I429" s="12"/>
      <c r="J429" s="12"/>
      <c r="K429" s="12"/>
      <c r="L429" s="12"/>
      <c r="M429" s="16"/>
      <c r="N429" s="18"/>
      <c r="O429" s="13"/>
      <c r="P429" s="13"/>
      <c r="Q429" s="13"/>
      <c r="R429" s="18"/>
      <c r="S429" s="13"/>
      <c r="T429" s="13"/>
      <c r="U429" s="10"/>
      <c r="V429" s="2"/>
      <c r="X429" s="13"/>
      <c r="Y429" s="3"/>
      <c r="Z429" s="3"/>
      <c r="AA429" s="12"/>
      <c r="AB429" s="10"/>
      <c r="AC429" s="10"/>
      <c r="AD429" s="10"/>
      <c r="AE429" s="10"/>
      <c r="AI429" s="35"/>
      <c r="AJ429"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29" s="19" t="str">
        <f>IFERROR(IF(OR(TRIM(Table24[[#This Row],[DOB]])="",TRIM(Table24[[#This Row],[Date of Call]])=""),"Cannot be calculated",DATEDIF(Table24[[#This Row],[DOB]],Table24[[#This Row],[Date of Call]],"Y")),"Cannot be calculated")</f>
        <v>Cannot be calculated</v>
      </c>
      <c r="AL429"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29" s="19">
        <f>IFERROR(DATEDIF(Table24[[#This Row],[Date of Call]],Table24[[#This Row],[Follow-up Date]],"D"),"Cannot be calculated")</f>
        <v>0</v>
      </c>
      <c r="AN429" s="19" t="str">
        <f>IF(OR(Table24[[#This Row],[Client Age]]&lt;18,Table24[[#This Row],[If client DOB unknown, is client under 18?]]="Yes"),"Yes","No")</f>
        <v>No</v>
      </c>
      <c r="AO429" s="13" t="str">
        <f>IF(Table24[[#This Row],[Time of Inital Call]]="","",IFERROR(MROUND(Table24[[#This Row],[Time of Inital Call]],"1:00"),""))</f>
        <v/>
      </c>
      <c r="AP429" s="19" t="str">
        <f>IF(Table24[[#This Row],[Date of Call]]="","",TEXT(Table24[[#This Row],[Date of Call]],"dddd"))</f>
        <v/>
      </c>
      <c r="AQ429" s="19" t="str">
        <f>IFERROR(VLOOKUP(Table24[[#This Row],[Residence Zip Code]],Table27[],3,FALSE),"")</f>
        <v/>
      </c>
    </row>
    <row r="430" spans="1:43" x14ac:dyDescent="0.25">
      <c r="A430" s="10"/>
      <c r="C430" s="10"/>
      <c r="D430" s="11"/>
      <c r="E430" s="12"/>
      <c r="F430" s="12"/>
      <c r="G430" s="12"/>
      <c r="H430" s="10"/>
      <c r="I430" s="12"/>
      <c r="J430" s="12"/>
      <c r="K430" s="12"/>
      <c r="L430" s="12"/>
      <c r="M430" s="16"/>
      <c r="N430" s="18"/>
      <c r="O430" s="13"/>
      <c r="P430" s="13"/>
      <c r="Q430" s="13"/>
      <c r="R430" s="18"/>
      <c r="S430" s="13"/>
      <c r="T430" s="13"/>
      <c r="U430" s="10"/>
      <c r="V430" s="2"/>
      <c r="X430" s="13"/>
      <c r="Y430" s="3"/>
      <c r="Z430" s="3"/>
      <c r="AA430" s="12"/>
      <c r="AB430" s="10"/>
      <c r="AC430" s="10"/>
      <c r="AD430" s="10"/>
      <c r="AE430" s="10"/>
      <c r="AI430" s="35"/>
      <c r="AJ430"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30" s="19" t="str">
        <f>IFERROR(IF(OR(TRIM(Table24[[#This Row],[DOB]])="",TRIM(Table24[[#This Row],[Date of Call]])=""),"Cannot be calculated",DATEDIF(Table24[[#This Row],[DOB]],Table24[[#This Row],[Date of Call]],"Y")),"Cannot be calculated")</f>
        <v>Cannot be calculated</v>
      </c>
      <c r="AL430"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30" s="19">
        <f>IFERROR(DATEDIF(Table24[[#This Row],[Date of Call]],Table24[[#This Row],[Follow-up Date]],"D"),"Cannot be calculated")</f>
        <v>0</v>
      </c>
      <c r="AN430" s="19" t="str">
        <f>IF(OR(Table24[[#This Row],[Client Age]]&lt;18,Table24[[#This Row],[If client DOB unknown, is client under 18?]]="Yes"),"Yes","No")</f>
        <v>No</v>
      </c>
      <c r="AO430" s="13" t="str">
        <f>IF(Table24[[#This Row],[Time of Inital Call]]="","",IFERROR(MROUND(Table24[[#This Row],[Time of Inital Call]],"1:00"),""))</f>
        <v/>
      </c>
      <c r="AP430" s="19" t="str">
        <f>IF(Table24[[#This Row],[Date of Call]]="","",TEXT(Table24[[#This Row],[Date of Call]],"dddd"))</f>
        <v/>
      </c>
      <c r="AQ430" s="19" t="str">
        <f>IFERROR(VLOOKUP(Table24[[#This Row],[Residence Zip Code]],Table27[],3,FALSE),"")</f>
        <v/>
      </c>
    </row>
    <row r="431" spans="1:43" x14ac:dyDescent="0.25">
      <c r="A431" s="10"/>
      <c r="C431" s="10"/>
      <c r="D431" s="11"/>
      <c r="E431" s="12"/>
      <c r="F431" s="12"/>
      <c r="G431" s="12"/>
      <c r="H431" s="10"/>
      <c r="I431" s="12"/>
      <c r="J431" s="12"/>
      <c r="K431" s="12"/>
      <c r="L431" s="12"/>
      <c r="M431" s="16"/>
      <c r="N431" s="18"/>
      <c r="O431" s="13"/>
      <c r="P431" s="13"/>
      <c r="Q431" s="13"/>
      <c r="R431" s="18"/>
      <c r="S431" s="13"/>
      <c r="T431" s="13"/>
      <c r="U431" s="10"/>
      <c r="V431" s="2"/>
      <c r="X431" s="13"/>
      <c r="Y431" s="3"/>
      <c r="Z431" s="3"/>
      <c r="AA431" s="12"/>
      <c r="AB431" s="10"/>
      <c r="AC431" s="10"/>
      <c r="AD431" s="10"/>
      <c r="AE431" s="10"/>
      <c r="AI431" s="35"/>
      <c r="AJ431"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31" s="19" t="str">
        <f>IFERROR(IF(OR(TRIM(Table24[[#This Row],[DOB]])="",TRIM(Table24[[#This Row],[Date of Call]])=""),"Cannot be calculated",DATEDIF(Table24[[#This Row],[DOB]],Table24[[#This Row],[Date of Call]],"Y")),"Cannot be calculated")</f>
        <v>Cannot be calculated</v>
      </c>
      <c r="AL431"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31" s="19">
        <f>IFERROR(DATEDIF(Table24[[#This Row],[Date of Call]],Table24[[#This Row],[Follow-up Date]],"D"),"Cannot be calculated")</f>
        <v>0</v>
      </c>
      <c r="AN431" s="19" t="str">
        <f>IF(OR(Table24[[#This Row],[Client Age]]&lt;18,Table24[[#This Row],[If client DOB unknown, is client under 18?]]="Yes"),"Yes","No")</f>
        <v>No</v>
      </c>
      <c r="AO431" s="13" t="str">
        <f>IF(Table24[[#This Row],[Time of Inital Call]]="","",IFERROR(MROUND(Table24[[#This Row],[Time of Inital Call]],"1:00"),""))</f>
        <v/>
      </c>
      <c r="AP431" s="19" t="str">
        <f>IF(Table24[[#This Row],[Date of Call]]="","",TEXT(Table24[[#This Row],[Date of Call]],"dddd"))</f>
        <v/>
      </c>
      <c r="AQ431" s="19" t="str">
        <f>IFERROR(VLOOKUP(Table24[[#This Row],[Residence Zip Code]],Table27[],3,FALSE),"")</f>
        <v/>
      </c>
    </row>
    <row r="432" spans="1:43" x14ac:dyDescent="0.25">
      <c r="A432" s="10"/>
      <c r="C432" s="10"/>
      <c r="D432" s="11"/>
      <c r="E432" s="12"/>
      <c r="F432" s="12"/>
      <c r="G432" s="12"/>
      <c r="H432" s="10"/>
      <c r="I432" s="12"/>
      <c r="J432" s="12"/>
      <c r="K432" s="12"/>
      <c r="L432" s="12"/>
      <c r="M432" s="16"/>
      <c r="N432" s="18"/>
      <c r="O432" s="13"/>
      <c r="P432" s="13"/>
      <c r="Q432" s="13"/>
      <c r="R432" s="18"/>
      <c r="S432" s="13"/>
      <c r="T432" s="13"/>
      <c r="U432" s="10"/>
      <c r="V432" s="2"/>
      <c r="X432" s="13"/>
      <c r="Y432" s="3"/>
      <c r="Z432" s="3"/>
      <c r="AA432" s="12"/>
      <c r="AB432" s="10"/>
      <c r="AC432" s="10"/>
      <c r="AD432" s="10"/>
      <c r="AE432" s="10"/>
      <c r="AI432" s="35"/>
      <c r="AJ432"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32" s="19" t="str">
        <f>IFERROR(IF(OR(TRIM(Table24[[#This Row],[DOB]])="",TRIM(Table24[[#This Row],[Date of Call]])=""),"Cannot be calculated",DATEDIF(Table24[[#This Row],[DOB]],Table24[[#This Row],[Date of Call]],"Y")),"Cannot be calculated")</f>
        <v>Cannot be calculated</v>
      </c>
      <c r="AL432"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32" s="19">
        <f>IFERROR(DATEDIF(Table24[[#This Row],[Date of Call]],Table24[[#This Row],[Follow-up Date]],"D"),"Cannot be calculated")</f>
        <v>0</v>
      </c>
      <c r="AN432" s="19" t="str">
        <f>IF(OR(Table24[[#This Row],[Client Age]]&lt;18,Table24[[#This Row],[If client DOB unknown, is client under 18?]]="Yes"),"Yes","No")</f>
        <v>No</v>
      </c>
      <c r="AO432" s="13" t="str">
        <f>IF(Table24[[#This Row],[Time of Inital Call]]="","",IFERROR(MROUND(Table24[[#This Row],[Time of Inital Call]],"1:00"),""))</f>
        <v/>
      </c>
      <c r="AP432" s="19" t="str">
        <f>IF(Table24[[#This Row],[Date of Call]]="","",TEXT(Table24[[#This Row],[Date of Call]],"dddd"))</f>
        <v/>
      </c>
      <c r="AQ432" s="19" t="str">
        <f>IFERROR(VLOOKUP(Table24[[#This Row],[Residence Zip Code]],Table27[],3,FALSE),"")</f>
        <v/>
      </c>
    </row>
    <row r="433" spans="1:43" x14ac:dyDescent="0.25">
      <c r="A433" s="10"/>
      <c r="C433" s="10"/>
      <c r="D433" s="11"/>
      <c r="E433" s="12"/>
      <c r="F433" s="12"/>
      <c r="G433" s="12"/>
      <c r="H433" s="10"/>
      <c r="I433" s="12"/>
      <c r="J433" s="12"/>
      <c r="K433" s="12"/>
      <c r="L433" s="12"/>
      <c r="M433" s="16"/>
      <c r="N433" s="18"/>
      <c r="O433" s="13"/>
      <c r="P433" s="13"/>
      <c r="Q433" s="13"/>
      <c r="R433" s="18"/>
      <c r="S433" s="13"/>
      <c r="T433" s="13"/>
      <c r="U433" s="10"/>
      <c r="V433" s="2"/>
      <c r="X433" s="13"/>
      <c r="Y433" s="3"/>
      <c r="Z433" s="3"/>
      <c r="AA433" s="12"/>
      <c r="AB433" s="10"/>
      <c r="AC433" s="10"/>
      <c r="AD433" s="10"/>
      <c r="AE433" s="10"/>
      <c r="AI433" s="35"/>
      <c r="AJ433"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33" s="19" t="str">
        <f>IFERROR(IF(OR(TRIM(Table24[[#This Row],[DOB]])="",TRIM(Table24[[#This Row],[Date of Call]])=""),"Cannot be calculated",DATEDIF(Table24[[#This Row],[DOB]],Table24[[#This Row],[Date of Call]],"Y")),"Cannot be calculated")</f>
        <v>Cannot be calculated</v>
      </c>
      <c r="AL433"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33" s="19">
        <f>IFERROR(DATEDIF(Table24[[#This Row],[Date of Call]],Table24[[#This Row],[Follow-up Date]],"D"),"Cannot be calculated")</f>
        <v>0</v>
      </c>
      <c r="AN433" s="19" t="str">
        <f>IF(OR(Table24[[#This Row],[Client Age]]&lt;18,Table24[[#This Row],[If client DOB unknown, is client under 18?]]="Yes"),"Yes","No")</f>
        <v>No</v>
      </c>
      <c r="AO433" s="13" t="str">
        <f>IF(Table24[[#This Row],[Time of Inital Call]]="","",IFERROR(MROUND(Table24[[#This Row],[Time of Inital Call]],"1:00"),""))</f>
        <v/>
      </c>
      <c r="AP433" s="19" t="str">
        <f>IF(Table24[[#This Row],[Date of Call]]="","",TEXT(Table24[[#This Row],[Date of Call]],"dddd"))</f>
        <v/>
      </c>
      <c r="AQ433" s="19" t="str">
        <f>IFERROR(VLOOKUP(Table24[[#This Row],[Residence Zip Code]],Table27[],3,FALSE),"")</f>
        <v/>
      </c>
    </row>
    <row r="434" spans="1:43" x14ac:dyDescent="0.25">
      <c r="A434" s="10"/>
      <c r="C434" s="10"/>
      <c r="D434" s="11"/>
      <c r="E434" s="12"/>
      <c r="F434" s="12"/>
      <c r="G434" s="12"/>
      <c r="H434" s="10"/>
      <c r="I434" s="12"/>
      <c r="J434" s="12"/>
      <c r="K434" s="12"/>
      <c r="L434" s="12"/>
      <c r="M434" s="16"/>
      <c r="N434" s="18"/>
      <c r="O434" s="13"/>
      <c r="P434" s="13"/>
      <c r="Q434" s="13"/>
      <c r="R434" s="18"/>
      <c r="S434" s="13"/>
      <c r="T434" s="13"/>
      <c r="U434" s="10"/>
      <c r="V434" s="2"/>
      <c r="X434" s="13"/>
      <c r="Y434" s="3"/>
      <c r="Z434" s="3"/>
      <c r="AA434" s="12"/>
      <c r="AB434" s="10"/>
      <c r="AC434" s="10"/>
      <c r="AD434" s="10"/>
      <c r="AE434" s="10"/>
      <c r="AI434" s="35"/>
      <c r="AJ434"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34" s="19" t="str">
        <f>IFERROR(IF(OR(TRIM(Table24[[#This Row],[DOB]])="",TRIM(Table24[[#This Row],[Date of Call]])=""),"Cannot be calculated",DATEDIF(Table24[[#This Row],[DOB]],Table24[[#This Row],[Date of Call]],"Y")),"Cannot be calculated")</f>
        <v>Cannot be calculated</v>
      </c>
      <c r="AL434"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34" s="19">
        <f>IFERROR(DATEDIF(Table24[[#This Row],[Date of Call]],Table24[[#This Row],[Follow-up Date]],"D"),"Cannot be calculated")</f>
        <v>0</v>
      </c>
      <c r="AN434" s="19" t="str">
        <f>IF(OR(Table24[[#This Row],[Client Age]]&lt;18,Table24[[#This Row],[If client DOB unknown, is client under 18?]]="Yes"),"Yes","No")</f>
        <v>No</v>
      </c>
      <c r="AO434" s="13" t="str">
        <f>IF(Table24[[#This Row],[Time of Inital Call]]="","",IFERROR(MROUND(Table24[[#This Row],[Time of Inital Call]],"1:00"),""))</f>
        <v/>
      </c>
      <c r="AP434" s="19" t="str">
        <f>IF(Table24[[#This Row],[Date of Call]]="","",TEXT(Table24[[#This Row],[Date of Call]],"dddd"))</f>
        <v/>
      </c>
      <c r="AQ434" s="19" t="str">
        <f>IFERROR(VLOOKUP(Table24[[#This Row],[Residence Zip Code]],Table27[],3,FALSE),"")</f>
        <v/>
      </c>
    </row>
    <row r="435" spans="1:43" x14ac:dyDescent="0.25">
      <c r="A435" s="10"/>
      <c r="C435" s="10"/>
      <c r="D435" s="11"/>
      <c r="E435" s="12"/>
      <c r="F435" s="12"/>
      <c r="G435" s="12"/>
      <c r="H435" s="10"/>
      <c r="I435" s="12"/>
      <c r="J435" s="12"/>
      <c r="K435" s="12"/>
      <c r="L435" s="12"/>
      <c r="M435" s="16"/>
      <c r="N435" s="18"/>
      <c r="O435" s="13"/>
      <c r="P435" s="13"/>
      <c r="Q435" s="13"/>
      <c r="R435" s="18"/>
      <c r="S435" s="13"/>
      <c r="T435" s="13"/>
      <c r="U435" s="10"/>
      <c r="V435" s="2"/>
      <c r="X435" s="13"/>
      <c r="Y435" s="3"/>
      <c r="Z435" s="3"/>
      <c r="AA435" s="12"/>
      <c r="AB435" s="10"/>
      <c r="AC435" s="10"/>
      <c r="AD435" s="10"/>
      <c r="AE435" s="10"/>
      <c r="AI435" s="35"/>
      <c r="AJ435"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35" s="19" t="str">
        <f>IFERROR(IF(OR(TRIM(Table24[[#This Row],[DOB]])="",TRIM(Table24[[#This Row],[Date of Call]])=""),"Cannot be calculated",DATEDIF(Table24[[#This Row],[DOB]],Table24[[#This Row],[Date of Call]],"Y")),"Cannot be calculated")</f>
        <v>Cannot be calculated</v>
      </c>
      <c r="AL435"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35" s="19">
        <f>IFERROR(DATEDIF(Table24[[#This Row],[Date of Call]],Table24[[#This Row],[Follow-up Date]],"D"),"Cannot be calculated")</f>
        <v>0</v>
      </c>
      <c r="AN435" s="19" t="str">
        <f>IF(OR(Table24[[#This Row],[Client Age]]&lt;18,Table24[[#This Row],[If client DOB unknown, is client under 18?]]="Yes"),"Yes","No")</f>
        <v>No</v>
      </c>
      <c r="AO435" s="13" t="str">
        <f>IF(Table24[[#This Row],[Time of Inital Call]]="","",IFERROR(MROUND(Table24[[#This Row],[Time of Inital Call]],"1:00"),""))</f>
        <v/>
      </c>
      <c r="AP435" s="19" t="str">
        <f>IF(Table24[[#This Row],[Date of Call]]="","",TEXT(Table24[[#This Row],[Date of Call]],"dddd"))</f>
        <v/>
      </c>
      <c r="AQ435" s="19" t="str">
        <f>IFERROR(VLOOKUP(Table24[[#This Row],[Residence Zip Code]],Table27[],3,FALSE),"")</f>
        <v/>
      </c>
    </row>
    <row r="436" spans="1:43" x14ac:dyDescent="0.25">
      <c r="A436" s="10"/>
      <c r="C436" s="10"/>
      <c r="D436" s="11"/>
      <c r="E436" s="12"/>
      <c r="F436" s="12"/>
      <c r="G436" s="12"/>
      <c r="H436" s="10"/>
      <c r="I436" s="12"/>
      <c r="J436" s="12"/>
      <c r="K436" s="12"/>
      <c r="L436" s="12"/>
      <c r="M436" s="16"/>
      <c r="N436" s="18"/>
      <c r="O436" s="13"/>
      <c r="P436" s="13"/>
      <c r="Q436" s="13"/>
      <c r="R436" s="18"/>
      <c r="S436" s="13"/>
      <c r="T436" s="13"/>
      <c r="U436" s="10"/>
      <c r="V436" s="2"/>
      <c r="X436" s="13"/>
      <c r="Y436" s="3"/>
      <c r="Z436" s="3"/>
      <c r="AA436" s="12"/>
      <c r="AB436" s="10"/>
      <c r="AC436" s="10"/>
      <c r="AD436" s="10"/>
      <c r="AE436" s="10"/>
      <c r="AI436" s="35"/>
      <c r="AJ436"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36" s="19" t="str">
        <f>IFERROR(IF(OR(TRIM(Table24[[#This Row],[DOB]])="",TRIM(Table24[[#This Row],[Date of Call]])=""),"Cannot be calculated",DATEDIF(Table24[[#This Row],[DOB]],Table24[[#This Row],[Date of Call]],"Y")),"Cannot be calculated")</f>
        <v>Cannot be calculated</v>
      </c>
      <c r="AL436"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36" s="19">
        <f>IFERROR(DATEDIF(Table24[[#This Row],[Date of Call]],Table24[[#This Row],[Follow-up Date]],"D"),"Cannot be calculated")</f>
        <v>0</v>
      </c>
      <c r="AN436" s="19" t="str">
        <f>IF(OR(Table24[[#This Row],[Client Age]]&lt;18,Table24[[#This Row],[If client DOB unknown, is client under 18?]]="Yes"),"Yes","No")</f>
        <v>No</v>
      </c>
      <c r="AO436" s="13" t="str">
        <f>IF(Table24[[#This Row],[Time of Inital Call]]="","",IFERROR(MROUND(Table24[[#This Row],[Time of Inital Call]],"1:00"),""))</f>
        <v/>
      </c>
      <c r="AP436" s="19" t="str">
        <f>IF(Table24[[#This Row],[Date of Call]]="","",TEXT(Table24[[#This Row],[Date of Call]],"dddd"))</f>
        <v/>
      </c>
      <c r="AQ436" s="19" t="str">
        <f>IFERROR(VLOOKUP(Table24[[#This Row],[Residence Zip Code]],Table27[],3,FALSE),"")</f>
        <v/>
      </c>
    </row>
    <row r="437" spans="1:43" x14ac:dyDescent="0.25">
      <c r="A437" s="10"/>
      <c r="C437" s="10"/>
      <c r="D437" s="11"/>
      <c r="E437" s="12"/>
      <c r="F437" s="12"/>
      <c r="G437" s="12"/>
      <c r="H437" s="10"/>
      <c r="I437" s="12"/>
      <c r="J437" s="12"/>
      <c r="K437" s="12"/>
      <c r="L437" s="12"/>
      <c r="M437" s="16"/>
      <c r="N437" s="18"/>
      <c r="O437" s="13"/>
      <c r="P437" s="13"/>
      <c r="Q437" s="13"/>
      <c r="R437" s="18"/>
      <c r="S437" s="13"/>
      <c r="T437" s="13"/>
      <c r="U437" s="10"/>
      <c r="V437" s="2"/>
      <c r="X437" s="13"/>
      <c r="Y437" s="3"/>
      <c r="Z437" s="3"/>
      <c r="AA437" s="12"/>
      <c r="AB437" s="10"/>
      <c r="AC437" s="10"/>
      <c r="AD437" s="10"/>
      <c r="AE437" s="10"/>
      <c r="AI437" s="35"/>
      <c r="AJ437"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37" s="19" t="str">
        <f>IFERROR(IF(OR(TRIM(Table24[[#This Row],[DOB]])="",TRIM(Table24[[#This Row],[Date of Call]])=""),"Cannot be calculated",DATEDIF(Table24[[#This Row],[DOB]],Table24[[#This Row],[Date of Call]],"Y")),"Cannot be calculated")</f>
        <v>Cannot be calculated</v>
      </c>
      <c r="AL437"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37" s="19">
        <f>IFERROR(DATEDIF(Table24[[#This Row],[Date of Call]],Table24[[#This Row],[Follow-up Date]],"D"),"Cannot be calculated")</f>
        <v>0</v>
      </c>
      <c r="AN437" s="19" t="str">
        <f>IF(OR(Table24[[#This Row],[Client Age]]&lt;18,Table24[[#This Row],[If client DOB unknown, is client under 18?]]="Yes"),"Yes","No")</f>
        <v>No</v>
      </c>
      <c r="AO437" s="13" t="str">
        <f>IF(Table24[[#This Row],[Time of Inital Call]]="","",IFERROR(MROUND(Table24[[#This Row],[Time of Inital Call]],"1:00"),""))</f>
        <v/>
      </c>
      <c r="AP437" s="19" t="str">
        <f>IF(Table24[[#This Row],[Date of Call]]="","",TEXT(Table24[[#This Row],[Date of Call]],"dddd"))</f>
        <v/>
      </c>
      <c r="AQ437" s="19" t="str">
        <f>IFERROR(VLOOKUP(Table24[[#This Row],[Residence Zip Code]],Table27[],3,FALSE),"")</f>
        <v/>
      </c>
    </row>
    <row r="438" spans="1:43" x14ac:dyDescent="0.25">
      <c r="A438" s="10"/>
      <c r="C438" s="10"/>
      <c r="D438" s="11"/>
      <c r="E438" s="12"/>
      <c r="F438" s="12"/>
      <c r="G438" s="12"/>
      <c r="H438" s="10"/>
      <c r="I438" s="12"/>
      <c r="J438" s="12"/>
      <c r="K438" s="12"/>
      <c r="L438" s="12"/>
      <c r="M438" s="16"/>
      <c r="N438" s="18"/>
      <c r="O438" s="13"/>
      <c r="P438" s="13"/>
      <c r="Q438" s="13"/>
      <c r="R438" s="18"/>
      <c r="S438" s="13"/>
      <c r="T438" s="13"/>
      <c r="U438" s="10"/>
      <c r="V438" s="2"/>
      <c r="X438" s="13"/>
      <c r="Y438" s="3"/>
      <c r="Z438" s="3"/>
      <c r="AA438" s="12"/>
      <c r="AB438" s="10"/>
      <c r="AC438" s="10"/>
      <c r="AD438" s="10"/>
      <c r="AE438" s="10"/>
      <c r="AI438" s="35"/>
      <c r="AJ438"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38" s="19" t="str">
        <f>IFERROR(IF(OR(TRIM(Table24[[#This Row],[DOB]])="",TRIM(Table24[[#This Row],[Date of Call]])=""),"Cannot be calculated",DATEDIF(Table24[[#This Row],[DOB]],Table24[[#This Row],[Date of Call]],"Y")),"Cannot be calculated")</f>
        <v>Cannot be calculated</v>
      </c>
      <c r="AL438"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38" s="19">
        <f>IFERROR(DATEDIF(Table24[[#This Row],[Date of Call]],Table24[[#This Row],[Follow-up Date]],"D"),"Cannot be calculated")</f>
        <v>0</v>
      </c>
      <c r="AN438" s="19" t="str">
        <f>IF(OR(Table24[[#This Row],[Client Age]]&lt;18,Table24[[#This Row],[If client DOB unknown, is client under 18?]]="Yes"),"Yes","No")</f>
        <v>No</v>
      </c>
      <c r="AO438" s="13" t="str">
        <f>IF(Table24[[#This Row],[Time of Inital Call]]="","",IFERROR(MROUND(Table24[[#This Row],[Time of Inital Call]],"1:00"),""))</f>
        <v/>
      </c>
      <c r="AP438" s="19" t="str">
        <f>IF(Table24[[#This Row],[Date of Call]]="","",TEXT(Table24[[#This Row],[Date of Call]],"dddd"))</f>
        <v/>
      </c>
      <c r="AQ438" s="19" t="str">
        <f>IFERROR(VLOOKUP(Table24[[#This Row],[Residence Zip Code]],Table27[],3,FALSE),"")</f>
        <v/>
      </c>
    </row>
    <row r="439" spans="1:43" x14ac:dyDescent="0.25">
      <c r="A439" s="10"/>
      <c r="C439" s="10"/>
      <c r="D439" s="11"/>
      <c r="E439" s="12"/>
      <c r="F439" s="12"/>
      <c r="G439" s="12"/>
      <c r="H439" s="10"/>
      <c r="I439" s="12"/>
      <c r="J439" s="12"/>
      <c r="K439" s="12"/>
      <c r="L439" s="12"/>
      <c r="M439" s="16"/>
      <c r="N439" s="18"/>
      <c r="O439" s="13"/>
      <c r="P439" s="13"/>
      <c r="Q439" s="13"/>
      <c r="R439" s="18"/>
      <c r="S439" s="13"/>
      <c r="T439" s="13"/>
      <c r="U439" s="10"/>
      <c r="V439" s="2"/>
      <c r="X439" s="13"/>
      <c r="Y439" s="3"/>
      <c r="Z439" s="3"/>
      <c r="AA439" s="12"/>
      <c r="AB439" s="10"/>
      <c r="AC439" s="10"/>
      <c r="AD439" s="10"/>
      <c r="AE439" s="10"/>
      <c r="AI439" s="35"/>
      <c r="AJ439"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39" s="19" t="str">
        <f>IFERROR(IF(OR(TRIM(Table24[[#This Row],[DOB]])="",TRIM(Table24[[#This Row],[Date of Call]])=""),"Cannot be calculated",DATEDIF(Table24[[#This Row],[DOB]],Table24[[#This Row],[Date of Call]],"Y")),"Cannot be calculated")</f>
        <v>Cannot be calculated</v>
      </c>
      <c r="AL439"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39" s="19">
        <f>IFERROR(DATEDIF(Table24[[#This Row],[Date of Call]],Table24[[#This Row],[Follow-up Date]],"D"),"Cannot be calculated")</f>
        <v>0</v>
      </c>
      <c r="AN439" s="19" t="str">
        <f>IF(OR(Table24[[#This Row],[Client Age]]&lt;18,Table24[[#This Row],[If client DOB unknown, is client under 18?]]="Yes"),"Yes","No")</f>
        <v>No</v>
      </c>
      <c r="AO439" s="13" t="str">
        <f>IF(Table24[[#This Row],[Time of Inital Call]]="","",IFERROR(MROUND(Table24[[#This Row],[Time of Inital Call]],"1:00"),""))</f>
        <v/>
      </c>
      <c r="AP439" s="19" t="str">
        <f>IF(Table24[[#This Row],[Date of Call]]="","",TEXT(Table24[[#This Row],[Date of Call]],"dddd"))</f>
        <v/>
      </c>
      <c r="AQ439" s="19" t="str">
        <f>IFERROR(VLOOKUP(Table24[[#This Row],[Residence Zip Code]],Table27[],3,FALSE),"")</f>
        <v/>
      </c>
    </row>
    <row r="440" spans="1:43" x14ac:dyDescent="0.25">
      <c r="A440" s="10"/>
      <c r="C440" s="10"/>
      <c r="D440" s="11"/>
      <c r="E440" s="12"/>
      <c r="F440" s="12"/>
      <c r="G440" s="12"/>
      <c r="H440" s="10"/>
      <c r="I440" s="12"/>
      <c r="J440" s="12"/>
      <c r="K440" s="12"/>
      <c r="L440" s="12"/>
      <c r="M440" s="16"/>
      <c r="N440" s="18"/>
      <c r="O440" s="13"/>
      <c r="P440" s="13"/>
      <c r="Q440" s="13"/>
      <c r="R440" s="18"/>
      <c r="S440" s="13"/>
      <c r="T440" s="13"/>
      <c r="U440" s="10"/>
      <c r="V440" s="2"/>
      <c r="X440" s="13"/>
      <c r="Y440" s="3"/>
      <c r="Z440" s="3"/>
      <c r="AA440" s="12"/>
      <c r="AB440" s="10"/>
      <c r="AC440" s="10"/>
      <c r="AD440" s="10"/>
      <c r="AE440" s="10"/>
      <c r="AI440" s="35"/>
      <c r="AJ440"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40" s="19" t="str">
        <f>IFERROR(IF(OR(TRIM(Table24[[#This Row],[DOB]])="",TRIM(Table24[[#This Row],[Date of Call]])=""),"Cannot be calculated",DATEDIF(Table24[[#This Row],[DOB]],Table24[[#This Row],[Date of Call]],"Y")),"Cannot be calculated")</f>
        <v>Cannot be calculated</v>
      </c>
      <c r="AL440"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40" s="19">
        <f>IFERROR(DATEDIF(Table24[[#This Row],[Date of Call]],Table24[[#This Row],[Follow-up Date]],"D"),"Cannot be calculated")</f>
        <v>0</v>
      </c>
      <c r="AN440" s="19" t="str">
        <f>IF(OR(Table24[[#This Row],[Client Age]]&lt;18,Table24[[#This Row],[If client DOB unknown, is client under 18?]]="Yes"),"Yes","No")</f>
        <v>No</v>
      </c>
      <c r="AO440" s="13" t="str">
        <f>IF(Table24[[#This Row],[Time of Inital Call]]="","",IFERROR(MROUND(Table24[[#This Row],[Time of Inital Call]],"1:00"),""))</f>
        <v/>
      </c>
      <c r="AP440" s="19" t="str">
        <f>IF(Table24[[#This Row],[Date of Call]]="","",TEXT(Table24[[#This Row],[Date of Call]],"dddd"))</f>
        <v/>
      </c>
      <c r="AQ440" s="19" t="str">
        <f>IFERROR(VLOOKUP(Table24[[#This Row],[Residence Zip Code]],Table27[],3,FALSE),"")</f>
        <v/>
      </c>
    </row>
    <row r="441" spans="1:43" x14ac:dyDescent="0.25">
      <c r="A441" s="10"/>
      <c r="C441" s="10"/>
      <c r="D441" s="11"/>
      <c r="E441" s="12"/>
      <c r="F441" s="12"/>
      <c r="G441" s="12"/>
      <c r="H441" s="10"/>
      <c r="I441" s="12"/>
      <c r="J441" s="12"/>
      <c r="K441" s="12"/>
      <c r="L441" s="12"/>
      <c r="M441" s="16"/>
      <c r="N441" s="18"/>
      <c r="O441" s="13"/>
      <c r="P441" s="13"/>
      <c r="Q441" s="13"/>
      <c r="R441" s="18"/>
      <c r="S441" s="13"/>
      <c r="T441" s="13"/>
      <c r="U441" s="10"/>
      <c r="V441" s="2"/>
      <c r="X441" s="13"/>
      <c r="Y441" s="3"/>
      <c r="Z441" s="3"/>
      <c r="AA441" s="12"/>
      <c r="AB441" s="10"/>
      <c r="AC441" s="10"/>
      <c r="AD441" s="10"/>
      <c r="AE441" s="10"/>
      <c r="AI441" s="35"/>
      <c r="AJ441"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41" s="19" t="str">
        <f>IFERROR(IF(OR(TRIM(Table24[[#This Row],[DOB]])="",TRIM(Table24[[#This Row],[Date of Call]])=""),"Cannot be calculated",DATEDIF(Table24[[#This Row],[DOB]],Table24[[#This Row],[Date of Call]],"Y")),"Cannot be calculated")</f>
        <v>Cannot be calculated</v>
      </c>
      <c r="AL441"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41" s="19">
        <f>IFERROR(DATEDIF(Table24[[#This Row],[Date of Call]],Table24[[#This Row],[Follow-up Date]],"D"),"Cannot be calculated")</f>
        <v>0</v>
      </c>
      <c r="AN441" s="19" t="str">
        <f>IF(OR(Table24[[#This Row],[Client Age]]&lt;18,Table24[[#This Row],[If client DOB unknown, is client under 18?]]="Yes"),"Yes","No")</f>
        <v>No</v>
      </c>
      <c r="AO441" s="13" t="str">
        <f>IF(Table24[[#This Row],[Time of Inital Call]]="","",IFERROR(MROUND(Table24[[#This Row],[Time of Inital Call]],"1:00"),""))</f>
        <v/>
      </c>
      <c r="AP441" s="19" t="str">
        <f>IF(Table24[[#This Row],[Date of Call]]="","",TEXT(Table24[[#This Row],[Date of Call]],"dddd"))</f>
        <v/>
      </c>
      <c r="AQ441" s="19" t="str">
        <f>IFERROR(VLOOKUP(Table24[[#This Row],[Residence Zip Code]],Table27[],3,FALSE),"")</f>
        <v/>
      </c>
    </row>
    <row r="442" spans="1:43" x14ac:dyDescent="0.25">
      <c r="A442" s="10"/>
      <c r="C442" s="10"/>
      <c r="D442" s="11"/>
      <c r="E442" s="12"/>
      <c r="F442" s="12"/>
      <c r="G442" s="12"/>
      <c r="H442" s="10"/>
      <c r="I442" s="12"/>
      <c r="J442" s="12"/>
      <c r="K442" s="12"/>
      <c r="L442" s="12"/>
      <c r="M442" s="16"/>
      <c r="N442" s="18"/>
      <c r="O442" s="13"/>
      <c r="P442" s="13"/>
      <c r="Q442" s="13"/>
      <c r="R442" s="18"/>
      <c r="S442" s="13"/>
      <c r="T442" s="13"/>
      <c r="U442" s="10"/>
      <c r="V442" s="2"/>
      <c r="X442" s="13"/>
      <c r="Y442" s="3"/>
      <c r="Z442" s="3"/>
      <c r="AA442" s="12"/>
      <c r="AB442" s="10"/>
      <c r="AC442" s="10"/>
      <c r="AD442" s="10"/>
      <c r="AE442" s="10"/>
      <c r="AI442" s="35"/>
      <c r="AJ442"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42" s="19" t="str">
        <f>IFERROR(IF(OR(TRIM(Table24[[#This Row],[DOB]])="",TRIM(Table24[[#This Row],[Date of Call]])=""),"Cannot be calculated",DATEDIF(Table24[[#This Row],[DOB]],Table24[[#This Row],[Date of Call]],"Y")),"Cannot be calculated")</f>
        <v>Cannot be calculated</v>
      </c>
      <c r="AL442"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42" s="19">
        <f>IFERROR(DATEDIF(Table24[[#This Row],[Date of Call]],Table24[[#This Row],[Follow-up Date]],"D"),"Cannot be calculated")</f>
        <v>0</v>
      </c>
      <c r="AN442" s="19" t="str">
        <f>IF(OR(Table24[[#This Row],[Client Age]]&lt;18,Table24[[#This Row],[If client DOB unknown, is client under 18?]]="Yes"),"Yes","No")</f>
        <v>No</v>
      </c>
      <c r="AO442" s="13" t="str">
        <f>IF(Table24[[#This Row],[Time of Inital Call]]="","",IFERROR(MROUND(Table24[[#This Row],[Time of Inital Call]],"1:00"),""))</f>
        <v/>
      </c>
      <c r="AP442" s="19" t="str">
        <f>IF(Table24[[#This Row],[Date of Call]]="","",TEXT(Table24[[#This Row],[Date of Call]],"dddd"))</f>
        <v/>
      </c>
      <c r="AQ442" s="19" t="str">
        <f>IFERROR(VLOOKUP(Table24[[#This Row],[Residence Zip Code]],Table27[],3,FALSE),"")</f>
        <v/>
      </c>
    </row>
    <row r="443" spans="1:43" x14ac:dyDescent="0.25">
      <c r="A443" s="10"/>
      <c r="C443" s="10"/>
      <c r="D443" s="11"/>
      <c r="E443" s="12"/>
      <c r="F443" s="12"/>
      <c r="G443" s="12"/>
      <c r="H443" s="10"/>
      <c r="I443" s="12"/>
      <c r="J443" s="12"/>
      <c r="K443" s="12"/>
      <c r="L443" s="12"/>
      <c r="M443" s="16"/>
      <c r="N443" s="18"/>
      <c r="O443" s="13"/>
      <c r="P443" s="13"/>
      <c r="Q443" s="13"/>
      <c r="R443" s="18"/>
      <c r="S443" s="13"/>
      <c r="T443" s="13"/>
      <c r="U443" s="10"/>
      <c r="V443" s="2"/>
      <c r="X443" s="13"/>
      <c r="Y443" s="3"/>
      <c r="Z443" s="3"/>
      <c r="AA443" s="12"/>
      <c r="AB443" s="10"/>
      <c r="AC443" s="10"/>
      <c r="AD443" s="10"/>
      <c r="AE443" s="10"/>
      <c r="AI443" s="35"/>
      <c r="AJ443"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43" s="19" t="str">
        <f>IFERROR(IF(OR(TRIM(Table24[[#This Row],[DOB]])="",TRIM(Table24[[#This Row],[Date of Call]])=""),"Cannot be calculated",DATEDIF(Table24[[#This Row],[DOB]],Table24[[#This Row],[Date of Call]],"Y")),"Cannot be calculated")</f>
        <v>Cannot be calculated</v>
      </c>
      <c r="AL443"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43" s="19">
        <f>IFERROR(DATEDIF(Table24[[#This Row],[Date of Call]],Table24[[#This Row],[Follow-up Date]],"D"),"Cannot be calculated")</f>
        <v>0</v>
      </c>
      <c r="AN443" s="19" t="str">
        <f>IF(OR(Table24[[#This Row],[Client Age]]&lt;18,Table24[[#This Row],[If client DOB unknown, is client under 18?]]="Yes"),"Yes","No")</f>
        <v>No</v>
      </c>
      <c r="AO443" s="13" t="str">
        <f>IF(Table24[[#This Row],[Time of Inital Call]]="","",IFERROR(MROUND(Table24[[#This Row],[Time of Inital Call]],"1:00"),""))</f>
        <v/>
      </c>
      <c r="AP443" s="19" t="str">
        <f>IF(Table24[[#This Row],[Date of Call]]="","",TEXT(Table24[[#This Row],[Date of Call]],"dddd"))</f>
        <v/>
      </c>
      <c r="AQ443" s="19" t="str">
        <f>IFERROR(VLOOKUP(Table24[[#This Row],[Residence Zip Code]],Table27[],3,FALSE),"")</f>
        <v/>
      </c>
    </row>
    <row r="444" spans="1:43" x14ac:dyDescent="0.25">
      <c r="A444" s="10"/>
      <c r="C444" s="10"/>
      <c r="D444" s="11"/>
      <c r="E444" s="12"/>
      <c r="F444" s="12"/>
      <c r="G444" s="12"/>
      <c r="H444" s="10"/>
      <c r="I444" s="12"/>
      <c r="J444" s="12"/>
      <c r="K444" s="12"/>
      <c r="L444" s="12"/>
      <c r="M444" s="16"/>
      <c r="N444" s="18"/>
      <c r="O444" s="13"/>
      <c r="P444" s="13"/>
      <c r="Q444" s="13"/>
      <c r="R444" s="18"/>
      <c r="S444" s="13"/>
      <c r="T444" s="13"/>
      <c r="U444" s="10"/>
      <c r="V444" s="2"/>
      <c r="X444" s="13"/>
      <c r="Y444" s="3"/>
      <c r="Z444" s="3"/>
      <c r="AA444" s="12"/>
      <c r="AB444" s="10"/>
      <c r="AC444" s="10"/>
      <c r="AD444" s="10"/>
      <c r="AE444" s="10"/>
      <c r="AI444" s="35"/>
      <c r="AJ444"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44" s="19" t="str">
        <f>IFERROR(IF(OR(TRIM(Table24[[#This Row],[DOB]])="",TRIM(Table24[[#This Row],[Date of Call]])=""),"Cannot be calculated",DATEDIF(Table24[[#This Row],[DOB]],Table24[[#This Row],[Date of Call]],"Y")),"Cannot be calculated")</f>
        <v>Cannot be calculated</v>
      </c>
      <c r="AL444"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44" s="19">
        <f>IFERROR(DATEDIF(Table24[[#This Row],[Date of Call]],Table24[[#This Row],[Follow-up Date]],"D"),"Cannot be calculated")</f>
        <v>0</v>
      </c>
      <c r="AN444" s="19" t="str">
        <f>IF(OR(Table24[[#This Row],[Client Age]]&lt;18,Table24[[#This Row],[If client DOB unknown, is client under 18?]]="Yes"),"Yes","No")</f>
        <v>No</v>
      </c>
      <c r="AO444" s="13" t="str">
        <f>IF(Table24[[#This Row],[Time of Inital Call]]="","",IFERROR(MROUND(Table24[[#This Row],[Time of Inital Call]],"1:00"),""))</f>
        <v/>
      </c>
      <c r="AP444" s="19" t="str">
        <f>IF(Table24[[#This Row],[Date of Call]]="","",TEXT(Table24[[#This Row],[Date of Call]],"dddd"))</f>
        <v/>
      </c>
      <c r="AQ444" s="19" t="str">
        <f>IFERROR(VLOOKUP(Table24[[#This Row],[Residence Zip Code]],Table27[],3,FALSE),"")</f>
        <v/>
      </c>
    </row>
    <row r="445" spans="1:43" x14ac:dyDescent="0.25">
      <c r="A445" s="10"/>
      <c r="C445" s="10"/>
      <c r="D445" s="11"/>
      <c r="E445" s="12"/>
      <c r="F445" s="12"/>
      <c r="G445" s="12"/>
      <c r="H445" s="10"/>
      <c r="I445" s="12"/>
      <c r="J445" s="12"/>
      <c r="K445" s="12"/>
      <c r="L445" s="12"/>
      <c r="M445" s="16"/>
      <c r="N445" s="18"/>
      <c r="O445" s="13"/>
      <c r="P445" s="13"/>
      <c r="Q445" s="13"/>
      <c r="R445" s="18"/>
      <c r="S445" s="13"/>
      <c r="T445" s="13"/>
      <c r="U445" s="10"/>
      <c r="V445" s="2"/>
      <c r="X445" s="13"/>
      <c r="Y445" s="3"/>
      <c r="Z445" s="3"/>
      <c r="AA445" s="12"/>
      <c r="AB445" s="10"/>
      <c r="AC445" s="10"/>
      <c r="AD445" s="10"/>
      <c r="AE445" s="10"/>
      <c r="AI445" s="35"/>
      <c r="AJ445"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45" s="19" t="str">
        <f>IFERROR(IF(OR(TRIM(Table24[[#This Row],[DOB]])="",TRIM(Table24[[#This Row],[Date of Call]])=""),"Cannot be calculated",DATEDIF(Table24[[#This Row],[DOB]],Table24[[#This Row],[Date of Call]],"Y")),"Cannot be calculated")</f>
        <v>Cannot be calculated</v>
      </c>
      <c r="AL445"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45" s="19">
        <f>IFERROR(DATEDIF(Table24[[#This Row],[Date of Call]],Table24[[#This Row],[Follow-up Date]],"D"),"Cannot be calculated")</f>
        <v>0</v>
      </c>
      <c r="AN445" s="19" t="str">
        <f>IF(OR(Table24[[#This Row],[Client Age]]&lt;18,Table24[[#This Row],[If client DOB unknown, is client under 18?]]="Yes"),"Yes","No")</f>
        <v>No</v>
      </c>
      <c r="AO445" s="13" t="str">
        <f>IF(Table24[[#This Row],[Time of Inital Call]]="","",IFERROR(MROUND(Table24[[#This Row],[Time of Inital Call]],"1:00"),""))</f>
        <v/>
      </c>
      <c r="AP445" s="19" t="str">
        <f>IF(Table24[[#This Row],[Date of Call]]="","",TEXT(Table24[[#This Row],[Date of Call]],"dddd"))</f>
        <v/>
      </c>
      <c r="AQ445" s="19" t="str">
        <f>IFERROR(VLOOKUP(Table24[[#This Row],[Residence Zip Code]],Table27[],3,FALSE),"")</f>
        <v/>
      </c>
    </row>
    <row r="446" spans="1:43" x14ac:dyDescent="0.25">
      <c r="A446" s="10"/>
      <c r="C446" s="10"/>
      <c r="D446" s="11"/>
      <c r="E446" s="12"/>
      <c r="F446" s="12"/>
      <c r="G446" s="12"/>
      <c r="H446" s="10"/>
      <c r="I446" s="12"/>
      <c r="J446" s="12"/>
      <c r="K446" s="12"/>
      <c r="L446" s="12"/>
      <c r="M446" s="16"/>
      <c r="N446" s="18"/>
      <c r="O446" s="13"/>
      <c r="P446" s="13"/>
      <c r="Q446" s="13"/>
      <c r="R446" s="18"/>
      <c r="S446" s="13"/>
      <c r="T446" s="13"/>
      <c r="U446" s="10"/>
      <c r="V446" s="2"/>
      <c r="X446" s="13"/>
      <c r="Y446" s="3"/>
      <c r="Z446" s="3"/>
      <c r="AA446" s="12"/>
      <c r="AB446" s="10"/>
      <c r="AC446" s="10"/>
      <c r="AD446" s="10"/>
      <c r="AE446" s="10"/>
      <c r="AI446" s="35"/>
      <c r="AJ446"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46" s="19" t="str">
        <f>IFERROR(IF(OR(TRIM(Table24[[#This Row],[DOB]])="",TRIM(Table24[[#This Row],[Date of Call]])=""),"Cannot be calculated",DATEDIF(Table24[[#This Row],[DOB]],Table24[[#This Row],[Date of Call]],"Y")),"Cannot be calculated")</f>
        <v>Cannot be calculated</v>
      </c>
      <c r="AL446"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46" s="19">
        <f>IFERROR(DATEDIF(Table24[[#This Row],[Date of Call]],Table24[[#This Row],[Follow-up Date]],"D"),"Cannot be calculated")</f>
        <v>0</v>
      </c>
      <c r="AN446" s="19" t="str">
        <f>IF(OR(Table24[[#This Row],[Client Age]]&lt;18,Table24[[#This Row],[If client DOB unknown, is client under 18?]]="Yes"),"Yes","No")</f>
        <v>No</v>
      </c>
      <c r="AO446" s="13" t="str">
        <f>IF(Table24[[#This Row],[Time of Inital Call]]="","",IFERROR(MROUND(Table24[[#This Row],[Time of Inital Call]],"1:00"),""))</f>
        <v/>
      </c>
      <c r="AP446" s="19" t="str">
        <f>IF(Table24[[#This Row],[Date of Call]]="","",TEXT(Table24[[#This Row],[Date of Call]],"dddd"))</f>
        <v/>
      </c>
      <c r="AQ446" s="19" t="str">
        <f>IFERROR(VLOOKUP(Table24[[#This Row],[Residence Zip Code]],Table27[],3,FALSE),"")</f>
        <v/>
      </c>
    </row>
    <row r="447" spans="1:43" x14ac:dyDescent="0.25">
      <c r="A447" s="10"/>
      <c r="C447" s="10"/>
      <c r="D447" s="11"/>
      <c r="E447" s="12"/>
      <c r="F447" s="12"/>
      <c r="G447" s="12"/>
      <c r="H447" s="10"/>
      <c r="I447" s="12"/>
      <c r="J447" s="12"/>
      <c r="K447" s="12"/>
      <c r="L447" s="12"/>
      <c r="M447" s="16"/>
      <c r="N447" s="18"/>
      <c r="O447" s="13"/>
      <c r="P447" s="13"/>
      <c r="Q447" s="13"/>
      <c r="R447" s="18"/>
      <c r="S447" s="13"/>
      <c r="T447" s="13"/>
      <c r="U447" s="10"/>
      <c r="V447" s="2"/>
      <c r="X447" s="13"/>
      <c r="Y447" s="3"/>
      <c r="Z447" s="3"/>
      <c r="AA447" s="12"/>
      <c r="AB447" s="10"/>
      <c r="AC447" s="10"/>
      <c r="AD447" s="10"/>
      <c r="AE447" s="10"/>
      <c r="AI447" s="35"/>
      <c r="AJ447"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47" s="19" t="str">
        <f>IFERROR(IF(OR(TRIM(Table24[[#This Row],[DOB]])="",TRIM(Table24[[#This Row],[Date of Call]])=""),"Cannot be calculated",DATEDIF(Table24[[#This Row],[DOB]],Table24[[#This Row],[Date of Call]],"Y")),"Cannot be calculated")</f>
        <v>Cannot be calculated</v>
      </c>
      <c r="AL447"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47" s="19">
        <f>IFERROR(DATEDIF(Table24[[#This Row],[Date of Call]],Table24[[#This Row],[Follow-up Date]],"D"),"Cannot be calculated")</f>
        <v>0</v>
      </c>
      <c r="AN447" s="19" t="str">
        <f>IF(OR(Table24[[#This Row],[Client Age]]&lt;18,Table24[[#This Row],[If client DOB unknown, is client under 18?]]="Yes"),"Yes","No")</f>
        <v>No</v>
      </c>
      <c r="AO447" s="13" t="str">
        <f>IF(Table24[[#This Row],[Time of Inital Call]]="","",IFERROR(MROUND(Table24[[#This Row],[Time of Inital Call]],"1:00"),""))</f>
        <v/>
      </c>
      <c r="AP447" s="19" t="str">
        <f>IF(Table24[[#This Row],[Date of Call]]="","",TEXT(Table24[[#This Row],[Date of Call]],"dddd"))</f>
        <v/>
      </c>
      <c r="AQ447" s="19" t="str">
        <f>IFERROR(VLOOKUP(Table24[[#This Row],[Residence Zip Code]],Table27[],3,FALSE),"")</f>
        <v/>
      </c>
    </row>
    <row r="448" spans="1:43" x14ac:dyDescent="0.25">
      <c r="A448" s="10"/>
      <c r="C448" s="10"/>
      <c r="D448" s="11"/>
      <c r="E448" s="12"/>
      <c r="F448" s="12"/>
      <c r="G448" s="12"/>
      <c r="H448" s="10"/>
      <c r="I448" s="12"/>
      <c r="J448" s="12"/>
      <c r="K448" s="12"/>
      <c r="L448" s="12"/>
      <c r="M448" s="16"/>
      <c r="N448" s="18"/>
      <c r="O448" s="13"/>
      <c r="P448" s="13"/>
      <c r="Q448" s="13"/>
      <c r="R448" s="18"/>
      <c r="S448" s="13"/>
      <c r="T448" s="13"/>
      <c r="U448" s="10"/>
      <c r="V448" s="2"/>
      <c r="X448" s="13"/>
      <c r="Y448" s="3"/>
      <c r="Z448" s="3"/>
      <c r="AA448" s="12"/>
      <c r="AB448" s="10"/>
      <c r="AC448" s="10"/>
      <c r="AD448" s="10"/>
      <c r="AE448" s="10"/>
      <c r="AI448" s="35"/>
      <c r="AJ448"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48" s="19" t="str">
        <f>IFERROR(IF(OR(TRIM(Table24[[#This Row],[DOB]])="",TRIM(Table24[[#This Row],[Date of Call]])=""),"Cannot be calculated",DATEDIF(Table24[[#This Row],[DOB]],Table24[[#This Row],[Date of Call]],"Y")),"Cannot be calculated")</f>
        <v>Cannot be calculated</v>
      </c>
      <c r="AL448"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48" s="19">
        <f>IFERROR(DATEDIF(Table24[[#This Row],[Date of Call]],Table24[[#This Row],[Follow-up Date]],"D"),"Cannot be calculated")</f>
        <v>0</v>
      </c>
      <c r="AN448" s="19" t="str">
        <f>IF(OR(Table24[[#This Row],[Client Age]]&lt;18,Table24[[#This Row],[If client DOB unknown, is client under 18?]]="Yes"),"Yes","No")</f>
        <v>No</v>
      </c>
      <c r="AO448" s="13" t="str">
        <f>IF(Table24[[#This Row],[Time of Inital Call]]="","",IFERROR(MROUND(Table24[[#This Row],[Time of Inital Call]],"1:00"),""))</f>
        <v/>
      </c>
      <c r="AP448" s="19" t="str">
        <f>IF(Table24[[#This Row],[Date of Call]]="","",TEXT(Table24[[#This Row],[Date of Call]],"dddd"))</f>
        <v/>
      </c>
      <c r="AQ448" s="19" t="str">
        <f>IFERROR(VLOOKUP(Table24[[#This Row],[Residence Zip Code]],Table27[],3,FALSE),"")</f>
        <v/>
      </c>
    </row>
    <row r="449" spans="1:43" x14ac:dyDescent="0.25">
      <c r="A449" s="10"/>
      <c r="C449" s="10"/>
      <c r="D449" s="11"/>
      <c r="E449" s="12"/>
      <c r="F449" s="12"/>
      <c r="G449" s="12"/>
      <c r="H449" s="10"/>
      <c r="I449" s="12"/>
      <c r="J449" s="12"/>
      <c r="K449" s="12"/>
      <c r="L449" s="12"/>
      <c r="M449" s="16"/>
      <c r="N449" s="18"/>
      <c r="O449" s="13"/>
      <c r="P449" s="13"/>
      <c r="Q449" s="13"/>
      <c r="R449" s="18"/>
      <c r="S449" s="13"/>
      <c r="T449" s="13"/>
      <c r="U449" s="10"/>
      <c r="V449" s="2"/>
      <c r="X449" s="13"/>
      <c r="Y449" s="3"/>
      <c r="Z449" s="3"/>
      <c r="AA449" s="12"/>
      <c r="AB449" s="10"/>
      <c r="AC449" s="10"/>
      <c r="AD449" s="10"/>
      <c r="AE449" s="10"/>
      <c r="AI449" s="35"/>
      <c r="AJ449"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49" s="19" t="str">
        <f>IFERROR(IF(OR(TRIM(Table24[[#This Row],[DOB]])="",TRIM(Table24[[#This Row],[Date of Call]])=""),"Cannot be calculated",DATEDIF(Table24[[#This Row],[DOB]],Table24[[#This Row],[Date of Call]],"Y")),"Cannot be calculated")</f>
        <v>Cannot be calculated</v>
      </c>
      <c r="AL449"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49" s="19">
        <f>IFERROR(DATEDIF(Table24[[#This Row],[Date of Call]],Table24[[#This Row],[Follow-up Date]],"D"),"Cannot be calculated")</f>
        <v>0</v>
      </c>
      <c r="AN449" s="19" t="str">
        <f>IF(OR(Table24[[#This Row],[Client Age]]&lt;18,Table24[[#This Row],[If client DOB unknown, is client under 18?]]="Yes"),"Yes","No")</f>
        <v>No</v>
      </c>
      <c r="AO449" s="13" t="str">
        <f>IF(Table24[[#This Row],[Time of Inital Call]]="","",IFERROR(MROUND(Table24[[#This Row],[Time of Inital Call]],"1:00"),""))</f>
        <v/>
      </c>
      <c r="AP449" s="19" t="str">
        <f>IF(Table24[[#This Row],[Date of Call]]="","",TEXT(Table24[[#This Row],[Date of Call]],"dddd"))</f>
        <v/>
      </c>
      <c r="AQ449" s="19" t="str">
        <f>IFERROR(VLOOKUP(Table24[[#This Row],[Residence Zip Code]],Table27[],3,FALSE),"")</f>
        <v/>
      </c>
    </row>
    <row r="450" spans="1:43" x14ac:dyDescent="0.25">
      <c r="A450" s="10"/>
      <c r="C450" s="10"/>
      <c r="D450" s="11"/>
      <c r="E450" s="12"/>
      <c r="F450" s="12"/>
      <c r="G450" s="12"/>
      <c r="H450" s="10"/>
      <c r="I450" s="12"/>
      <c r="J450" s="12"/>
      <c r="K450" s="12"/>
      <c r="L450" s="12"/>
      <c r="M450" s="16"/>
      <c r="N450" s="18"/>
      <c r="O450" s="13"/>
      <c r="P450" s="13"/>
      <c r="Q450" s="13"/>
      <c r="R450" s="18"/>
      <c r="S450" s="13"/>
      <c r="T450" s="13"/>
      <c r="U450" s="10"/>
      <c r="V450" s="2"/>
      <c r="X450" s="13"/>
      <c r="Y450" s="3"/>
      <c r="Z450" s="3"/>
      <c r="AA450" s="12"/>
      <c r="AB450" s="10"/>
      <c r="AC450" s="10"/>
      <c r="AD450" s="10"/>
      <c r="AE450" s="10"/>
      <c r="AI450" s="35"/>
      <c r="AJ450"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50" s="19" t="str">
        <f>IFERROR(IF(OR(TRIM(Table24[[#This Row],[DOB]])="",TRIM(Table24[[#This Row],[Date of Call]])=""),"Cannot be calculated",DATEDIF(Table24[[#This Row],[DOB]],Table24[[#This Row],[Date of Call]],"Y")),"Cannot be calculated")</f>
        <v>Cannot be calculated</v>
      </c>
      <c r="AL450"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50" s="19">
        <f>IFERROR(DATEDIF(Table24[[#This Row],[Date of Call]],Table24[[#This Row],[Follow-up Date]],"D"),"Cannot be calculated")</f>
        <v>0</v>
      </c>
      <c r="AN450" s="19" t="str">
        <f>IF(OR(Table24[[#This Row],[Client Age]]&lt;18,Table24[[#This Row],[If client DOB unknown, is client under 18?]]="Yes"),"Yes","No")</f>
        <v>No</v>
      </c>
      <c r="AO450" s="13" t="str">
        <f>IF(Table24[[#This Row],[Time of Inital Call]]="","",IFERROR(MROUND(Table24[[#This Row],[Time of Inital Call]],"1:00"),""))</f>
        <v/>
      </c>
      <c r="AP450" s="19" t="str">
        <f>IF(Table24[[#This Row],[Date of Call]]="","",TEXT(Table24[[#This Row],[Date of Call]],"dddd"))</f>
        <v/>
      </c>
      <c r="AQ450" s="19" t="str">
        <f>IFERROR(VLOOKUP(Table24[[#This Row],[Residence Zip Code]],Table27[],3,FALSE),"")</f>
        <v/>
      </c>
    </row>
    <row r="451" spans="1:43" x14ac:dyDescent="0.25">
      <c r="A451" s="10"/>
      <c r="C451" s="10"/>
      <c r="D451" s="11"/>
      <c r="E451" s="12"/>
      <c r="F451" s="12"/>
      <c r="G451" s="12"/>
      <c r="H451" s="10"/>
      <c r="I451" s="12"/>
      <c r="J451" s="12"/>
      <c r="K451" s="12"/>
      <c r="L451" s="12"/>
      <c r="M451" s="16"/>
      <c r="N451" s="18"/>
      <c r="O451" s="13"/>
      <c r="P451" s="13"/>
      <c r="Q451" s="13"/>
      <c r="R451" s="18"/>
      <c r="S451" s="13"/>
      <c r="T451" s="13"/>
      <c r="U451" s="10"/>
      <c r="V451" s="2"/>
      <c r="X451" s="13"/>
      <c r="Y451" s="3"/>
      <c r="Z451" s="3"/>
      <c r="AA451" s="12"/>
      <c r="AB451" s="10"/>
      <c r="AC451" s="10"/>
      <c r="AD451" s="10"/>
      <c r="AE451" s="10"/>
      <c r="AI451" s="35"/>
      <c r="AJ451"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51" s="19" t="str">
        <f>IFERROR(IF(OR(TRIM(Table24[[#This Row],[DOB]])="",TRIM(Table24[[#This Row],[Date of Call]])=""),"Cannot be calculated",DATEDIF(Table24[[#This Row],[DOB]],Table24[[#This Row],[Date of Call]],"Y")),"Cannot be calculated")</f>
        <v>Cannot be calculated</v>
      </c>
      <c r="AL451"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51" s="19">
        <f>IFERROR(DATEDIF(Table24[[#This Row],[Date of Call]],Table24[[#This Row],[Follow-up Date]],"D"),"Cannot be calculated")</f>
        <v>0</v>
      </c>
      <c r="AN451" s="19" t="str">
        <f>IF(OR(Table24[[#This Row],[Client Age]]&lt;18,Table24[[#This Row],[If client DOB unknown, is client under 18?]]="Yes"),"Yes","No")</f>
        <v>No</v>
      </c>
      <c r="AO451" s="13" t="str">
        <f>IF(Table24[[#This Row],[Time of Inital Call]]="","",IFERROR(MROUND(Table24[[#This Row],[Time of Inital Call]],"1:00"),""))</f>
        <v/>
      </c>
      <c r="AP451" s="19" t="str">
        <f>IF(Table24[[#This Row],[Date of Call]]="","",TEXT(Table24[[#This Row],[Date of Call]],"dddd"))</f>
        <v/>
      </c>
      <c r="AQ451" s="19" t="str">
        <f>IFERROR(VLOOKUP(Table24[[#This Row],[Residence Zip Code]],Table27[],3,FALSE),"")</f>
        <v/>
      </c>
    </row>
    <row r="452" spans="1:43" x14ac:dyDescent="0.25">
      <c r="A452" s="10"/>
      <c r="C452" s="10"/>
      <c r="D452" s="11"/>
      <c r="E452" s="12"/>
      <c r="F452" s="12"/>
      <c r="G452" s="12"/>
      <c r="H452" s="10"/>
      <c r="I452" s="12"/>
      <c r="J452" s="12"/>
      <c r="K452" s="12"/>
      <c r="L452" s="12"/>
      <c r="M452" s="16"/>
      <c r="N452" s="18"/>
      <c r="O452" s="13"/>
      <c r="P452" s="13"/>
      <c r="Q452" s="13"/>
      <c r="R452" s="18"/>
      <c r="S452" s="13"/>
      <c r="T452" s="13"/>
      <c r="U452" s="10"/>
      <c r="V452" s="2"/>
      <c r="X452" s="13"/>
      <c r="Y452" s="3"/>
      <c r="Z452" s="3"/>
      <c r="AA452" s="12"/>
      <c r="AB452" s="10"/>
      <c r="AC452" s="10"/>
      <c r="AD452" s="10"/>
      <c r="AE452" s="10"/>
      <c r="AI452" s="35"/>
      <c r="AJ452"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52" s="19" t="str">
        <f>IFERROR(IF(OR(TRIM(Table24[[#This Row],[DOB]])="",TRIM(Table24[[#This Row],[Date of Call]])=""),"Cannot be calculated",DATEDIF(Table24[[#This Row],[DOB]],Table24[[#This Row],[Date of Call]],"Y")),"Cannot be calculated")</f>
        <v>Cannot be calculated</v>
      </c>
      <c r="AL452"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52" s="19">
        <f>IFERROR(DATEDIF(Table24[[#This Row],[Date of Call]],Table24[[#This Row],[Follow-up Date]],"D"),"Cannot be calculated")</f>
        <v>0</v>
      </c>
      <c r="AN452" s="19" t="str">
        <f>IF(OR(Table24[[#This Row],[Client Age]]&lt;18,Table24[[#This Row],[If client DOB unknown, is client under 18?]]="Yes"),"Yes","No")</f>
        <v>No</v>
      </c>
      <c r="AO452" s="13" t="str">
        <f>IF(Table24[[#This Row],[Time of Inital Call]]="","",IFERROR(MROUND(Table24[[#This Row],[Time of Inital Call]],"1:00"),""))</f>
        <v/>
      </c>
      <c r="AP452" s="19" t="str">
        <f>IF(Table24[[#This Row],[Date of Call]]="","",TEXT(Table24[[#This Row],[Date of Call]],"dddd"))</f>
        <v/>
      </c>
      <c r="AQ452" s="19" t="str">
        <f>IFERROR(VLOOKUP(Table24[[#This Row],[Residence Zip Code]],Table27[],3,FALSE),"")</f>
        <v/>
      </c>
    </row>
    <row r="453" spans="1:43" x14ac:dyDescent="0.25">
      <c r="A453" s="10"/>
      <c r="C453" s="10"/>
      <c r="D453" s="11"/>
      <c r="E453" s="12"/>
      <c r="F453" s="12"/>
      <c r="G453" s="12"/>
      <c r="H453" s="10"/>
      <c r="I453" s="12"/>
      <c r="J453" s="12"/>
      <c r="K453" s="12"/>
      <c r="L453" s="12"/>
      <c r="M453" s="16"/>
      <c r="N453" s="18"/>
      <c r="O453" s="13"/>
      <c r="P453" s="13"/>
      <c r="Q453" s="13"/>
      <c r="R453" s="18"/>
      <c r="S453" s="13"/>
      <c r="T453" s="13"/>
      <c r="U453" s="10"/>
      <c r="V453" s="2"/>
      <c r="X453" s="13"/>
      <c r="Y453" s="3"/>
      <c r="Z453" s="3"/>
      <c r="AA453" s="12"/>
      <c r="AB453" s="10"/>
      <c r="AC453" s="10"/>
      <c r="AD453" s="10"/>
      <c r="AE453" s="10"/>
      <c r="AI453" s="35"/>
      <c r="AJ453"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53" s="19" t="str">
        <f>IFERROR(IF(OR(TRIM(Table24[[#This Row],[DOB]])="",TRIM(Table24[[#This Row],[Date of Call]])=""),"Cannot be calculated",DATEDIF(Table24[[#This Row],[DOB]],Table24[[#This Row],[Date of Call]],"Y")),"Cannot be calculated")</f>
        <v>Cannot be calculated</v>
      </c>
      <c r="AL453"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53" s="19">
        <f>IFERROR(DATEDIF(Table24[[#This Row],[Date of Call]],Table24[[#This Row],[Follow-up Date]],"D"),"Cannot be calculated")</f>
        <v>0</v>
      </c>
      <c r="AN453" s="19" t="str">
        <f>IF(OR(Table24[[#This Row],[Client Age]]&lt;18,Table24[[#This Row],[If client DOB unknown, is client under 18?]]="Yes"),"Yes","No")</f>
        <v>No</v>
      </c>
      <c r="AO453" s="13" t="str">
        <f>IF(Table24[[#This Row],[Time of Inital Call]]="","",IFERROR(MROUND(Table24[[#This Row],[Time of Inital Call]],"1:00"),""))</f>
        <v/>
      </c>
      <c r="AP453" s="19" t="str">
        <f>IF(Table24[[#This Row],[Date of Call]]="","",TEXT(Table24[[#This Row],[Date of Call]],"dddd"))</f>
        <v/>
      </c>
      <c r="AQ453" s="19" t="str">
        <f>IFERROR(VLOOKUP(Table24[[#This Row],[Residence Zip Code]],Table27[],3,FALSE),"")</f>
        <v/>
      </c>
    </row>
    <row r="454" spans="1:43" x14ac:dyDescent="0.25">
      <c r="A454" s="10"/>
      <c r="C454" s="10"/>
      <c r="D454" s="11"/>
      <c r="E454" s="12"/>
      <c r="F454" s="12"/>
      <c r="G454" s="12"/>
      <c r="H454" s="10"/>
      <c r="I454" s="12"/>
      <c r="J454" s="12"/>
      <c r="K454" s="12"/>
      <c r="L454" s="12"/>
      <c r="M454" s="16"/>
      <c r="N454" s="18"/>
      <c r="O454" s="13"/>
      <c r="P454" s="13"/>
      <c r="Q454" s="13"/>
      <c r="R454" s="18"/>
      <c r="S454" s="13"/>
      <c r="T454" s="13"/>
      <c r="U454" s="10"/>
      <c r="V454" s="2"/>
      <c r="X454" s="13"/>
      <c r="Y454" s="3"/>
      <c r="Z454" s="3"/>
      <c r="AA454" s="12"/>
      <c r="AB454" s="10"/>
      <c r="AC454" s="10"/>
      <c r="AD454" s="10"/>
      <c r="AE454" s="10"/>
      <c r="AI454" s="35"/>
      <c r="AJ454"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54" s="19" t="str">
        <f>IFERROR(IF(OR(TRIM(Table24[[#This Row],[DOB]])="",TRIM(Table24[[#This Row],[Date of Call]])=""),"Cannot be calculated",DATEDIF(Table24[[#This Row],[DOB]],Table24[[#This Row],[Date of Call]],"Y")),"Cannot be calculated")</f>
        <v>Cannot be calculated</v>
      </c>
      <c r="AL454"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54" s="19">
        <f>IFERROR(DATEDIF(Table24[[#This Row],[Date of Call]],Table24[[#This Row],[Follow-up Date]],"D"),"Cannot be calculated")</f>
        <v>0</v>
      </c>
      <c r="AN454" s="19" t="str">
        <f>IF(OR(Table24[[#This Row],[Client Age]]&lt;18,Table24[[#This Row],[If client DOB unknown, is client under 18?]]="Yes"),"Yes","No")</f>
        <v>No</v>
      </c>
      <c r="AO454" s="13" t="str">
        <f>IF(Table24[[#This Row],[Time of Inital Call]]="","",IFERROR(MROUND(Table24[[#This Row],[Time of Inital Call]],"1:00"),""))</f>
        <v/>
      </c>
      <c r="AP454" s="19" t="str">
        <f>IF(Table24[[#This Row],[Date of Call]]="","",TEXT(Table24[[#This Row],[Date of Call]],"dddd"))</f>
        <v/>
      </c>
      <c r="AQ454" s="19" t="str">
        <f>IFERROR(VLOOKUP(Table24[[#This Row],[Residence Zip Code]],Table27[],3,FALSE),"")</f>
        <v/>
      </c>
    </row>
    <row r="455" spans="1:43" x14ac:dyDescent="0.25">
      <c r="A455" s="10"/>
      <c r="C455" s="10"/>
      <c r="D455" s="11"/>
      <c r="E455" s="12"/>
      <c r="F455" s="12"/>
      <c r="G455" s="12"/>
      <c r="H455" s="10"/>
      <c r="I455" s="12"/>
      <c r="J455" s="12"/>
      <c r="K455" s="12"/>
      <c r="L455" s="12"/>
      <c r="M455" s="16"/>
      <c r="N455" s="18"/>
      <c r="O455" s="13"/>
      <c r="P455" s="13"/>
      <c r="Q455" s="13"/>
      <c r="R455" s="18"/>
      <c r="S455" s="13"/>
      <c r="T455" s="13"/>
      <c r="U455" s="10"/>
      <c r="V455" s="2"/>
      <c r="X455" s="13"/>
      <c r="Y455" s="3"/>
      <c r="Z455" s="3"/>
      <c r="AA455" s="12"/>
      <c r="AB455" s="10"/>
      <c r="AC455" s="10"/>
      <c r="AD455" s="10"/>
      <c r="AE455" s="10"/>
      <c r="AI455" s="35"/>
      <c r="AJ455"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55" s="19" t="str">
        <f>IFERROR(IF(OR(TRIM(Table24[[#This Row],[DOB]])="",TRIM(Table24[[#This Row],[Date of Call]])=""),"Cannot be calculated",DATEDIF(Table24[[#This Row],[DOB]],Table24[[#This Row],[Date of Call]],"Y")),"Cannot be calculated")</f>
        <v>Cannot be calculated</v>
      </c>
      <c r="AL455"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55" s="19">
        <f>IFERROR(DATEDIF(Table24[[#This Row],[Date of Call]],Table24[[#This Row],[Follow-up Date]],"D"),"Cannot be calculated")</f>
        <v>0</v>
      </c>
      <c r="AN455" s="19" t="str">
        <f>IF(OR(Table24[[#This Row],[Client Age]]&lt;18,Table24[[#This Row],[If client DOB unknown, is client under 18?]]="Yes"),"Yes","No")</f>
        <v>No</v>
      </c>
      <c r="AO455" s="13" t="str">
        <f>IF(Table24[[#This Row],[Time of Inital Call]]="","",IFERROR(MROUND(Table24[[#This Row],[Time of Inital Call]],"1:00"),""))</f>
        <v/>
      </c>
      <c r="AP455" s="19" t="str">
        <f>IF(Table24[[#This Row],[Date of Call]]="","",TEXT(Table24[[#This Row],[Date of Call]],"dddd"))</f>
        <v/>
      </c>
      <c r="AQ455" s="19" t="str">
        <f>IFERROR(VLOOKUP(Table24[[#This Row],[Residence Zip Code]],Table27[],3,FALSE),"")</f>
        <v/>
      </c>
    </row>
    <row r="456" spans="1:43" x14ac:dyDescent="0.25">
      <c r="A456" s="10"/>
      <c r="C456" s="10"/>
      <c r="D456" s="11"/>
      <c r="E456" s="12"/>
      <c r="F456" s="12"/>
      <c r="G456" s="12"/>
      <c r="H456" s="10"/>
      <c r="I456" s="12"/>
      <c r="J456" s="12"/>
      <c r="K456" s="12"/>
      <c r="L456" s="12"/>
      <c r="M456" s="16"/>
      <c r="N456" s="18"/>
      <c r="O456" s="13"/>
      <c r="P456" s="13"/>
      <c r="Q456" s="13"/>
      <c r="R456" s="18"/>
      <c r="S456" s="13"/>
      <c r="T456" s="13"/>
      <c r="U456" s="10"/>
      <c r="V456" s="2"/>
      <c r="X456" s="13"/>
      <c r="Y456" s="3"/>
      <c r="Z456" s="3"/>
      <c r="AA456" s="12"/>
      <c r="AB456" s="10"/>
      <c r="AC456" s="10"/>
      <c r="AD456" s="10"/>
      <c r="AE456" s="10"/>
      <c r="AI456" s="35"/>
      <c r="AJ456"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56" s="19" t="str">
        <f>IFERROR(IF(OR(TRIM(Table24[[#This Row],[DOB]])="",TRIM(Table24[[#This Row],[Date of Call]])=""),"Cannot be calculated",DATEDIF(Table24[[#This Row],[DOB]],Table24[[#This Row],[Date of Call]],"Y")),"Cannot be calculated")</f>
        <v>Cannot be calculated</v>
      </c>
      <c r="AL456"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56" s="19">
        <f>IFERROR(DATEDIF(Table24[[#This Row],[Date of Call]],Table24[[#This Row],[Follow-up Date]],"D"),"Cannot be calculated")</f>
        <v>0</v>
      </c>
      <c r="AN456" s="19" t="str">
        <f>IF(OR(Table24[[#This Row],[Client Age]]&lt;18,Table24[[#This Row],[If client DOB unknown, is client under 18?]]="Yes"),"Yes","No")</f>
        <v>No</v>
      </c>
      <c r="AO456" s="13" t="str">
        <f>IF(Table24[[#This Row],[Time of Inital Call]]="","",IFERROR(MROUND(Table24[[#This Row],[Time of Inital Call]],"1:00"),""))</f>
        <v/>
      </c>
      <c r="AP456" s="19" t="str">
        <f>IF(Table24[[#This Row],[Date of Call]]="","",TEXT(Table24[[#This Row],[Date of Call]],"dddd"))</f>
        <v/>
      </c>
      <c r="AQ456" s="19" t="str">
        <f>IFERROR(VLOOKUP(Table24[[#This Row],[Residence Zip Code]],Table27[],3,FALSE),"")</f>
        <v/>
      </c>
    </row>
    <row r="457" spans="1:43" x14ac:dyDescent="0.25">
      <c r="A457" s="10"/>
      <c r="C457" s="10"/>
      <c r="D457" s="11"/>
      <c r="E457" s="12"/>
      <c r="F457" s="12"/>
      <c r="G457" s="12"/>
      <c r="H457" s="10"/>
      <c r="I457" s="12"/>
      <c r="J457" s="12"/>
      <c r="K457" s="12"/>
      <c r="L457" s="12"/>
      <c r="M457" s="16"/>
      <c r="N457" s="18"/>
      <c r="O457" s="13"/>
      <c r="P457" s="13"/>
      <c r="Q457" s="13"/>
      <c r="R457" s="18"/>
      <c r="S457" s="13"/>
      <c r="T457" s="13"/>
      <c r="U457" s="10"/>
      <c r="V457" s="2"/>
      <c r="X457" s="13"/>
      <c r="Y457" s="3"/>
      <c r="Z457" s="3"/>
      <c r="AA457" s="12"/>
      <c r="AB457" s="10"/>
      <c r="AC457" s="10"/>
      <c r="AD457" s="10"/>
      <c r="AE457" s="10"/>
      <c r="AI457" s="35"/>
      <c r="AJ457"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57" s="19" t="str">
        <f>IFERROR(IF(OR(TRIM(Table24[[#This Row],[DOB]])="",TRIM(Table24[[#This Row],[Date of Call]])=""),"Cannot be calculated",DATEDIF(Table24[[#This Row],[DOB]],Table24[[#This Row],[Date of Call]],"Y")),"Cannot be calculated")</f>
        <v>Cannot be calculated</v>
      </c>
      <c r="AL457"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57" s="19">
        <f>IFERROR(DATEDIF(Table24[[#This Row],[Date of Call]],Table24[[#This Row],[Follow-up Date]],"D"),"Cannot be calculated")</f>
        <v>0</v>
      </c>
      <c r="AN457" s="19" t="str">
        <f>IF(OR(Table24[[#This Row],[Client Age]]&lt;18,Table24[[#This Row],[If client DOB unknown, is client under 18?]]="Yes"),"Yes","No")</f>
        <v>No</v>
      </c>
      <c r="AO457" s="13" t="str">
        <f>IF(Table24[[#This Row],[Time of Inital Call]]="","",IFERROR(MROUND(Table24[[#This Row],[Time of Inital Call]],"1:00"),""))</f>
        <v/>
      </c>
      <c r="AP457" s="19" t="str">
        <f>IF(Table24[[#This Row],[Date of Call]]="","",TEXT(Table24[[#This Row],[Date of Call]],"dddd"))</f>
        <v/>
      </c>
      <c r="AQ457" s="19" t="str">
        <f>IFERROR(VLOOKUP(Table24[[#This Row],[Residence Zip Code]],Table27[],3,FALSE),"")</f>
        <v/>
      </c>
    </row>
    <row r="458" spans="1:43" x14ac:dyDescent="0.25">
      <c r="A458" s="10"/>
      <c r="C458" s="10"/>
      <c r="D458" s="11"/>
      <c r="E458" s="12"/>
      <c r="F458" s="12"/>
      <c r="G458" s="12"/>
      <c r="H458" s="10"/>
      <c r="I458" s="12"/>
      <c r="J458" s="12"/>
      <c r="K458" s="12"/>
      <c r="L458" s="12"/>
      <c r="M458" s="16"/>
      <c r="N458" s="18"/>
      <c r="O458" s="13"/>
      <c r="P458" s="13"/>
      <c r="Q458" s="13"/>
      <c r="R458" s="18"/>
      <c r="S458" s="13"/>
      <c r="T458" s="13"/>
      <c r="U458" s="10"/>
      <c r="V458" s="2"/>
      <c r="X458" s="13"/>
      <c r="Y458" s="3"/>
      <c r="Z458" s="3"/>
      <c r="AA458" s="12"/>
      <c r="AB458" s="10"/>
      <c r="AC458" s="10"/>
      <c r="AD458" s="10"/>
      <c r="AE458" s="10"/>
      <c r="AI458" s="35"/>
      <c r="AJ458"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58" s="19" t="str">
        <f>IFERROR(IF(OR(TRIM(Table24[[#This Row],[DOB]])="",TRIM(Table24[[#This Row],[Date of Call]])=""),"Cannot be calculated",DATEDIF(Table24[[#This Row],[DOB]],Table24[[#This Row],[Date of Call]],"Y")),"Cannot be calculated")</f>
        <v>Cannot be calculated</v>
      </c>
      <c r="AL458"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58" s="19">
        <f>IFERROR(DATEDIF(Table24[[#This Row],[Date of Call]],Table24[[#This Row],[Follow-up Date]],"D"),"Cannot be calculated")</f>
        <v>0</v>
      </c>
      <c r="AN458" s="19" t="str">
        <f>IF(OR(Table24[[#This Row],[Client Age]]&lt;18,Table24[[#This Row],[If client DOB unknown, is client under 18?]]="Yes"),"Yes","No")</f>
        <v>No</v>
      </c>
      <c r="AO458" s="13" t="str">
        <f>IF(Table24[[#This Row],[Time of Inital Call]]="","",IFERROR(MROUND(Table24[[#This Row],[Time of Inital Call]],"1:00"),""))</f>
        <v/>
      </c>
      <c r="AP458" s="19" t="str">
        <f>IF(Table24[[#This Row],[Date of Call]]="","",TEXT(Table24[[#This Row],[Date of Call]],"dddd"))</f>
        <v/>
      </c>
      <c r="AQ458" s="19" t="str">
        <f>IFERROR(VLOOKUP(Table24[[#This Row],[Residence Zip Code]],Table27[],3,FALSE),"")</f>
        <v/>
      </c>
    </row>
    <row r="459" spans="1:43" x14ac:dyDescent="0.25">
      <c r="A459" s="10"/>
      <c r="C459" s="10"/>
      <c r="D459" s="11"/>
      <c r="E459" s="12"/>
      <c r="F459" s="12"/>
      <c r="G459" s="12"/>
      <c r="H459" s="10"/>
      <c r="I459" s="12"/>
      <c r="J459" s="12"/>
      <c r="K459" s="12"/>
      <c r="L459" s="12"/>
      <c r="M459" s="16"/>
      <c r="N459" s="18"/>
      <c r="O459" s="13"/>
      <c r="P459" s="13"/>
      <c r="Q459" s="13"/>
      <c r="R459" s="18"/>
      <c r="S459" s="13"/>
      <c r="T459" s="13"/>
      <c r="U459" s="10"/>
      <c r="V459" s="2"/>
      <c r="X459" s="13"/>
      <c r="Y459" s="3"/>
      <c r="Z459" s="3"/>
      <c r="AA459" s="12"/>
      <c r="AB459" s="10"/>
      <c r="AC459" s="10"/>
      <c r="AD459" s="10"/>
      <c r="AE459" s="10"/>
      <c r="AI459" s="35"/>
      <c r="AJ459"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59" s="19" t="str">
        <f>IFERROR(IF(OR(TRIM(Table24[[#This Row],[DOB]])="",TRIM(Table24[[#This Row],[Date of Call]])=""),"Cannot be calculated",DATEDIF(Table24[[#This Row],[DOB]],Table24[[#This Row],[Date of Call]],"Y")),"Cannot be calculated")</f>
        <v>Cannot be calculated</v>
      </c>
      <c r="AL459"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59" s="19">
        <f>IFERROR(DATEDIF(Table24[[#This Row],[Date of Call]],Table24[[#This Row],[Follow-up Date]],"D"),"Cannot be calculated")</f>
        <v>0</v>
      </c>
      <c r="AN459" s="19" t="str">
        <f>IF(OR(Table24[[#This Row],[Client Age]]&lt;18,Table24[[#This Row],[If client DOB unknown, is client under 18?]]="Yes"),"Yes","No")</f>
        <v>No</v>
      </c>
      <c r="AO459" s="13" t="str">
        <f>IF(Table24[[#This Row],[Time of Inital Call]]="","",IFERROR(MROUND(Table24[[#This Row],[Time of Inital Call]],"1:00"),""))</f>
        <v/>
      </c>
      <c r="AP459" s="19" t="str">
        <f>IF(Table24[[#This Row],[Date of Call]]="","",TEXT(Table24[[#This Row],[Date of Call]],"dddd"))</f>
        <v/>
      </c>
      <c r="AQ459" s="19" t="str">
        <f>IFERROR(VLOOKUP(Table24[[#This Row],[Residence Zip Code]],Table27[],3,FALSE),"")</f>
        <v/>
      </c>
    </row>
    <row r="460" spans="1:43" x14ac:dyDescent="0.25">
      <c r="A460" s="10"/>
      <c r="C460" s="10"/>
      <c r="D460" s="11"/>
      <c r="E460" s="12"/>
      <c r="F460" s="12"/>
      <c r="G460" s="12"/>
      <c r="H460" s="10"/>
      <c r="I460" s="12"/>
      <c r="J460" s="12"/>
      <c r="K460" s="12"/>
      <c r="L460" s="12"/>
      <c r="M460" s="16"/>
      <c r="N460" s="18"/>
      <c r="O460" s="13"/>
      <c r="P460" s="13"/>
      <c r="Q460" s="13"/>
      <c r="R460" s="18"/>
      <c r="S460" s="13"/>
      <c r="T460" s="13"/>
      <c r="U460" s="10"/>
      <c r="V460" s="2"/>
      <c r="X460" s="13"/>
      <c r="Y460" s="3"/>
      <c r="Z460" s="3"/>
      <c r="AA460" s="12"/>
      <c r="AB460" s="10"/>
      <c r="AC460" s="10"/>
      <c r="AD460" s="10"/>
      <c r="AE460" s="10"/>
      <c r="AI460" s="35"/>
      <c r="AJ460"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60" s="19" t="str">
        <f>IFERROR(IF(OR(TRIM(Table24[[#This Row],[DOB]])="",TRIM(Table24[[#This Row],[Date of Call]])=""),"Cannot be calculated",DATEDIF(Table24[[#This Row],[DOB]],Table24[[#This Row],[Date of Call]],"Y")),"Cannot be calculated")</f>
        <v>Cannot be calculated</v>
      </c>
      <c r="AL460"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60" s="19">
        <f>IFERROR(DATEDIF(Table24[[#This Row],[Date of Call]],Table24[[#This Row],[Follow-up Date]],"D"),"Cannot be calculated")</f>
        <v>0</v>
      </c>
      <c r="AN460" s="19" t="str">
        <f>IF(OR(Table24[[#This Row],[Client Age]]&lt;18,Table24[[#This Row],[If client DOB unknown, is client under 18?]]="Yes"),"Yes","No")</f>
        <v>No</v>
      </c>
      <c r="AO460" s="13" t="str">
        <f>IF(Table24[[#This Row],[Time of Inital Call]]="","",IFERROR(MROUND(Table24[[#This Row],[Time of Inital Call]],"1:00"),""))</f>
        <v/>
      </c>
      <c r="AP460" s="19" t="str">
        <f>IF(Table24[[#This Row],[Date of Call]]="","",TEXT(Table24[[#This Row],[Date of Call]],"dddd"))</f>
        <v/>
      </c>
      <c r="AQ460" s="19" t="str">
        <f>IFERROR(VLOOKUP(Table24[[#This Row],[Residence Zip Code]],Table27[],3,FALSE),"")</f>
        <v/>
      </c>
    </row>
    <row r="461" spans="1:43" x14ac:dyDescent="0.25">
      <c r="A461" s="10"/>
      <c r="C461" s="10"/>
      <c r="D461" s="11"/>
      <c r="E461" s="12"/>
      <c r="F461" s="12"/>
      <c r="G461" s="12"/>
      <c r="H461" s="10"/>
      <c r="I461" s="12"/>
      <c r="J461" s="12"/>
      <c r="K461" s="12"/>
      <c r="L461" s="12"/>
      <c r="M461" s="16"/>
      <c r="N461" s="18"/>
      <c r="O461" s="13"/>
      <c r="P461" s="13"/>
      <c r="Q461" s="13"/>
      <c r="R461" s="18"/>
      <c r="S461" s="13"/>
      <c r="T461" s="13"/>
      <c r="U461" s="10"/>
      <c r="V461" s="2"/>
      <c r="X461" s="13"/>
      <c r="Y461" s="3"/>
      <c r="Z461" s="3"/>
      <c r="AA461" s="12"/>
      <c r="AB461" s="10"/>
      <c r="AC461" s="10"/>
      <c r="AD461" s="10"/>
      <c r="AE461" s="10"/>
      <c r="AI461" s="35"/>
      <c r="AJ461"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61" s="19" t="str">
        <f>IFERROR(IF(OR(TRIM(Table24[[#This Row],[DOB]])="",TRIM(Table24[[#This Row],[Date of Call]])=""),"Cannot be calculated",DATEDIF(Table24[[#This Row],[DOB]],Table24[[#This Row],[Date of Call]],"Y")),"Cannot be calculated")</f>
        <v>Cannot be calculated</v>
      </c>
      <c r="AL461"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61" s="19">
        <f>IFERROR(DATEDIF(Table24[[#This Row],[Date of Call]],Table24[[#This Row],[Follow-up Date]],"D"),"Cannot be calculated")</f>
        <v>0</v>
      </c>
      <c r="AN461" s="19" t="str">
        <f>IF(OR(Table24[[#This Row],[Client Age]]&lt;18,Table24[[#This Row],[If client DOB unknown, is client under 18?]]="Yes"),"Yes","No")</f>
        <v>No</v>
      </c>
      <c r="AO461" s="13" t="str">
        <f>IF(Table24[[#This Row],[Time of Inital Call]]="","",IFERROR(MROUND(Table24[[#This Row],[Time of Inital Call]],"1:00"),""))</f>
        <v/>
      </c>
      <c r="AP461" s="19" t="str">
        <f>IF(Table24[[#This Row],[Date of Call]]="","",TEXT(Table24[[#This Row],[Date of Call]],"dddd"))</f>
        <v/>
      </c>
      <c r="AQ461" s="19" t="str">
        <f>IFERROR(VLOOKUP(Table24[[#This Row],[Residence Zip Code]],Table27[],3,FALSE),"")</f>
        <v/>
      </c>
    </row>
    <row r="462" spans="1:43" x14ac:dyDescent="0.25">
      <c r="A462" s="10"/>
      <c r="C462" s="10"/>
      <c r="D462" s="11"/>
      <c r="E462" s="12"/>
      <c r="F462" s="12"/>
      <c r="G462" s="12"/>
      <c r="H462" s="10"/>
      <c r="I462" s="12"/>
      <c r="J462" s="12"/>
      <c r="K462" s="12"/>
      <c r="L462" s="12"/>
      <c r="M462" s="16"/>
      <c r="N462" s="18"/>
      <c r="O462" s="13"/>
      <c r="P462" s="13"/>
      <c r="Q462" s="13"/>
      <c r="R462" s="18"/>
      <c r="S462" s="13"/>
      <c r="T462" s="13"/>
      <c r="U462" s="10"/>
      <c r="V462" s="2"/>
      <c r="X462" s="13"/>
      <c r="Y462" s="3"/>
      <c r="Z462" s="3"/>
      <c r="AA462" s="12"/>
      <c r="AB462" s="10"/>
      <c r="AC462" s="10"/>
      <c r="AD462" s="10"/>
      <c r="AE462" s="10"/>
      <c r="AI462" s="35"/>
      <c r="AJ462"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62" s="19" t="str">
        <f>IFERROR(IF(OR(TRIM(Table24[[#This Row],[DOB]])="",TRIM(Table24[[#This Row],[Date of Call]])=""),"Cannot be calculated",DATEDIF(Table24[[#This Row],[DOB]],Table24[[#This Row],[Date of Call]],"Y")),"Cannot be calculated")</f>
        <v>Cannot be calculated</v>
      </c>
      <c r="AL462"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62" s="19">
        <f>IFERROR(DATEDIF(Table24[[#This Row],[Date of Call]],Table24[[#This Row],[Follow-up Date]],"D"),"Cannot be calculated")</f>
        <v>0</v>
      </c>
      <c r="AN462" s="19" t="str">
        <f>IF(OR(Table24[[#This Row],[Client Age]]&lt;18,Table24[[#This Row],[If client DOB unknown, is client under 18?]]="Yes"),"Yes","No")</f>
        <v>No</v>
      </c>
      <c r="AO462" s="13" t="str">
        <f>IF(Table24[[#This Row],[Time of Inital Call]]="","",IFERROR(MROUND(Table24[[#This Row],[Time of Inital Call]],"1:00"),""))</f>
        <v/>
      </c>
      <c r="AP462" s="19" t="str">
        <f>IF(Table24[[#This Row],[Date of Call]]="","",TEXT(Table24[[#This Row],[Date of Call]],"dddd"))</f>
        <v/>
      </c>
      <c r="AQ462" s="19" t="str">
        <f>IFERROR(VLOOKUP(Table24[[#This Row],[Residence Zip Code]],Table27[],3,FALSE),"")</f>
        <v/>
      </c>
    </row>
    <row r="463" spans="1:43" x14ac:dyDescent="0.25">
      <c r="A463" s="10"/>
      <c r="C463" s="10"/>
      <c r="D463" s="11"/>
      <c r="E463" s="12"/>
      <c r="F463" s="12"/>
      <c r="G463" s="12"/>
      <c r="H463" s="10"/>
      <c r="I463" s="12"/>
      <c r="J463" s="12"/>
      <c r="K463" s="12"/>
      <c r="L463" s="12"/>
      <c r="M463" s="16"/>
      <c r="N463" s="18"/>
      <c r="O463" s="13"/>
      <c r="P463" s="13"/>
      <c r="Q463" s="13"/>
      <c r="R463" s="18"/>
      <c r="S463" s="13"/>
      <c r="T463" s="13"/>
      <c r="U463" s="10"/>
      <c r="V463" s="2"/>
      <c r="X463" s="13"/>
      <c r="Y463" s="3"/>
      <c r="Z463" s="3"/>
      <c r="AA463" s="12"/>
      <c r="AB463" s="10"/>
      <c r="AC463" s="10"/>
      <c r="AD463" s="10"/>
      <c r="AE463" s="10"/>
      <c r="AI463" s="35"/>
      <c r="AJ463"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63" s="19" t="str">
        <f>IFERROR(IF(OR(TRIM(Table24[[#This Row],[DOB]])="",TRIM(Table24[[#This Row],[Date of Call]])=""),"Cannot be calculated",DATEDIF(Table24[[#This Row],[DOB]],Table24[[#This Row],[Date of Call]],"Y")),"Cannot be calculated")</f>
        <v>Cannot be calculated</v>
      </c>
      <c r="AL463"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63" s="19">
        <f>IFERROR(DATEDIF(Table24[[#This Row],[Date of Call]],Table24[[#This Row],[Follow-up Date]],"D"),"Cannot be calculated")</f>
        <v>0</v>
      </c>
      <c r="AN463" s="19" t="str">
        <f>IF(OR(Table24[[#This Row],[Client Age]]&lt;18,Table24[[#This Row],[If client DOB unknown, is client under 18?]]="Yes"),"Yes","No")</f>
        <v>No</v>
      </c>
      <c r="AO463" s="13" t="str">
        <f>IF(Table24[[#This Row],[Time of Inital Call]]="","",IFERROR(MROUND(Table24[[#This Row],[Time of Inital Call]],"1:00"),""))</f>
        <v/>
      </c>
      <c r="AP463" s="19" t="str">
        <f>IF(Table24[[#This Row],[Date of Call]]="","",TEXT(Table24[[#This Row],[Date of Call]],"dddd"))</f>
        <v/>
      </c>
      <c r="AQ463" s="19" t="str">
        <f>IFERROR(VLOOKUP(Table24[[#This Row],[Residence Zip Code]],Table27[],3,FALSE),"")</f>
        <v/>
      </c>
    </row>
    <row r="464" spans="1:43" x14ac:dyDescent="0.25">
      <c r="A464" s="10"/>
      <c r="C464" s="10"/>
      <c r="D464" s="11"/>
      <c r="E464" s="12"/>
      <c r="F464" s="12"/>
      <c r="G464" s="12"/>
      <c r="H464" s="10"/>
      <c r="I464" s="12"/>
      <c r="J464" s="12"/>
      <c r="K464" s="12"/>
      <c r="L464" s="12"/>
      <c r="M464" s="16"/>
      <c r="N464" s="18"/>
      <c r="O464" s="13"/>
      <c r="P464" s="13"/>
      <c r="Q464" s="13"/>
      <c r="R464" s="18"/>
      <c r="S464" s="13"/>
      <c r="T464" s="13"/>
      <c r="U464" s="10"/>
      <c r="V464" s="2"/>
      <c r="X464" s="13"/>
      <c r="Y464" s="3"/>
      <c r="Z464" s="3"/>
      <c r="AA464" s="12"/>
      <c r="AB464" s="10"/>
      <c r="AC464" s="10"/>
      <c r="AD464" s="10"/>
      <c r="AE464" s="10"/>
      <c r="AI464" s="35"/>
      <c r="AJ464"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64" s="19" t="str">
        <f>IFERROR(IF(OR(TRIM(Table24[[#This Row],[DOB]])="",TRIM(Table24[[#This Row],[Date of Call]])=""),"Cannot be calculated",DATEDIF(Table24[[#This Row],[DOB]],Table24[[#This Row],[Date of Call]],"Y")),"Cannot be calculated")</f>
        <v>Cannot be calculated</v>
      </c>
      <c r="AL464"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64" s="19">
        <f>IFERROR(DATEDIF(Table24[[#This Row],[Date of Call]],Table24[[#This Row],[Follow-up Date]],"D"),"Cannot be calculated")</f>
        <v>0</v>
      </c>
      <c r="AN464" s="19" t="str">
        <f>IF(OR(Table24[[#This Row],[Client Age]]&lt;18,Table24[[#This Row],[If client DOB unknown, is client under 18?]]="Yes"),"Yes","No")</f>
        <v>No</v>
      </c>
      <c r="AO464" s="13" t="str">
        <f>IF(Table24[[#This Row],[Time of Inital Call]]="","",IFERROR(MROUND(Table24[[#This Row],[Time of Inital Call]],"1:00"),""))</f>
        <v/>
      </c>
      <c r="AP464" s="19" t="str">
        <f>IF(Table24[[#This Row],[Date of Call]]="","",TEXT(Table24[[#This Row],[Date of Call]],"dddd"))</f>
        <v/>
      </c>
      <c r="AQ464" s="19" t="str">
        <f>IFERROR(VLOOKUP(Table24[[#This Row],[Residence Zip Code]],Table27[],3,FALSE),"")</f>
        <v/>
      </c>
    </row>
    <row r="465" spans="1:43" x14ac:dyDescent="0.25">
      <c r="A465" s="10"/>
      <c r="C465" s="10"/>
      <c r="D465" s="11"/>
      <c r="E465" s="12"/>
      <c r="F465" s="12"/>
      <c r="G465" s="12"/>
      <c r="H465" s="10"/>
      <c r="I465" s="12"/>
      <c r="J465" s="12"/>
      <c r="K465" s="12"/>
      <c r="L465" s="12"/>
      <c r="M465" s="16"/>
      <c r="N465" s="18"/>
      <c r="O465" s="13"/>
      <c r="P465" s="13"/>
      <c r="Q465" s="13"/>
      <c r="R465" s="18"/>
      <c r="S465" s="13"/>
      <c r="T465" s="13"/>
      <c r="U465" s="10"/>
      <c r="V465" s="2"/>
      <c r="X465" s="13"/>
      <c r="Y465" s="3"/>
      <c r="Z465" s="3"/>
      <c r="AA465" s="12"/>
      <c r="AB465" s="10"/>
      <c r="AC465" s="10"/>
      <c r="AD465" s="10"/>
      <c r="AE465" s="10"/>
      <c r="AI465" s="35"/>
      <c r="AJ465"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65" s="19" t="str">
        <f>IFERROR(IF(OR(TRIM(Table24[[#This Row],[DOB]])="",TRIM(Table24[[#This Row],[Date of Call]])=""),"Cannot be calculated",DATEDIF(Table24[[#This Row],[DOB]],Table24[[#This Row],[Date of Call]],"Y")),"Cannot be calculated")</f>
        <v>Cannot be calculated</v>
      </c>
      <c r="AL465"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65" s="19">
        <f>IFERROR(DATEDIF(Table24[[#This Row],[Date of Call]],Table24[[#This Row],[Follow-up Date]],"D"),"Cannot be calculated")</f>
        <v>0</v>
      </c>
      <c r="AN465" s="19" t="str">
        <f>IF(OR(Table24[[#This Row],[Client Age]]&lt;18,Table24[[#This Row],[If client DOB unknown, is client under 18?]]="Yes"),"Yes","No")</f>
        <v>No</v>
      </c>
      <c r="AO465" s="13" t="str">
        <f>IF(Table24[[#This Row],[Time of Inital Call]]="","",IFERROR(MROUND(Table24[[#This Row],[Time of Inital Call]],"1:00"),""))</f>
        <v/>
      </c>
      <c r="AP465" s="19" t="str">
        <f>IF(Table24[[#This Row],[Date of Call]]="","",TEXT(Table24[[#This Row],[Date of Call]],"dddd"))</f>
        <v/>
      </c>
      <c r="AQ465" s="19" t="str">
        <f>IFERROR(VLOOKUP(Table24[[#This Row],[Residence Zip Code]],Table27[],3,FALSE),"")</f>
        <v/>
      </c>
    </row>
    <row r="466" spans="1:43" x14ac:dyDescent="0.25">
      <c r="A466" s="10"/>
      <c r="C466" s="10"/>
      <c r="D466" s="11"/>
      <c r="E466" s="12"/>
      <c r="F466" s="12"/>
      <c r="G466" s="12"/>
      <c r="H466" s="10"/>
      <c r="I466" s="12"/>
      <c r="J466" s="12"/>
      <c r="K466" s="12"/>
      <c r="L466" s="12"/>
      <c r="M466" s="16"/>
      <c r="N466" s="18"/>
      <c r="O466" s="13"/>
      <c r="P466" s="13"/>
      <c r="Q466" s="13"/>
      <c r="R466" s="18"/>
      <c r="S466" s="13"/>
      <c r="T466" s="13"/>
      <c r="U466" s="10"/>
      <c r="V466" s="2"/>
      <c r="X466" s="13"/>
      <c r="Y466" s="3"/>
      <c r="Z466" s="3"/>
      <c r="AA466" s="12"/>
      <c r="AB466" s="10"/>
      <c r="AC466" s="10"/>
      <c r="AD466" s="10"/>
      <c r="AE466" s="10"/>
      <c r="AI466" s="35"/>
      <c r="AJ466"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66" s="19" t="str">
        <f>IFERROR(IF(OR(TRIM(Table24[[#This Row],[DOB]])="",TRIM(Table24[[#This Row],[Date of Call]])=""),"Cannot be calculated",DATEDIF(Table24[[#This Row],[DOB]],Table24[[#This Row],[Date of Call]],"Y")),"Cannot be calculated")</f>
        <v>Cannot be calculated</v>
      </c>
      <c r="AL466"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66" s="19">
        <f>IFERROR(DATEDIF(Table24[[#This Row],[Date of Call]],Table24[[#This Row],[Follow-up Date]],"D"),"Cannot be calculated")</f>
        <v>0</v>
      </c>
      <c r="AN466" s="19" t="str">
        <f>IF(OR(Table24[[#This Row],[Client Age]]&lt;18,Table24[[#This Row],[If client DOB unknown, is client under 18?]]="Yes"),"Yes","No")</f>
        <v>No</v>
      </c>
      <c r="AO466" s="13" t="str">
        <f>IF(Table24[[#This Row],[Time of Inital Call]]="","",IFERROR(MROUND(Table24[[#This Row],[Time of Inital Call]],"1:00"),""))</f>
        <v/>
      </c>
      <c r="AP466" s="19" t="str">
        <f>IF(Table24[[#This Row],[Date of Call]]="","",TEXT(Table24[[#This Row],[Date of Call]],"dddd"))</f>
        <v/>
      </c>
      <c r="AQ466" s="19" t="str">
        <f>IFERROR(VLOOKUP(Table24[[#This Row],[Residence Zip Code]],Table27[],3,FALSE),"")</f>
        <v/>
      </c>
    </row>
    <row r="467" spans="1:43" x14ac:dyDescent="0.25">
      <c r="A467" s="10"/>
      <c r="C467" s="10"/>
      <c r="D467" s="11"/>
      <c r="E467" s="12"/>
      <c r="F467" s="12"/>
      <c r="G467" s="12"/>
      <c r="H467" s="10"/>
      <c r="I467" s="12"/>
      <c r="J467" s="12"/>
      <c r="K467" s="12"/>
      <c r="L467" s="12"/>
      <c r="M467" s="16"/>
      <c r="N467" s="18"/>
      <c r="O467" s="13"/>
      <c r="P467" s="13"/>
      <c r="Q467" s="13"/>
      <c r="R467" s="18"/>
      <c r="S467" s="13"/>
      <c r="T467" s="13"/>
      <c r="U467" s="10"/>
      <c r="V467" s="2"/>
      <c r="X467" s="13"/>
      <c r="Y467" s="3"/>
      <c r="Z467" s="3"/>
      <c r="AA467" s="12"/>
      <c r="AB467" s="10"/>
      <c r="AC467" s="10"/>
      <c r="AD467" s="10"/>
      <c r="AE467" s="10"/>
      <c r="AI467" s="35"/>
      <c r="AJ467"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67" s="19" t="str">
        <f>IFERROR(IF(OR(TRIM(Table24[[#This Row],[DOB]])="",TRIM(Table24[[#This Row],[Date of Call]])=""),"Cannot be calculated",DATEDIF(Table24[[#This Row],[DOB]],Table24[[#This Row],[Date of Call]],"Y")),"Cannot be calculated")</f>
        <v>Cannot be calculated</v>
      </c>
      <c r="AL467"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67" s="19">
        <f>IFERROR(DATEDIF(Table24[[#This Row],[Date of Call]],Table24[[#This Row],[Follow-up Date]],"D"),"Cannot be calculated")</f>
        <v>0</v>
      </c>
      <c r="AN467" s="19" t="str">
        <f>IF(OR(Table24[[#This Row],[Client Age]]&lt;18,Table24[[#This Row],[If client DOB unknown, is client under 18?]]="Yes"),"Yes","No")</f>
        <v>No</v>
      </c>
      <c r="AO467" s="13" t="str">
        <f>IF(Table24[[#This Row],[Time of Inital Call]]="","",IFERROR(MROUND(Table24[[#This Row],[Time of Inital Call]],"1:00"),""))</f>
        <v/>
      </c>
      <c r="AP467" s="19" t="str">
        <f>IF(Table24[[#This Row],[Date of Call]]="","",TEXT(Table24[[#This Row],[Date of Call]],"dddd"))</f>
        <v/>
      </c>
      <c r="AQ467" s="19" t="str">
        <f>IFERROR(VLOOKUP(Table24[[#This Row],[Residence Zip Code]],Table27[],3,FALSE),"")</f>
        <v/>
      </c>
    </row>
    <row r="468" spans="1:43" x14ac:dyDescent="0.25">
      <c r="A468" s="10"/>
      <c r="C468" s="10"/>
      <c r="D468" s="11"/>
      <c r="E468" s="12"/>
      <c r="F468" s="12"/>
      <c r="G468" s="12"/>
      <c r="H468" s="10"/>
      <c r="I468" s="12"/>
      <c r="J468" s="12"/>
      <c r="K468" s="12"/>
      <c r="L468" s="12"/>
      <c r="M468" s="16"/>
      <c r="N468" s="18"/>
      <c r="O468" s="13"/>
      <c r="P468" s="13"/>
      <c r="Q468" s="13"/>
      <c r="R468" s="18"/>
      <c r="S468" s="13"/>
      <c r="T468" s="13"/>
      <c r="U468" s="10"/>
      <c r="V468" s="2"/>
      <c r="X468" s="13"/>
      <c r="Y468" s="3"/>
      <c r="Z468" s="3"/>
      <c r="AA468" s="12"/>
      <c r="AB468" s="10"/>
      <c r="AC468" s="10"/>
      <c r="AD468" s="10"/>
      <c r="AE468" s="10"/>
      <c r="AI468" s="35"/>
      <c r="AJ468"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68" s="19" t="str">
        <f>IFERROR(IF(OR(TRIM(Table24[[#This Row],[DOB]])="",TRIM(Table24[[#This Row],[Date of Call]])=""),"Cannot be calculated",DATEDIF(Table24[[#This Row],[DOB]],Table24[[#This Row],[Date of Call]],"Y")),"Cannot be calculated")</f>
        <v>Cannot be calculated</v>
      </c>
      <c r="AL468"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68" s="19">
        <f>IFERROR(DATEDIF(Table24[[#This Row],[Date of Call]],Table24[[#This Row],[Follow-up Date]],"D"),"Cannot be calculated")</f>
        <v>0</v>
      </c>
      <c r="AN468" s="19" t="str">
        <f>IF(OR(Table24[[#This Row],[Client Age]]&lt;18,Table24[[#This Row],[If client DOB unknown, is client under 18?]]="Yes"),"Yes","No")</f>
        <v>No</v>
      </c>
      <c r="AO468" s="13" t="str">
        <f>IF(Table24[[#This Row],[Time of Inital Call]]="","",IFERROR(MROUND(Table24[[#This Row],[Time of Inital Call]],"1:00"),""))</f>
        <v/>
      </c>
      <c r="AP468" s="19" t="str">
        <f>IF(Table24[[#This Row],[Date of Call]]="","",TEXT(Table24[[#This Row],[Date of Call]],"dddd"))</f>
        <v/>
      </c>
      <c r="AQ468" s="19" t="str">
        <f>IFERROR(VLOOKUP(Table24[[#This Row],[Residence Zip Code]],Table27[],3,FALSE),"")</f>
        <v/>
      </c>
    </row>
    <row r="469" spans="1:43" x14ac:dyDescent="0.25">
      <c r="A469" s="10"/>
      <c r="C469" s="10"/>
      <c r="D469" s="11"/>
      <c r="E469" s="12"/>
      <c r="F469" s="12"/>
      <c r="G469" s="12"/>
      <c r="H469" s="10"/>
      <c r="I469" s="12"/>
      <c r="J469" s="12"/>
      <c r="K469" s="12"/>
      <c r="L469" s="12"/>
      <c r="M469" s="16"/>
      <c r="N469" s="18"/>
      <c r="O469" s="13"/>
      <c r="P469" s="13"/>
      <c r="Q469" s="13"/>
      <c r="R469" s="18"/>
      <c r="S469" s="13"/>
      <c r="T469" s="13"/>
      <c r="U469" s="10"/>
      <c r="V469" s="2"/>
      <c r="X469" s="13"/>
      <c r="Y469" s="3"/>
      <c r="Z469" s="3"/>
      <c r="AA469" s="12"/>
      <c r="AB469" s="10"/>
      <c r="AC469" s="10"/>
      <c r="AD469" s="10"/>
      <c r="AE469" s="10"/>
      <c r="AI469" s="35"/>
      <c r="AJ469"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69" s="19" t="str">
        <f>IFERROR(IF(OR(TRIM(Table24[[#This Row],[DOB]])="",TRIM(Table24[[#This Row],[Date of Call]])=""),"Cannot be calculated",DATEDIF(Table24[[#This Row],[DOB]],Table24[[#This Row],[Date of Call]],"Y")),"Cannot be calculated")</f>
        <v>Cannot be calculated</v>
      </c>
      <c r="AL469"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69" s="19">
        <f>IFERROR(DATEDIF(Table24[[#This Row],[Date of Call]],Table24[[#This Row],[Follow-up Date]],"D"),"Cannot be calculated")</f>
        <v>0</v>
      </c>
      <c r="AN469" s="19" t="str">
        <f>IF(OR(Table24[[#This Row],[Client Age]]&lt;18,Table24[[#This Row],[If client DOB unknown, is client under 18?]]="Yes"),"Yes","No")</f>
        <v>No</v>
      </c>
      <c r="AO469" s="13" t="str">
        <f>IF(Table24[[#This Row],[Time of Inital Call]]="","",IFERROR(MROUND(Table24[[#This Row],[Time of Inital Call]],"1:00"),""))</f>
        <v/>
      </c>
      <c r="AP469" s="19" t="str">
        <f>IF(Table24[[#This Row],[Date of Call]]="","",TEXT(Table24[[#This Row],[Date of Call]],"dddd"))</f>
        <v/>
      </c>
      <c r="AQ469" s="19" t="str">
        <f>IFERROR(VLOOKUP(Table24[[#This Row],[Residence Zip Code]],Table27[],3,FALSE),"")</f>
        <v/>
      </c>
    </row>
    <row r="470" spans="1:43" x14ac:dyDescent="0.25">
      <c r="A470" s="10"/>
      <c r="C470" s="10"/>
      <c r="D470" s="11"/>
      <c r="E470" s="12"/>
      <c r="F470" s="12"/>
      <c r="G470" s="12"/>
      <c r="H470" s="10"/>
      <c r="I470" s="12"/>
      <c r="J470" s="12"/>
      <c r="K470" s="12"/>
      <c r="L470" s="12"/>
      <c r="M470" s="16"/>
      <c r="N470" s="18"/>
      <c r="O470" s="13"/>
      <c r="P470" s="13"/>
      <c r="Q470" s="13"/>
      <c r="R470" s="18"/>
      <c r="S470" s="13"/>
      <c r="T470" s="13"/>
      <c r="U470" s="10"/>
      <c r="V470" s="2"/>
      <c r="X470" s="13"/>
      <c r="Y470" s="3"/>
      <c r="Z470" s="3"/>
      <c r="AA470" s="12"/>
      <c r="AB470" s="10"/>
      <c r="AC470" s="10"/>
      <c r="AD470" s="10"/>
      <c r="AE470" s="10"/>
      <c r="AI470" s="35"/>
      <c r="AJ470"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70" s="19" t="str">
        <f>IFERROR(IF(OR(TRIM(Table24[[#This Row],[DOB]])="",TRIM(Table24[[#This Row],[Date of Call]])=""),"Cannot be calculated",DATEDIF(Table24[[#This Row],[DOB]],Table24[[#This Row],[Date of Call]],"Y")),"Cannot be calculated")</f>
        <v>Cannot be calculated</v>
      </c>
      <c r="AL470"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70" s="19">
        <f>IFERROR(DATEDIF(Table24[[#This Row],[Date of Call]],Table24[[#This Row],[Follow-up Date]],"D"),"Cannot be calculated")</f>
        <v>0</v>
      </c>
      <c r="AN470" s="19" t="str">
        <f>IF(OR(Table24[[#This Row],[Client Age]]&lt;18,Table24[[#This Row],[If client DOB unknown, is client under 18?]]="Yes"),"Yes","No")</f>
        <v>No</v>
      </c>
      <c r="AO470" s="13" t="str">
        <f>IF(Table24[[#This Row],[Time of Inital Call]]="","",IFERROR(MROUND(Table24[[#This Row],[Time of Inital Call]],"1:00"),""))</f>
        <v/>
      </c>
      <c r="AP470" s="19" t="str">
        <f>IF(Table24[[#This Row],[Date of Call]]="","",TEXT(Table24[[#This Row],[Date of Call]],"dddd"))</f>
        <v/>
      </c>
      <c r="AQ470" s="19" t="str">
        <f>IFERROR(VLOOKUP(Table24[[#This Row],[Residence Zip Code]],Table27[],3,FALSE),"")</f>
        <v/>
      </c>
    </row>
    <row r="471" spans="1:43" x14ac:dyDescent="0.25">
      <c r="A471" s="10"/>
      <c r="C471" s="10"/>
      <c r="D471" s="11"/>
      <c r="E471" s="12"/>
      <c r="F471" s="12"/>
      <c r="G471" s="12"/>
      <c r="H471" s="10"/>
      <c r="I471" s="12"/>
      <c r="J471" s="12"/>
      <c r="K471" s="12"/>
      <c r="L471" s="12"/>
      <c r="M471" s="16"/>
      <c r="N471" s="18"/>
      <c r="O471" s="13"/>
      <c r="P471" s="13"/>
      <c r="Q471" s="13"/>
      <c r="R471" s="18"/>
      <c r="S471" s="13"/>
      <c r="T471" s="13"/>
      <c r="U471" s="10"/>
      <c r="V471" s="2"/>
      <c r="X471" s="13"/>
      <c r="Y471" s="3"/>
      <c r="Z471" s="3"/>
      <c r="AA471" s="12"/>
      <c r="AB471" s="10"/>
      <c r="AC471" s="10"/>
      <c r="AD471" s="10"/>
      <c r="AE471" s="10"/>
      <c r="AI471" s="35"/>
      <c r="AJ471"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71" s="19" t="str">
        <f>IFERROR(IF(OR(TRIM(Table24[[#This Row],[DOB]])="",TRIM(Table24[[#This Row],[Date of Call]])=""),"Cannot be calculated",DATEDIF(Table24[[#This Row],[DOB]],Table24[[#This Row],[Date of Call]],"Y")),"Cannot be calculated")</f>
        <v>Cannot be calculated</v>
      </c>
      <c r="AL471"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71" s="19">
        <f>IFERROR(DATEDIF(Table24[[#This Row],[Date of Call]],Table24[[#This Row],[Follow-up Date]],"D"),"Cannot be calculated")</f>
        <v>0</v>
      </c>
      <c r="AN471" s="19" t="str">
        <f>IF(OR(Table24[[#This Row],[Client Age]]&lt;18,Table24[[#This Row],[If client DOB unknown, is client under 18?]]="Yes"),"Yes","No")</f>
        <v>No</v>
      </c>
      <c r="AO471" s="13" t="str">
        <f>IF(Table24[[#This Row],[Time of Inital Call]]="","",IFERROR(MROUND(Table24[[#This Row],[Time of Inital Call]],"1:00"),""))</f>
        <v/>
      </c>
      <c r="AP471" s="19" t="str">
        <f>IF(Table24[[#This Row],[Date of Call]]="","",TEXT(Table24[[#This Row],[Date of Call]],"dddd"))</f>
        <v/>
      </c>
      <c r="AQ471" s="19" t="str">
        <f>IFERROR(VLOOKUP(Table24[[#This Row],[Residence Zip Code]],Table27[],3,FALSE),"")</f>
        <v/>
      </c>
    </row>
    <row r="472" spans="1:43" x14ac:dyDescent="0.25">
      <c r="A472" s="10"/>
      <c r="C472" s="10"/>
      <c r="D472" s="11"/>
      <c r="E472" s="12"/>
      <c r="F472" s="12"/>
      <c r="G472" s="12"/>
      <c r="H472" s="10"/>
      <c r="I472" s="12"/>
      <c r="J472" s="12"/>
      <c r="K472" s="12"/>
      <c r="L472" s="12"/>
      <c r="M472" s="16"/>
      <c r="N472" s="18"/>
      <c r="O472" s="13"/>
      <c r="P472" s="13"/>
      <c r="Q472" s="13"/>
      <c r="R472" s="18"/>
      <c r="S472" s="13"/>
      <c r="T472" s="13"/>
      <c r="U472" s="10"/>
      <c r="V472" s="2"/>
      <c r="X472" s="13"/>
      <c r="Y472" s="3"/>
      <c r="Z472" s="3"/>
      <c r="AA472" s="12"/>
      <c r="AB472" s="10"/>
      <c r="AC472" s="10"/>
      <c r="AD472" s="10"/>
      <c r="AE472" s="10"/>
      <c r="AI472" s="35"/>
      <c r="AJ472"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72" s="19" t="str">
        <f>IFERROR(IF(OR(TRIM(Table24[[#This Row],[DOB]])="",TRIM(Table24[[#This Row],[Date of Call]])=""),"Cannot be calculated",DATEDIF(Table24[[#This Row],[DOB]],Table24[[#This Row],[Date of Call]],"Y")),"Cannot be calculated")</f>
        <v>Cannot be calculated</v>
      </c>
      <c r="AL472"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72" s="19">
        <f>IFERROR(DATEDIF(Table24[[#This Row],[Date of Call]],Table24[[#This Row],[Follow-up Date]],"D"),"Cannot be calculated")</f>
        <v>0</v>
      </c>
      <c r="AN472" s="19" t="str">
        <f>IF(OR(Table24[[#This Row],[Client Age]]&lt;18,Table24[[#This Row],[If client DOB unknown, is client under 18?]]="Yes"),"Yes","No")</f>
        <v>No</v>
      </c>
      <c r="AO472" s="13" t="str">
        <f>IF(Table24[[#This Row],[Time of Inital Call]]="","",IFERROR(MROUND(Table24[[#This Row],[Time of Inital Call]],"1:00"),""))</f>
        <v/>
      </c>
      <c r="AP472" s="19" t="str">
        <f>IF(Table24[[#This Row],[Date of Call]]="","",TEXT(Table24[[#This Row],[Date of Call]],"dddd"))</f>
        <v/>
      </c>
      <c r="AQ472" s="19" t="str">
        <f>IFERROR(VLOOKUP(Table24[[#This Row],[Residence Zip Code]],Table27[],3,FALSE),"")</f>
        <v/>
      </c>
    </row>
    <row r="473" spans="1:43" x14ac:dyDescent="0.25">
      <c r="A473" s="10"/>
      <c r="C473" s="10"/>
      <c r="D473" s="11"/>
      <c r="E473" s="12"/>
      <c r="F473" s="12"/>
      <c r="G473" s="12"/>
      <c r="H473" s="10"/>
      <c r="I473" s="12"/>
      <c r="J473" s="12"/>
      <c r="K473" s="12"/>
      <c r="L473" s="12"/>
      <c r="M473" s="16"/>
      <c r="N473" s="18"/>
      <c r="O473" s="13"/>
      <c r="P473" s="13"/>
      <c r="Q473" s="13"/>
      <c r="R473" s="18"/>
      <c r="S473" s="13"/>
      <c r="T473" s="13"/>
      <c r="U473" s="10"/>
      <c r="V473" s="2"/>
      <c r="X473" s="13"/>
      <c r="Y473" s="3"/>
      <c r="Z473" s="3"/>
      <c r="AA473" s="12"/>
      <c r="AB473" s="10"/>
      <c r="AC473" s="10"/>
      <c r="AD473" s="10"/>
      <c r="AE473" s="10"/>
      <c r="AI473" s="35"/>
      <c r="AJ473"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73" s="19" t="str">
        <f>IFERROR(IF(OR(TRIM(Table24[[#This Row],[DOB]])="",TRIM(Table24[[#This Row],[Date of Call]])=""),"Cannot be calculated",DATEDIF(Table24[[#This Row],[DOB]],Table24[[#This Row],[Date of Call]],"Y")),"Cannot be calculated")</f>
        <v>Cannot be calculated</v>
      </c>
      <c r="AL473"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73" s="19">
        <f>IFERROR(DATEDIF(Table24[[#This Row],[Date of Call]],Table24[[#This Row],[Follow-up Date]],"D"),"Cannot be calculated")</f>
        <v>0</v>
      </c>
      <c r="AN473" s="19" t="str">
        <f>IF(OR(Table24[[#This Row],[Client Age]]&lt;18,Table24[[#This Row],[If client DOB unknown, is client under 18?]]="Yes"),"Yes","No")</f>
        <v>No</v>
      </c>
      <c r="AO473" s="13" t="str">
        <f>IF(Table24[[#This Row],[Time of Inital Call]]="","",IFERROR(MROUND(Table24[[#This Row],[Time of Inital Call]],"1:00"),""))</f>
        <v/>
      </c>
      <c r="AP473" s="19" t="str">
        <f>IF(Table24[[#This Row],[Date of Call]]="","",TEXT(Table24[[#This Row],[Date of Call]],"dddd"))</f>
        <v/>
      </c>
      <c r="AQ473" s="19" t="str">
        <f>IFERROR(VLOOKUP(Table24[[#This Row],[Residence Zip Code]],Table27[],3,FALSE),"")</f>
        <v/>
      </c>
    </row>
    <row r="474" spans="1:43" x14ac:dyDescent="0.25">
      <c r="A474" s="10"/>
      <c r="C474" s="10"/>
      <c r="D474" s="11"/>
      <c r="E474" s="12"/>
      <c r="F474" s="12"/>
      <c r="G474" s="12"/>
      <c r="H474" s="10"/>
      <c r="I474" s="12"/>
      <c r="J474" s="12"/>
      <c r="K474" s="12"/>
      <c r="L474" s="12"/>
      <c r="M474" s="16"/>
      <c r="N474" s="18"/>
      <c r="O474" s="13"/>
      <c r="P474" s="13"/>
      <c r="Q474" s="13"/>
      <c r="R474" s="18"/>
      <c r="S474" s="13"/>
      <c r="T474" s="13"/>
      <c r="U474" s="10"/>
      <c r="V474" s="2"/>
      <c r="X474" s="13"/>
      <c r="Y474" s="3"/>
      <c r="Z474" s="3"/>
      <c r="AA474" s="12"/>
      <c r="AB474" s="10"/>
      <c r="AC474" s="10"/>
      <c r="AD474" s="10"/>
      <c r="AE474" s="10"/>
      <c r="AI474" s="35"/>
      <c r="AJ474"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74" s="19" t="str">
        <f>IFERROR(IF(OR(TRIM(Table24[[#This Row],[DOB]])="",TRIM(Table24[[#This Row],[Date of Call]])=""),"Cannot be calculated",DATEDIF(Table24[[#This Row],[DOB]],Table24[[#This Row],[Date of Call]],"Y")),"Cannot be calculated")</f>
        <v>Cannot be calculated</v>
      </c>
      <c r="AL474"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74" s="19">
        <f>IFERROR(DATEDIF(Table24[[#This Row],[Date of Call]],Table24[[#This Row],[Follow-up Date]],"D"),"Cannot be calculated")</f>
        <v>0</v>
      </c>
      <c r="AN474" s="19" t="str">
        <f>IF(OR(Table24[[#This Row],[Client Age]]&lt;18,Table24[[#This Row],[If client DOB unknown, is client under 18?]]="Yes"),"Yes","No")</f>
        <v>No</v>
      </c>
      <c r="AO474" s="13" t="str">
        <f>IF(Table24[[#This Row],[Time of Inital Call]]="","",IFERROR(MROUND(Table24[[#This Row],[Time of Inital Call]],"1:00"),""))</f>
        <v/>
      </c>
      <c r="AP474" s="19" t="str">
        <f>IF(Table24[[#This Row],[Date of Call]]="","",TEXT(Table24[[#This Row],[Date of Call]],"dddd"))</f>
        <v/>
      </c>
      <c r="AQ474" s="19" t="str">
        <f>IFERROR(VLOOKUP(Table24[[#This Row],[Residence Zip Code]],Table27[],3,FALSE),"")</f>
        <v/>
      </c>
    </row>
    <row r="475" spans="1:43" x14ac:dyDescent="0.25">
      <c r="A475" s="10"/>
      <c r="C475" s="10"/>
      <c r="D475" s="11"/>
      <c r="E475" s="12"/>
      <c r="F475" s="12"/>
      <c r="G475" s="12"/>
      <c r="H475" s="10"/>
      <c r="I475" s="12"/>
      <c r="J475" s="12"/>
      <c r="K475" s="12"/>
      <c r="L475" s="12"/>
      <c r="M475" s="16"/>
      <c r="N475" s="18"/>
      <c r="O475" s="13"/>
      <c r="P475" s="13"/>
      <c r="Q475" s="13"/>
      <c r="R475" s="18"/>
      <c r="S475" s="13"/>
      <c r="T475" s="13"/>
      <c r="U475" s="10"/>
      <c r="V475" s="2"/>
      <c r="X475" s="13"/>
      <c r="Y475" s="3"/>
      <c r="Z475" s="3"/>
      <c r="AA475" s="12"/>
      <c r="AB475" s="10"/>
      <c r="AC475" s="10"/>
      <c r="AD475" s="10"/>
      <c r="AE475" s="10"/>
      <c r="AI475" s="35"/>
      <c r="AJ475"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75" s="19" t="str">
        <f>IFERROR(IF(OR(TRIM(Table24[[#This Row],[DOB]])="",TRIM(Table24[[#This Row],[Date of Call]])=""),"Cannot be calculated",DATEDIF(Table24[[#This Row],[DOB]],Table24[[#This Row],[Date of Call]],"Y")),"Cannot be calculated")</f>
        <v>Cannot be calculated</v>
      </c>
      <c r="AL475"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75" s="19">
        <f>IFERROR(DATEDIF(Table24[[#This Row],[Date of Call]],Table24[[#This Row],[Follow-up Date]],"D"),"Cannot be calculated")</f>
        <v>0</v>
      </c>
      <c r="AN475" s="19" t="str">
        <f>IF(OR(Table24[[#This Row],[Client Age]]&lt;18,Table24[[#This Row],[If client DOB unknown, is client under 18?]]="Yes"),"Yes","No")</f>
        <v>No</v>
      </c>
      <c r="AO475" s="13" t="str">
        <f>IF(Table24[[#This Row],[Time of Inital Call]]="","",IFERROR(MROUND(Table24[[#This Row],[Time of Inital Call]],"1:00"),""))</f>
        <v/>
      </c>
      <c r="AP475" s="19" t="str">
        <f>IF(Table24[[#This Row],[Date of Call]]="","",TEXT(Table24[[#This Row],[Date of Call]],"dddd"))</f>
        <v/>
      </c>
      <c r="AQ475" s="19" t="str">
        <f>IFERROR(VLOOKUP(Table24[[#This Row],[Residence Zip Code]],Table27[],3,FALSE),"")</f>
        <v/>
      </c>
    </row>
    <row r="476" spans="1:43" x14ac:dyDescent="0.25">
      <c r="A476" s="10"/>
      <c r="C476" s="10"/>
      <c r="D476" s="11"/>
      <c r="E476" s="12"/>
      <c r="F476" s="12"/>
      <c r="G476" s="12"/>
      <c r="H476" s="10"/>
      <c r="I476" s="12"/>
      <c r="J476" s="12"/>
      <c r="K476" s="12"/>
      <c r="L476" s="12"/>
      <c r="M476" s="16"/>
      <c r="N476" s="18"/>
      <c r="O476" s="13"/>
      <c r="P476" s="13"/>
      <c r="Q476" s="13"/>
      <c r="R476" s="18"/>
      <c r="S476" s="13"/>
      <c r="T476" s="13"/>
      <c r="U476" s="10"/>
      <c r="V476" s="2"/>
      <c r="X476" s="13"/>
      <c r="Y476" s="3"/>
      <c r="Z476" s="3"/>
      <c r="AA476" s="12"/>
      <c r="AB476" s="10"/>
      <c r="AC476" s="10"/>
      <c r="AD476" s="10"/>
      <c r="AE476" s="10"/>
      <c r="AI476" s="35"/>
      <c r="AJ476"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76" s="19" t="str">
        <f>IFERROR(IF(OR(TRIM(Table24[[#This Row],[DOB]])="",TRIM(Table24[[#This Row],[Date of Call]])=""),"Cannot be calculated",DATEDIF(Table24[[#This Row],[DOB]],Table24[[#This Row],[Date of Call]],"Y")),"Cannot be calculated")</f>
        <v>Cannot be calculated</v>
      </c>
      <c r="AL476"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76" s="19">
        <f>IFERROR(DATEDIF(Table24[[#This Row],[Date of Call]],Table24[[#This Row],[Follow-up Date]],"D"),"Cannot be calculated")</f>
        <v>0</v>
      </c>
      <c r="AN476" s="19" t="str">
        <f>IF(OR(Table24[[#This Row],[Client Age]]&lt;18,Table24[[#This Row],[If client DOB unknown, is client under 18?]]="Yes"),"Yes","No")</f>
        <v>No</v>
      </c>
      <c r="AO476" s="13" t="str">
        <f>IF(Table24[[#This Row],[Time of Inital Call]]="","",IFERROR(MROUND(Table24[[#This Row],[Time of Inital Call]],"1:00"),""))</f>
        <v/>
      </c>
      <c r="AP476" s="19" t="str">
        <f>IF(Table24[[#This Row],[Date of Call]]="","",TEXT(Table24[[#This Row],[Date of Call]],"dddd"))</f>
        <v/>
      </c>
      <c r="AQ476" s="19" t="str">
        <f>IFERROR(VLOOKUP(Table24[[#This Row],[Residence Zip Code]],Table27[],3,FALSE),"")</f>
        <v/>
      </c>
    </row>
    <row r="477" spans="1:43" x14ac:dyDescent="0.25">
      <c r="A477" s="10"/>
      <c r="C477" s="10"/>
      <c r="D477" s="11"/>
      <c r="E477" s="12"/>
      <c r="F477" s="12"/>
      <c r="G477" s="12"/>
      <c r="H477" s="10"/>
      <c r="I477" s="12"/>
      <c r="J477" s="12"/>
      <c r="K477" s="12"/>
      <c r="L477" s="12"/>
      <c r="M477" s="16"/>
      <c r="N477" s="18"/>
      <c r="O477" s="13"/>
      <c r="P477" s="13"/>
      <c r="Q477" s="13"/>
      <c r="R477" s="18"/>
      <c r="S477" s="13"/>
      <c r="T477" s="13"/>
      <c r="U477" s="10"/>
      <c r="V477" s="2"/>
      <c r="X477" s="13"/>
      <c r="Y477" s="3"/>
      <c r="Z477" s="3"/>
      <c r="AA477" s="12"/>
      <c r="AB477" s="10"/>
      <c r="AC477" s="10"/>
      <c r="AD477" s="10"/>
      <c r="AE477" s="10"/>
      <c r="AI477" s="35"/>
      <c r="AJ477"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77" s="19" t="str">
        <f>IFERROR(IF(OR(TRIM(Table24[[#This Row],[DOB]])="",TRIM(Table24[[#This Row],[Date of Call]])=""),"Cannot be calculated",DATEDIF(Table24[[#This Row],[DOB]],Table24[[#This Row],[Date of Call]],"Y")),"Cannot be calculated")</f>
        <v>Cannot be calculated</v>
      </c>
      <c r="AL477"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77" s="19">
        <f>IFERROR(DATEDIF(Table24[[#This Row],[Date of Call]],Table24[[#This Row],[Follow-up Date]],"D"),"Cannot be calculated")</f>
        <v>0</v>
      </c>
      <c r="AN477" s="19" t="str">
        <f>IF(OR(Table24[[#This Row],[Client Age]]&lt;18,Table24[[#This Row],[If client DOB unknown, is client under 18?]]="Yes"),"Yes","No")</f>
        <v>No</v>
      </c>
      <c r="AO477" s="13" t="str">
        <f>IF(Table24[[#This Row],[Time of Inital Call]]="","",IFERROR(MROUND(Table24[[#This Row],[Time of Inital Call]],"1:00"),""))</f>
        <v/>
      </c>
      <c r="AP477" s="19" t="str">
        <f>IF(Table24[[#This Row],[Date of Call]]="","",TEXT(Table24[[#This Row],[Date of Call]],"dddd"))</f>
        <v/>
      </c>
      <c r="AQ477" s="19" t="str">
        <f>IFERROR(VLOOKUP(Table24[[#This Row],[Residence Zip Code]],Table27[],3,FALSE),"")</f>
        <v/>
      </c>
    </row>
    <row r="478" spans="1:43" x14ac:dyDescent="0.25">
      <c r="A478" s="10"/>
      <c r="C478" s="10"/>
      <c r="D478" s="11"/>
      <c r="E478" s="12"/>
      <c r="F478" s="12"/>
      <c r="G478" s="12"/>
      <c r="H478" s="10"/>
      <c r="I478" s="12"/>
      <c r="J478" s="12"/>
      <c r="K478" s="12"/>
      <c r="L478" s="12"/>
      <c r="M478" s="16"/>
      <c r="N478" s="18"/>
      <c r="O478" s="13"/>
      <c r="P478" s="13"/>
      <c r="Q478" s="13"/>
      <c r="R478" s="18"/>
      <c r="S478" s="13"/>
      <c r="T478" s="13"/>
      <c r="U478" s="10"/>
      <c r="V478" s="2"/>
      <c r="X478" s="13"/>
      <c r="Y478" s="3"/>
      <c r="Z478" s="3"/>
      <c r="AA478" s="12"/>
      <c r="AB478" s="10"/>
      <c r="AC478" s="10"/>
      <c r="AD478" s="10"/>
      <c r="AE478" s="10"/>
      <c r="AI478" s="35"/>
      <c r="AJ478"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78" s="19" t="str">
        <f>IFERROR(IF(OR(TRIM(Table24[[#This Row],[DOB]])="",TRIM(Table24[[#This Row],[Date of Call]])=""),"Cannot be calculated",DATEDIF(Table24[[#This Row],[DOB]],Table24[[#This Row],[Date of Call]],"Y")),"Cannot be calculated")</f>
        <v>Cannot be calculated</v>
      </c>
      <c r="AL478"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78" s="19">
        <f>IFERROR(DATEDIF(Table24[[#This Row],[Date of Call]],Table24[[#This Row],[Follow-up Date]],"D"),"Cannot be calculated")</f>
        <v>0</v>
      </c>
      <c r="AN478" s="19" t="str">
        <f>IF(OR(Table24[[#This Row],[Client Age]]&lt;18,Table24[[#This Row],[If client DOB unknown, is client under 18?]]="Yes"),"Yes","No")</f>
        <v>No</v>
      </c>
      <c r="AO478" s="13" t="str">
        <f>IF(Table24[[#This Row],[Time of Inital Call]]="","",IFERROR(MROUND(Table24[[#This Row],[Time of Inital Call]],"1:00"),""))</f>
        <v/>
      </c>
      <c r="AP478" s="19" t="str">
        <f>IF(Table24[[#This Row],[Date of Call]]="","",TEXT(Table24[[#This Row],[Date of Call]],"dddd"))</f>
        <v/>
      </c>
      <c r="AQ478" s="19" t="str">
        <f>IFERROR(VLOOKUP(Table24[[#This Row],[Residence Zip Code]],Table27[],3,FALSE),"")</f>
        <v/>
      </c>
    </row>
    <row r="479" spans="1:43" x14ac:dyDescent="0.25">
      <c r="A479" s="10"/>
      <c r="C479" s="10"/>
      <c r="D479" s="11"/>
      <c r="E479" s="12"/>
      <c r="F479" s="12"/>
      <c r="G479" s="12"/>
      <c r="H479" s="10"/>
      <c r="I479" s="12"/>
      <c r="J479" s="12"/>
      <c r="K479" s="12"/>
      <c r="L479" s="12"/>
      <c r="M479" s="16"/>
      <c r="N479" s="18"/>
      <c r="O479" s="13"/>
      <c r="P479" s="13"/>
      <c r="Q479" s="13"/>
      <c r="R479" s="18"/>
      <c r="S479" s="13"/>
      <c r="T479" s="13"/>
      <c r="U479" s="10"/>
      <c r="V479" s="2"/>
      <c r="X479" s="13"/>
      <c r="Y479" s="3"/>
      <c r="Z479" s="3"/>
      <c r="AA479" s="12"/>
      <c r="AB479" s="10"/>
      <c r="AC479" s="10"/>
      <c r="AD479" s="10"/>
      <c r="AE479" s="10"/>
      <c r="AI479" s="35"/>
      <c r="AJ479"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79" s="19" t="str">
        <f>IFERROR(IF(OR(TRIM(Table24[[#This Row],[DOB]])="",TRIM(Table24[[#This Row],[Date of Call]])=""),"Cannot be calculated",DATEDIF(Table24[[#This Row],[DOB]],Table24[[#This Row],[Date of Call]],"Y")),"Cannot be calculated")</f>
        <v>Cannot be calculated</v>
      </c>
      <c r="AL479"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79" s="19">
        <f>IFERROR(DATEDIF(Table24[[#This Row],[Date of Call]],Table24[[#This Row],[Follow-up Date]],"D"),"Cannot be calculated")</f>
        <v>0</v>
      </c>
      <c r="AN479" s="19" t="str">
        <f>IF(OR(Table24[[#This Row],[Client Age]]&lt;18,Table24[[#This Row],[If client DOB unknown, is client under 18?]]="Yes"),"Yes","No")</f>
        <v>No</v>
      </c>
      <c r="AO479" s="13" t="str">
        <f>IF(Table24[[#This Row],[Time of Inital Call]]="","",IFERROR(MROUND(Table24[[#This Row],[Time of Inital Call]],"1:00"),""))</f>
        <v/>
      </c>
      <c r="AP479" s="19" t="str">
        <f>IF(Table24[[#This Row],[Date of Call]]="","",TEXT(Table24[[#This Row],[Date of Call]],"dddd"))</f>
        <v/>
      </c>
      <c r="AQ479" s="19" t="str">
        <f>IFERROR(VLOOKUP(Table24[[#This Row],[Residence Zip Code]],Table27[],3,FALSE),"")</f>
        <v/>
      </c>
    </row>
    <row r="480" spans="1:43" x14ac:dyDescent="0.25">
      <c r="A480" s="10"/>
      <c r="C480" s="10"/>
      <c r="D480" s="11"/>
      <c r="E480" s="12"/>
      <c r="F480" s="12"/>
      <c r="G480" s="12"/>
      <c r="H480" s="10"/>
      <c r="I480" s="12"/>
      <c r="J480" s="12"/>
      <c r="K480" s="12"/>
      <c r="L480" s="12"/>
      <c r="M480" s="16"/>
      <c r="N480" s="18"/>
      <c r="O480" s="13"/>
      <c r="P480" s="13"/>
      <c r="Q480" s="13"/>
      <c r="R480" s="18"/>
      <c r="S480" s="13"/>
      <c r="T480" s="13"/>
      <c r="U480" s="10"/>
      <c r="V480" s="2"/>
      <c r="X480" s="13"/>
      <c r="Y480" s="3"/>
      <c r="Z480" s="3"/>
      <c r="AA480" s="12"/>
      <c r="AB480" s="10"/>
      <c r="AC480" s="10"/>
      <c r="AD480" s="10"/>
      <c r="AE480" s="10"/>
      <c r="AI480" s="35"/>
      <c r="AJ480"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80" s="19" t="str">
        <f>IFERROR(IF(OR(TRIM(Table24[[#This Row],[DOB]])="",TRIM(Table24[[#This Row],[Date of Call]])=""),"Cannot be calculated",DATEDIF(Table24[[#This Row],[DOB]],Table24[[#This Row],[Date of Call]],"Y")),"Cannot be calculated")</f>
        <v>Cannot be calculated</v>
      </c>
      <c r="AL480"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80" s="19">
        <f>IFERROR(DATEDIF(Table24[[#This Row],[Date of Call]],Table24[[#This Row],[Follow-up Date]],"D"),"Cannot be calculated")</f>
        <v>0</v>
      </c>
      <c r="AN480" s="19" t="str">
        <f>IF(OR(Table24[[#This Row],[Client Age]]&lt;18,Table24[[#This Row],[If client DOB unknown, is client under 18?]]="Yes"),"Yes","No")</f>
        <v>No</v>
      </c>
      <c r="AO480" s="13" t="str">
        <f>IF(Table24[[#This Row],[Time of Inital Call]]="","",IFERROR(MROUND(Table24[[#This Row],[Time of Inital Call]],"1:00"),""))</f>
        <v/>
      </c>
      <c r="AP480" s="19" t="str">
        <f>IF(Table24[[#This Row],[Date of Call]]="","",TEXT(Table24[[#This Row],[Date of Call]],"dddd"))</f>
        <v/>
      </c>
      <c r="AQ480" s="19" t="str">
        <f>IFERROR(VLOOKUP(Table24[[#This Row],[Residence Zip Code]],Table27[],3,FALSE),"")</f>
        <v/>
      </c>
    </row>
    <row r="481" spans="1:43" x14ac:dyDescent="0.25">
      <c r="A481" s="10"/>
      <c r="C481" s="10"/>
      <c r="D481" s="11"/>
      <c r="E481" s="12"/>
      <c r="F481" s="12"/>
      <c r="G481" s="12"/>
      <c r="H481" s="10"/>
      <c r="I481" s="12"/>
      <c r="J481" s="12"/>
      <c r="K481" s="12"/>
      <c r="L481" s="12"/>
      <c r="M481" s="16"/>
      <c r="N481" s="18"/>
      <c r="O481" s="13"/>
      <c r="P481" s="13"/>
      <c r="Q481" s="13"/>
      <c r="R481" s="18"/>
      <c r="S481" s="13"/>
      <c r="T481" s="13"/>
      <c r="U481" s="10"/>
      <c r="V481" s="2"/>
      <c r="X481" s="13"/>
      <c r="Y481" s="3"/>
      <c r="Z481" s="3"/>
      <c r="AA481" s="12"/>
      <c r="AB481" s="10"/>
      <c r="AC481" s="10"/>
      <c r="AD481" s="10"/>
      <c r="AE481" s="10"/>
      <c r="AI481" s="35"/>
      <c r="AJ481"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81" s="19" t="str">
        <f>IFERROR(IF(OR(TRIM(Table24[[#This Row],[DOB]])="",TRIM(Table24[[#This Row],[Date of Call]])=""),"Cannot be calculated",DATEDIF(Table24[[#This Row],[DOB]],Table24[[#This Row],[Date of Call]],"Y")),"Cannot be calculated")</f>
        <v>Cannot be calculated</v>
      </c>
      <c r="AL481"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81" s="19">
        <f>IFERROR(DATEDIF(Table24[[#This Row],[Date of Call]],Table24[[#This Row],[Follow-up Date]],"D"),"Cannot be calculated")</f>
        <v>0</v>
      </c>
      <c r="AN481" s="19" t="str">
        <f>IF(OR(Table24[[#This Row],[Client Age]]&lt;18,Table24[[#This Row],[If client DOB unknown, is client under 18?]]="Yes"),"Yes","No")</f>
        <v>No</v>
      </c>
      <c r="AO481" s="13" t="str">
        <f>IF(Table24[[#This Row],[Time of Inital Call]]="","",IFERROR(MROUND(Table24[[#This Row],[Time of Inital Call]],"1:00"),""))</f>
        <v/>
      </c>
      <c r="AP481" s="19" t="str">
        <f>IF(Table24[[#This Row],[Date of Call]]="","",TEXT(Table24[[#This Row],[Date of Call]],"dddd"))</f>
        <v/>
      </c>
      <c r="AQ481" s="19" t="str">
        <f>IFERROR(VLOOKUP(Table24[[#This Row],[Residence Zip Code]],Table27[],3,FALSE),"")</f>
        <v/>
      </c>
    </row>
    <row r="482" spans="1:43" x14ac:dyDescent="0.25">
      <c r="A482" s="10"/>
      <c r="C482" s="10"/>
      <c r="D482" s="11"/>
      <c r="E482" s="12"/>
      <c r="F482" s="12"/>
      <c r="G482" s="12"/>
      <c r="H482" s="10"/>
      <c r="I482" s="12"/>
      <c r="J482" s="12"/>
      <c r="K482" s="12"/>
      <c r="L482" s="12"/>
      <c r="M482" s="16"/>
      <c r="N482" s="18"/>
      <c r="O482" s="13"/>
      <c r="P482" s="13"/>
      <c r="Q482" s="13"/>
      <c r="R482" s="18"/>
      <c r="S482" s="13"/>
      <c r="T482" s="13"/>
      <c r="U482" s="10"/>
      <c r="V482" s="2"/>
      <c r="X482" s="13"/>
      <c r="Y482" s="3"/>
      <c r="Z482" s="3"/>
      <c r="AA482" s="12"/>
      <c r="AB482" s="10"/>
      <c r="AC482" s="10"/>
      <c r="AD482" s="10"/>
      <c r="AE482" s="10"/>
      <c r="AI482" s="35"/>
      <c r="AJ482"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82" s="19" t="str">
        <f>IFERROR(IF(OR(TRIM(Table24[[#This Row],[DOB]])="",TRIM(Table24[[#This Row],[Date of Call]])=""),"Cannot be calculated",DATEDIF(Table24[[#This Row],[DOB]],Table24[[#This Row],[Date of Call]],"Y")),"Cannot be calculated")</f>
        <v>Cannot be calculated</v>
      </c>
      <c r="AL482"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82" s="19">
        <f>IFERROR(DATEDIF(Table24[[#This Row],[Date of Call]],Table24[[#This Row],[Follow-up Date]],"D"),"Cannot be calculated")</f>
        <v>0</v>
      </c>
      <c r="AN482" s="19" t="str">
        <f>IF(OR(Table24[[#This Row],[Client Age]]&lt;18,Table24[[#This Row],[If client DOB unknown, is client under 18?]]="Yes"),"Yes","No")</f>
        <v>No</v>
      </c>
      <c r="AO482" s="13" t="str">
        <f>IF(Table24[[#This Row],[Time of Inital Call]]="","",IFERROR(MROUND(Table24[[#This Row],[Time of Inital Call]],"1:00"),""))</f>
        <v/>
      </c>
      <c r="AP482" s="19" t="str">
        <f>IF(Table24[[#This Row],[Date of Call]]="","",TEXT(Table24[[#This Row],[Date of Call]],"dddd"))</f>
        <v/>
      </c>
      <c r="AQ482" s="19" t="str">
        <f>IFERROR(VLOOKUP(Table24[[#This Row],[Residence Zip Code]],Table27[],3,FALSE),"")</f>
        <v/>
      </c>
    </row>
    <row r="483" spans="1:43" x14ac:dyDescent="0.25">
      <c r="A483" s="10"/>
      <c r="C483" s="10"/>
      <c r="D483" s="11"/>
      <c r="E483" s="12"/>
      <c r="F483" s="12"/>
      <c r="G483" s="12"/>
      <c r="H483" s="10"/>
      <c r="I483" s="12"/>
      <c r="J483" s="12"/>
      <c r="K483" s="12"/>
      <c r="L483" s="12"/>
      <c r="M483" s="16"/>
      <c r="N483" s="18"/>
      <c r="O483" s="13"/>
      <c r="P483" s="13"/>
      <c r="Q483" s="13"/>
      <c r="R483" s="18"/>
      <c r="S483" s="13"/>
      <c r="T483" s="13"/>
      <c r="U483" s="10"/>
      <c r="V483" s="2"/>
      <c r="X483" s="13"/>
      <c r="Y483" s="3"/>
      <c r="Z483" s="3"/>
      <c r="AA483" s="12"/>
      <c r="AB483" s="10"/>
      <c r="AC483" s="10"/>
      <c r="AD483" s="10"/>
      <c r="AE483" s="10"/>
      <c r="AI483" s="35"/>
      <c r="AJ483"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83" s="19" t="str">
        <f>IFERROR(IF(OR(TRIM(Table24[[#This Row],[DOB]])="",TRIM(Table24[[#This Row],[Date of Call]])=""),"Cannot be calculated",DATEDIF(Table24[[#This Row],[DOB]],Table24[[#This Row],[Date of Call]],"Y")),"Cannot be calculated")</f>
        <v>Cannot be calculated</v>
      </c>
      <c r="AL483"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83" s="19">
        <f>IFERROR(DATEDIF(Table24[[#This Row],[Date of Call]],Table24[[#This Row],[Follow-up Date]],"D"),"Cannot be calculated")</f>
        <v>0</v>
      </c>
      <c r="AN483" s="19" t="str">
        <f>IF(OR(Table24[[#This Row],[Client Age]]&lt;18,Table24[[#This Row],[If client DOB unknown, is client under 18?]]="Yes"),"Yes","No")</f>
        <v>No</v>
      </c>
      <c r="AO483" s="13" t="str">
        <f>IF(Table24[[#This Row],[Time of Inital Call]]="","",IFERROR(MROUND(Table24[[#This Row],[Time of Inital Call]],"1:00"),""))</f>
        <v/>
      </c>
      <c r="AP483" s="19" t="str">
        <f>IF(Table24[[#This Row],[Date of Call]]="","",TEXT(Table24[[#This Row],[Date of Call]],"dddd"))</f>
        <v/>
      </c>
      <c r="AQ483" s="19" t="str">
        <f>IFERROR(VLOOKUP(Table24[[#This Row],[Residence Zip Code]],Table27[],3,FALSE),"")</f>
        <v/>
      </c>
    </row>
    <row r="484" spans="1:43" x14ac:dyDescent="0.25">
      <c r="A484" s="10"/>
      <c r="C484" s="10"/>
      <c r="D484" s="11"/>
      <c r="E484" s="12"/>
      <c r="F484" s="12"/>
      <c r="G484" s="12"/>
      <c r="H484" s="10"/>
      <c r="I484" s="12"/>
      <c r="J484" s="12"/>
      <c r="K484" s="12"/>
      <c r="L484" s="12"/>
      <c r="M484" s="16"/>
      <c r="N484" s="18"/>
      <c r="O484" s="13"/>
      <c r="P484" s="13"/>
      <c r="Q484" s="13"/>
      <c r="R484" s="18"/>
      <c r="S484" s="13"/>
      <c r="T484" s="13"/>
      <c r="U484" s="10"/>
      <c r="V484" s="2"/>
      <c r="X484" s="13"/>
      <c r="Y484" s="3"/>
      <c r="Z484" s="3"/>
      <c r="AA484" s="12"/>
      <c r="AB484" s="10"/>
      <c r="AC484" s="10"/>
      <c r="AD484" s="10"/>
      <c r="AE484" s="10"/>
      <c r="AI484" s="35"/>
      <c r="AJ484"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84" s="19" t="str">
        <f>IFERROR(IF(OR(TRIM(Table24[[#This Row],[DOB]])="",TRIM(Table24[[#This Row],[Date of Call]])=""),"Cannot be calculated",DATEDIF(Table24[[#This Row],[DOB]],Table24[[#This Row],[Date of Call]],"Y")),"Cannot be calculated")</f>
        <v>Cannot be calculated</v>
      </c>
      <c r="AL484"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84" s="19">
        <f>IFERROR(DATEDIF(Table24[[#This Row],[Date of Call]],Table24[[#This Row],[Follow-up Date]],"D"),"Cannot be calculated")</f>
        <v>0</v>
      </c>
      <c r="AN484" s="19" t="str">
        <f>IF(OR(Table24[[#This Row],[Client Age]]&lt;18,Table24[[#This Row],[If client DOB unknown, is client under 18?]]="Yes"),"Yes","No")</f>
        <v>No</v>
      </c>
      <c r="AO484" s="13" t="str">
        <f>IF(Table24[[#This Row],[Time of Inital Call]]="","",IFERROR(MROUND(Table24[[#This Row],[Time of Inital Call]],"1:00"),""))</f>
        <v/>
      </c>
      <c r="AP484" s="19" t="str">
        <f>IF(Table24[[#This Row],[Date of Call]]="","",TEXT(Table24[[#This Row],[Date of Call]],"dddd"))</f>
        <v/>
      </c>
      <c r="AQ484" s="19" t="str">
        <f>IFERROR(VLOOKUP(Table24[[#This Row],[Residence Zip Code]],Table27[],3,FALSE),"")</f>
        <v/>
      </c>
    </row>
    <row r="485" spans="1:43" x14ac:dyDescent="0.25">
      <c r="A485" s="10"/>
      <c r="C485" s="10"/>
      <c r="D485" s="11"/>
      <c r="E485" s="12"/>
      <c r="F485" s="12"/>
      <c r="G485" s="12"/>
      <c r="H485" s="10"/>
      <c r="I485" s="12"/>
      <c r="J485" s="12"/>
      <c r="K485" s="12"/>
      <c r="L485" s="12"/>
      <c r="M485" s="16"/>
      <c r="N485" s="18"/>
      <c r="O485" s="13"/>
      <c r="P485" s="13"/>
      <c r="Q485" s="13"/>
      <c r="R485" s="18"/>
      <c r="S485" s="13"/>
      <c r="T485" s="13"/>
      <c r="U485" s="10"/>
      <c r="V485" s="2"/>
      <c r="X485" s="13"/>
      <c r="Y485" s="3"/>
      <c r="Z485" s="3"/>
      <c r="AA485" s="12"/>
      <c r="AB485" s="10"/>
      <c r="AC485" s="10"/>
      <c r="AD485" s="10"/>
      <c r="AE485" s="10"/>
      <c r="AI485" s="35"/>
      <c r="AJ485"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85" s="19" t="str">
        <f>IFERROR(IF(OR(TRIM(Table24[[#This Row],[DOB]])="",TRIM(Table24[[#This Row],[Date of Call]])=""),"Cannot be calculated",DATEDIF(Table24[[#This Row],[DOB]],Table24[[#This Row],[Date of Call]],"Y")),"Cannot be calculated")</f>
        <v>Cannot be calculated</v>
      </c>
      <c r="AL485"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85" s="19">
        <f>IFERROR(DATEDIF(Table24[[#This Row],[Date of Call]],Table24[[#This Row],[Follow-up Date]],"D"),"Cannot be calculated")</f>
        <v>0</v>
      </c>
      <c r="AN485" s="19" t="str">
        <f>IF(OR(Table24[[#This Row],[Client Age]]&lt;18,Table24[[#This Row],[If client DOB unknown, is client under 18?]]="Yes"),"Yes","No")</f>
        <v>No</v>
      </c>
      <c r="AO485" s="13" t="str">
        <f>IF(Table24[[#This Row],[Time of Inital Call]]="","",IFERROR(MROUND(Table24[[#This Row],[Time of Inital Call]],"1:00"),""))</f>
        <v/>
      </c>
      <c r="AP485" s="19" t="str">
        <f>IF(Table24[[#This Row],[Date of Call]]="","",TEXT(Table24[[#This Row],[Date of Call]],"dddd"))</f>
        <v/>
      </c>
      <c r="AQ485" s="19" t="str">
        <f>IFERROR(VLOOKUP(Table24[[#This Row],[Residence Zip Code]],Table27[],3,FALSE),"")</f>
        <v/>
      </c>
    </row>
    <row r="486" spans="1:43" x14ac:dyDescent="0.25">
      <c r="A486" s="10"/>
      <c r="C486" s="10"/>
      <c r="D486" s="11"/>
      <c r="E486" s="12"/>
      <c r="F486" s="12"/>
      <c r="G486" s="12"/>
      <c r="H486" s="10"/>
      <c r="I486" s="12"/>
      <c r="J486" s="12"/>
      <c r="K486" s="12"/>
      <c r="L486" s="12"/>
      <c r="M486" s="16"/>
      <c r="N486" s="18"/>
      <c r="O486" s="13"/>
      <c r="P486" s="13"/>
      <c r="Q486" s="13"/>
      <c r="R486" s="18"/>
      <c r="S486" s="13"/>
      <c r="T486" s="13"/>
      <c r="U486" s="10"/>
      <c r="V486" s="2"/>
      <c r="X486" s="13"/>
      <c r="Y486" s="3"/>
      <c r="Z486" s="3"/>
      <c r="AA486" s="12"/>
      <c r="AB486" s="10"/>
      <c r="AC486" s="10"/>
      <c r="AD486" s="10"/>
      <c r="AE486" s="10"/>
      <c r="AI486" s="35"/>
      <c r="AJ486"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86" s="19" t="str">
        <f>IFERROR(IF(OR(TRIM(Table24[[#This Row],[DOB]])="",TRIM(Table24[[#This Row],[Date of Call]])=""),"Cannot be calculated",DATEDIF(Table24[[#This Row],[DOB]],Table24[[#This Row],[Date of Call]],"Y")),"Cannot be calculated")</f>
        <v>Cannot be calculated</v>
      </c>
      <c r="AL486"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86" s="19">
        <f>IFERROR(DATEDIF(Table24[[#This Row],[Date of Call]],Table24[[#This Row],[Follow-up Date]],"D"),"Cannot be calculated")</f>
        <v>0</v>
      </c>
      <c r="AN486" s="19" t="str">
        <f>IF(OR(Table24[[#This Row],[Client Age]]&lt;18,Table24[[#This Row],[If client DOB unknown, is client under 18?]]="Yes"),"Yes","No")</f>
        <v>No</v>
      </c>
      <c r="AO486" s="13" t="str">
        <f>IF(Table24[[#This Row],[Time of Inital Call]]="","",IFERROR(MROUND(Table24[[#This Row],[Time of Inital Call]],"1:00"),""))</f>
        <v/>
      </c>
      <c r="AP486" s="19" t="str">
        <f>IF(Table24[[#This Row],[Date of Call]]="","",TEXT(Table24[[#This Row],[Date of Call]],"dddd"))</f>
        <v/>
      </c>
      <c r="AQ486" s="19" t="str">
        <f>IFERROR(VLOOKUP(Table24[[#This Row],[Residence Zip Code]],Table27[],3,FALSE),"")</f>
        <v/>
      </c>
    </row>
    <row r="487" spans="1:43" x14ac:dyDescent="0.25">
      <c r="A487" s="10"/>
      <c r="C487" s="10"/>
      <c r="D487" s="11"/>
      <c r="E487" s="12"/>
      <c r="F487" s="12"/>
      <c r="G487" s="12"/>
      <c r="H487" s="10"/>
      <c r="I487" s="12"/>
      <c r="J487" s="12"/>
      <c r="K487" s="12"/>
      <c r="L487" s="12"/>
      <c r="M487" s="16"/>
      <c r="N487" s="18"/>
      <c r="O487" s="13"/>
      <c r="P487" s="13"/>
      <c r="Q487" s="13"/>
      <c r="R487" s="18"/>
      <c r="S487" s="13"/>
      <c r="T487" s="13"/>
      <c r="U487" s="10"/>
      <c r="V487" s="2"/>
      <c r="X487" s="13"/>
      <c r="Y487" s="3"/>
      <c r="Z487" s="3"/>
      <c r="AA487" s="12"/>
      <c r="AB487" s="10"/>
      <c r="AC487" s="10"/>
      <c r="AD487" s="10"/>
      <c r="AE487" s="10"/>
      <c r="AI487" s="35"/>
      <c r="AJ487"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87" s="19" t="str">
        <f>IFERROR(IF(OR(TRIM(Table24[[#This Row],[DOB]])="",TRIM(Table24[[#This Row],[Date of Call]])=""),"Cannot be calculated",DATEDIF(Table24[[#This Row],[DOB]],Table24[[#This Row],[Date of Call]],"Y")),"Cannot be calculated")</f>
        <v>Cannot be calculated</v>
      </c>
      <c r="AL487"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87" s="19">
        <f>IFERROR(DATEDIF(Table24[[#This Row],[Date of Call]],Table24[[#This Row],[Follow-up Date]],"D"),"Cannot be calculated")</f>
        <v>0</v>
      </c>
      <c r="AN487" s="19" t="str">
        <f>IF(OR(Table24[[#This Row],[Client Age]]&lt;18,Table24[[#This Row],[If client DOB unknown, is client under 18?]]="Yes"),"Yes","No")</f>
        <v>No</v>
      </c>
      <c r="AO487" s="13" t="str">
        <f>IF(Table24[[#This Row],[Time of Inital Call]]="","",IFERROR(MROUND(Table24[[#This Row],[Time of Inital Call]],"1:00"),""))</f>
        <v/>
      </c>
      <c r="AP487" s="19" t="str">
        <f>IF(Table24[[#This Row],[Date of Call]]="","",TEXT(Table24[[#This Row],[Date of Call]],"dddd"))</f>
        <v/>
      </c>
      <c r="AQ487" s="19" t="str">
        <f>IFERROR(VLOOKUP(Table24[[#This Row],[Residence Zip Code]],Table27[],3,FALSE),"")</f>
        <v/>
      </c>
    </row>
    <row r="488" spans="1:43" x14ac:dyDescent="0.25">
      <c r="A488" s="10"/>
      <c r="C488" s="10"/>
      <c r="D488" s="11"/>
      <c r="E488" s="12"/>
      <c r="F488" s="12"/>
      <c r="G488" s="12"/>
      <c r="H488" s="10"/>
      <c r="I488" s="12"/>
      <c r="J488" s="12"/>
      <c r="K488" s="12"/>
      <c r="L488" s="12"/>
      <c r="M488" s="16"/>
      <c r="N488" s="18"/>
      <c r="O488" s="13"/>
      <c r="P488" s="13"/>
      <c r="Q488" s="13"/>
      <c r="R488" s="18"/>
      <c r="S488" s="13"/>
      <c r="T488" s="13"/>
      <c r="U488" s="10"/>
      <c r="V488" s="2"/>
      <c r="X488" s="13"/>
      <c r="Y488" s="3"/>
      <c r="Z488" s="3"/>
      <c r="AA488" s="12"/>
      <c r="AB488" s="10"/>
      <c r="AC488" s="10"/>
      <c r="AD488" s="10"/>
      <c r="AE488" s="10"/>
      <c r="AI488" s="35"/>
      <c r="AJ488"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88" s="19" t="str">
        <f>IFERROR(IF(OR(TRIM(Table24[[#This Row],[DOB]])="",TRIM(Table24[[#This Row],[Date of Call]])=""),"Cannot be calculated",DATEDIF(Table24[[#This Row],[DOB]],Table24[[#This Row],[Date of Call]],"Y")),"Cannot be calculated")</f>
        <v>Cannot be calculated</v>
      </c>
      <c r="AL488"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88" s="19">
        <f>IFERROR(DATEDIF(Table24[[#This Row],[Date of Call]],Table24[[#This Row],[Follow-up Date]],"D"),"Cannot be calculated")</f>
        <v>0</v>
      </c>
      <c r="AN488" s="19" t="str">
        <f>IF(OR(Table24[[#This Row],[Client Age]]&lt;18,Table24[[#This Row],[If client DOB unknown, is client under 18?]]="Yes"),"Yes","No")</f>
        <v>No</v>
      </c>
      <c r="AO488" s="13" t="str">
        <f>IF(Table24[[#This Row],[Time of Inital Call]]="","",IFERROR(MROUND(Table24[[#This Row],[Time of Inital Call]],"1:00"),""))</f>
        <v/>
      </c>
      <c r="AP488" s="19" t="str">
        <f>IF(Table24[[#This Row],[Date of Call]]="","",TEXT(Table24[[#This Row],[Date of Call]],"dddd"))</f>
        <v/>
      </c>
      <c r="AQ488" s="19" t="str">
        <f>IFERROR(VLOOKUP(Table24[[#This Row],[Residence Zip Code]],Table27[],3,FALSE),"")</f>
        <v/>
      </c>
    </row>
    <row r="489" spans="1:43" x14ac:dyDescent="0.25">
      <c r="A489" s="10"/>
      <c r="C489" s="10"/>
      <c r="D489" s="11"/>
      <c r="E489" s="12"/>
      <c r="F489" s="12"/>
      <c r="G489" s="12"/>
      <c r="H489" s="10"/>
      <c r="I489" s="12"/>
      <c r="J489" s="12"/>
      <c r="K489" s="12"/>
      <c r="L489" s="12"/>
      <c r="M489" s="16"/>
      <c r="N489" s="18"/>
      <c r="O489" s="13"/>
      <c r="P489" s="13"/>
      <c r="Q489" s="13"/>
      <c r="R489" s="18"/>
      <c r="S489" s="13"/>
      <c r="T489" s="13"/>
      <c r="U489" s="10"/>
      <c r="V489" s="2"/>
      <c r="X489" s="13"/>
      <c r="Y489" s="3"/>
      <c r="Z489" s="3"/>
      <c r="AA489" s="12"/>
      <c r="AB489" s="10"/>
      <c r="AC489" s="10"/>
      <c r="AD489" s="10"/>
      <c r="AE489" s="10"/>
      <c r="AI489" s="35"/>
      <c r="AJ489"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89" s="19" t="str">
        <f>IFERROR(IF(OR(TRIM(Table24[[#This Row],[DOB]])="",TRIM(Table24[[#This Row],[Date of Call]])=""),"Cannot be calculated",DATEDIF(Table24[[#This Row],[DOB]],Table24[[#This Row],[Date of Call]],"Y")),"Cannot be calculated")</f>
        <v>Cannot be calculated</v>
      </c>
      <c r="AL489"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89" s="19">
        <f>IFERROR(DATEDIF(Table24[[#This Row],[Date of Call]],Table24[[#This Row],[Follow-up Date]],"D"),"Cannot be calculated")</f>
        <v>0</v>
      </c>
      <c r="AN489" s="19" t="str">
        <f>IF(OR(Table24[[#This Row],[Client Age]]&lt;18,Table24[[#This Row],[If client DOB unknown, is client under 18?]]="Yes"),"Yes","No")</f>
        <v>No</v>
      </c>
      <c r="AO489" s="13" t="str">
        <f>IF(Table24[[#This Row],[Time of Inital Call]]="","",IFERROR(MROUND(Table24[[#This Row],[Time of Inital Call]],"1:00"),""))</f>
        <v/>
      </c>
      <c r="AP489" s="19" t="str">
        <f>IF(Table24[[#This Row],[Date of Call]]="","",TEXT(Table24[[#This Row],[Date of Call]],"dddd"))</f>
        <v/>
      </c>
      <c r="AQ489" s="19" t="str">
        <f>IFERROR(VLOOKUP(Table24[[#This Row],[Residence Zip Code]],Table27[],3,FALSE),"")</f>
        <v/>
      </c>
    </row>
    <row r="490" spans="1:43" x14ac:dyDescent="0.25">
      <c r="A490" s="10"/>
      <c r="C490" s="10"/>
      <c r="D490" s="11"/>
      <c r="E490" s="12"/>
      <c r="F490" s="12"/>
      <c r="G490" s="12"/>
      <c r="H490" s="10"/>
      <c r="I490" s="12"/>
      <c r="J490" s="12"/>
      <c r="K490" s="12"/>
      <c r="L490" s="12"/>
      <c r="M490" s="16"/>
      <c r="N490" s="18"/>
      <c r="O490" s="13"/>
      <c r="P490" s="13"/>
      <c r="Q490" s="13"/>
      <c r="R490" s="18"/>
      <c r="S490" s="13"/>
      <c r="T490" s="13"/>
      <c r="U490" s="10"/>
      <c r="V490" s="2"/>
      <c r="X490" s="13"/>
      <c r="Y490" s="3"/>
      <c r="Z490" s="3"/>
      <c r="AA490" s="12"/>
      <c r="AB490" s="10"/>
      <c r="AC490" s="10"/>
      <c r="AD490" s="10"/>
      <c r="AE490" s="10"/>
      <c r="AI490" s="35"/>
      <c r="AJ490"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90" s="19" t="str">
        <f>IFERROR(IF(OR(TRIM(Table24[[#This Row],[DOB]])="",TRIM(Table24[[#This Row],[Date of Call]])=""),"Cannot be calculated",DATEDIF(Table24[[#This Row],[DOB]],Table24[[#This Row],[Date of Call]],"Y")),"Cannot be calculated")</f>
        <v>Cannot be calculated</v>
      </c>
      <c r="AL490"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90" s="19">
        <f>IFERROR(DATEDIF(Table24[[#This Row],[Date of Call]],Table24[[#This Row],[Follow-up Date]],"D"),"Cannot be calculated")</f>
        <v>0</v>
      </c>
      <c r="AN490" s="19" t="str">
        <f>IF(OR(Table24[[#This Row],[Client Age]]&lt;18,Table24[[#This Row],[If client DOB unknown, is client under 18?]]="Yes"),"Yes","No")</f>
        <v>No</v>
      </c>
      <c r="AO490" s="13" t="str">
        <f>IF(Table24[[#This Row],[Time of Inital Call]]="","",IFERROR(MROUND(Table24[[#This Row],[Time of Inital Call]],"1:00"),""))</f>
        <v/>
      </c>
      <c r="AP490" s="19" t="str">
        <f>IF(Table24[[#This Row],[Date of Call]]="","",TEXT(Table24[[#This Row],[Date of Call]],"dddd"))</f>
        <v/>
      </c>
      <c r="AQ490" s="19" t="str">
        <f>IFERROR(VLOOKUP(Table24[[#This Row],[Residence Zip Code]],Table27[],3,FALSE),"")</f>
        <v/>
      </c>
    </row>
    <row r="491" spans="1:43" x14ac:dyDescent="0.25">
      <c r="A491" s="10"/>
      <c r="C491" s="10"/>
      <c r="D491" s="11"/>
      <c r="E491" s="12"/>
      <c r="F491" s="12"/>
      <c r="G491" s="12"/>
      <c r="H491" s="10"/>
      <c r="I491" s="12"/>
      <c r="J491" s="12"/>
      <c r="K491" s="12"/>
      <c r="L491" s="12"/>
      <c r="M491" s="16"/>
      <c r="N491" s="18"/>
      <c r="O491" s="13"/>
      <c r="P491" s="13"/>
      <c r="Q491" s="13"/>
      <c r="R491" s="18"/>
      <c r="S491" s="13"/>
      <c r="T491" s="13"/>
      <c r="U491" s="10"/>
      <c r="V491" s="2"/>
      <c r="X491" s="13"/>
      <c r="Y491" s="3"/>
      <c r="Z491" s="3"/>
      <c r="AA491" s="12"/>
      <c r="AB491" s="10"/>
      <c r="AC491" s="10"/>
      <c r="AD491" s="10"/>
      <c r="AE491" s="10"/>
      <c r="AI491" s="35"/>
      <c r="AJ491"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91" s="19" t="str">
        <f>IFERROR(IF(OR(TRIM(Table24[[#This Row],[DOB]])="",TRIM(Table24[[#This Row],[Date of Call]])=""),"Cannot be calculated",DATEDIF(Table24[[#This Row],[DOB]],Table24[[#This Row],[Date of Call]],"Y")),"Cannot be calculated")</f>
        <v>Cannot be calculated</v>
      </c>
      <c r="AL491"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91" s="19">
        <f>IFERROR(DATEDIF(Table24[[#This Row],[Date of Call]],Table24[[#This Row],[Follow-up Date]],"D"),"Cannot be calculated")</f>
        <v>0</v>
      </c>
      <c r="AN491" s="19" t="str">
        <f>IF(OR(Table24[[#This Row],[Client Age]]&lt;18,Table24[[#This Row],[If client DOB unknown, is client under 18?]]="Yes"),"Yes","No")</f>
        <v>No</v>
      </c>
      <c r="AO491" s="13" t="str">
        <f>IF(Table24[[#This Row],[Time of Inital Call]]="","",IFERROR(MROUND(Table24[[#This Row],[Time of Inital Call]],"1:00"),""))</f>
        <v/>
      </c>
      <c r="AP491" s="19" t="str">
        <f>IF(Table24[[#This Row],[Date of Call]]="","",TEXT(Table24[[#This Row],[Date of Call]],"dddd"))</f>
        <v/>
      </c>
      <c r="AQ491" s="19" t="str">
        <f>IFERROR(VLOOKUP(Table24[[#This Row],[Residence Zip Code]],Table27[],3,FALSE),"")</f>
        <v/>
      </c>
    </row>
    <row r="492" spans="1:43" x14ac:dyDescent="0.25">
      <c r="A492" s="10"/>
      <c r="C492" s="10"/>
      <c r="D492" s="11"/>
      <c r="E492" s="12"/>
      <c r="F492" s="12"/>
      <c r="G492" s="12"/>
      <c r="H492" s="10"/>
      <c r="I492" s="12"/>
      <c r="J492" s="12"/>
      <c r="K492" s="12"/>
      <c r="L492" s="12"/>
      <c r="M492" s="16"/>
      <c r="N492" s="18"/>
      <c r="O492" s="13"/>
      <c r="P492" s="13"/>
      <c r="Q492" s="13"/>
      <c r="R492" s="18"/>
      <c r="S492" s="13"/>
      <c r="T492" s="13"/>
      <c r="U492" s="10"/>
      <c r="V492" s="2"/>
      <c r="X492" s="13"/>
      <c r="Y492" s="3"/>
      <c r="Z492" s="3"/>
      <c r="AA492" s="12"/>
      <c r="AB492" s="10"/>
      <c r="AC492" s="10"/>
      <c r="AD492" s="10"/>
      <c r="AE492" s="10"/>
      <c r="AI492" s="35"/>
      <c r="AJ492"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92" s="19" t="str">
        <f>IFERROR(IF(OR(TRIM(Table24[[#This Row],[DOB]])="",TRIM(Table24[[#This Row],[Date of Call]])=""),"Cannot be calculated",DATEDIF(Table24[[#This Row],[DOB]],Table24[[#This Row],[Date of Call]],"Y")),"Cannot be calculated")</f>
        <v>Cannot be calculated</v>
      </c>
      <c r="AL492"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92" s="19">
        <f>IFERROR(DATEDIF(Table24[[#This Row],[Date of Call]],Table24[[#This Row],[Follow-up Date]],"D"),"Cannot be calculated")</f>
        <v>0</v>
      </c>
      <c r="AN492" s="19" t="str">
        <f>IF(OR(Table24[[#This Row],[Client Age]]&lt;18,Table24[[#This Row],[If client DOB unknown, is client under 18?]]="Yes"),"Yes","No")</f>
        <v>No</v>
      </c>
      <c r="AO492" s="13" t="str">
        <f>IF(Table24[[#This Row],[Time of Inital Call]]="","",IFERROR(MROUND(Table24[[#This Row],[Time of Inital Call]],"1:00"),""))</f>
        <v/>
      </c>
      <c r="AP492" s="19" t="str">
        <f>IF(Table24[[#This Row],[Date of Call]]="","",TEXT(Table24[[#This Row],[Date of Call]],"dddd"))</f>
        <v/>
      </c>
      <c r="AQ492" s="19" t="str">
        <f>IFERROR(VLOOKUP(Table24[[#This Row],[Residence Zip Code]],Table27[],3,FALSE),"")</f>
        <v/>
      </c>
    </row>
    <row r="493" spans="1:43" x14ac:dyDescent="0.25">
      <c r="A493" s="10"/>
      <c r="C493" s="10"/>
      <c r="D493" s="11"/>
      <c r="E493" s="12"/>
      <c r="F493" s="12"/>
      <c r="G493" s="12"/>
      <c r="H493" s="10"/>
      <c r="I493" s="12"/>
      <c r="J493" s="12"/>
      <c r="K493" s="12"/>
      <c r="L493" s="12"/>
      <c r="M493" s="16"/>
      <c r="N493" s="18"/>
      <c r="O493" s="13"/>
      <c r="P493" s="13"/>
      <c r="Q493" s="13"/>
      <c r="R493" s="18"/>
      <c r="S493" s="13"/>
      <c r="T493" s="13"/>
      <c r="U493" s="10"/>
      <c r="V493" s="2"/>
      <c r="X493" s="13"/>
      <c r="Y493" s="3"/>
      <c r="Z493" s="3"/>
      <c r="AA493" s="12"/>
      <c r="AB493" s="10"/>
      <c r="AC493" s="10"/>
      <c r="AD493" s="10"/>
      <c r="AE493" s="10"/>
      <c r="AI493" s="35"/>
      <c r="AJ493"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93" s="19" t="str">
        <f>IFERROR(IF(OR(TRIM(Table24[[#This Row],[DOB]])="",TRIM(Table24[[#This Row],[Date of Call]])=""),"Cannot be calculated",DATEDIF(Table24[[#This Row],[DOB]],Table24[[#This Row],[Date of Call]],"Y")),"Cannot be calculated")</f>
        <v>Cannot be calculated</v>
      </c>
      <c r="AL493"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93" s="19">
        <f>IFERROR(DATEDIF(Table24[[#This Row],[Date of Call]],Table24[[#This Row],[Follow-up Date]],"D"),"Cannot be calculated")</f>
        <v>0</v>
      </c>
      <c r="AN493" s="19" t="str">
        <f>IF(OR(Table24[[#This Row],[Client Age]]&lt;18,Table24[[#This Row],[If client DOB unknown, is client under 18?]]="Yes"),"Yes","No")</f>
        <v>No</v>
      </c>
      <c r="AO493" s="13" t="str">
        <f>IF(Table24[[#This Row],[Time of Inital Call]]="","",IFERROR(MROUND(Table24[[#This Row],[Time of Inital Call]],"1:00"),""))</f>
        <v/>
      </c>
      <c r="AP493" s="19" t="str">
        <f>IF(Table24[[#This Row],[Date of Call]]="","",TEXT(Table24[[#This Row],[Date of Call]],"dddd"))</f>
        <v/>
      </c>
      <c r="AQ493" s="19" t="str">
        <f>IFERROR(VLOOKUP(Table24[[#This Row],[Residence Zip Code]],Table27[],3,FALSE),"")</f>
        <v/>
      </c>
    </row>
    <row r="494" spans="1:43" x14ac:dyDescent="0.25">
      <c r="A494" s="10"/>
      <c r="C494" s="10"/>
      <c r="D494" s="11"/>
      <c r="E494" s="12"/>
      <c r="F494" s="12"/>
      <c r="G494" s="12"/>
      <c r="H494" s="10"/>
      <c r="I494" s="12"/>
      <c r="J494" s="12"/>
      <c r="K494" s="12"/>
      <c r="L494" s="12"/>
      <c r="M494" s="16"/>
      <c r="N494" s="18"/>
      <c r="O494" s="13"/>
      <c r="P494" s="13"/>
      <c r="Q494" s="13"/>
      <c r="R494" s="18"/>
      <c r="S494" s="13"/>
      <c r="T494" s="13"/>
      <c r="U494" s="10"/>
      <c r="V494" s="2"/>
      <c r="X494" s="13"/>
      <c r="Y494" s="3"/>
      <c r="Z494" s="3"/>
      <c r="AA494" s="12"/>
      <c r="AB494" s="10"/>
      <c r="AC494" s="10"/>
      <c r="AD494" s="10"/>
      <c r="AE494" s="10"/>
      <c r="AI494" s="35"/>
      <c r="AJ494"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94" s="19" t="str">
        <f>IFERROR(IF(OR(TRIM(Table24[[#This Row],[DOB]])="",TRIM(Table24[[#This Row],[Date of Call]])=""),"Cannot be calculated",DATEDIF(Table24[[#This Row],[DOB]],Table24[[#This Row],[Date of Call]],"Y")),"Cannot be calculated")</f>
        <v>Cannot be calculated</v>
      </c>
      <c r="AL494"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94" s="19">
        <f>IFERROR(DATEDIF(Table24[[#This Row],[Date of Call]],Table24[[#This Row],[Follow-up Date]],"D"),"Cannot be calculated")</f>
        <v>0</v>
      </c>
      <c r="AN494" s="19" t="str">
        <f>IF(OR(Table24[[#This Row],[Client Age]]&lt;18,Table24[[#This Row],[If client DOB unknown, is client under 18?]]="Yes"),"Yes","No")</f>
        <v>No</v>
      </c>
      <c r="AO494" s="13" t="str">
        <f>IF(Table24[[#This Row],[Time of Inital Call]]="","",IFERROR(MROUND(Table24[[#This Row],[Time of Inital Call]],"1:00"),""))</f>
        <v/>
      </c>
      <c r="AP494" s="19" t="str">
        <f>IF(Table24[[#This Row],[Date of Call]]="","",TEXT(Table24[[#This Row],[Date of Call]],"dddd"))</f>
        <v/>
      </c>
      <c r="AQ494" s="19" t="str">
        <f>IFERROR(VLOOKUP(Table24[[#This Row],[Residence Zip Code]],Table27[],3,FALSE),"")</f>
        <v/>
      </c>
    </row>
    <row r="495" spans="1:43" x14ac:dyDescent="0.25">
      <c r="A495" s="10"/>
      <c r="C495" s="10"/>
      <c r="D495" s="11"/>
      <c r="E495" s="12"/>
      <c r="F495" s="12"/>
      <c r="G495" s="12"/>
      <c r="H495" s="10"/>
      <c r="I495" s="12"/>
      <c r="J495" s="12"/>
      <c r="K495" s="12"/>
      <c r="L495" s="12"/>
      <c r="M495" s="16"/>
      <c r="N495" s="18"/>
      <c r="O495" s="13"/>
      <c r="P495" s="13"/>
      <c r="Q495" s="13"/>
      <c r="R495" s="18"/>
      <c r="S495" s="13"/>
      <c r="T495" s="13"/>
      <c r="U495" s="10"/>
      <c r="V495" s="2"/>
      <c r="X495" s="13"/>
      <c r="Y495" s="3"/>
      <c r="Z495" s="3"/>
      <c r="AA495" s="12"/>
      <c r="AB495" s="10"/>
      <c r="AC495" s="10"/>
      <c r="AD495" s="10"/>
      <c r="AE495" s="10"/>
      <c r="AI495" s="35"/>
      <c r="AJ495"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95" s="19" t="str">
        <f>IFERROR(IF(OR(TRIM(Table24[[#This Row],[DOB]])="",TRIM(Table24[[#This Row],[Date of Call]])=""),"Cannot be calculated",DATEDIF(Table24[[#This Row],[DOB]],Table24[[#This Row],[Date of Call]],"Y")),"Cannot be calculated")</f>
        <v>Cannot be calculated</v>
      </c>
      <c r="AL495"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95" s="19">
        <f>IFERROR(DATEDIF(Table24[[#This Row],[Date of Call]],Table24[[#This Row],[Follow-up Date]],"D"),"Cannot be calculated")</f>
        <v>0</v>
      </c>
      <c r="AN495" s="19" t="str">
        <f>IF(OR(Table24[[#This Row],[Client Age]]&lt;18,Table24[[#This Row],[If client DOB unknown, is client under 18?]]="Yes"),"Yes","No")</f>
        <v>No</v>
      </c>
      <c r="AO495" s="13" t="str">
        <f>IF(Table24[[#This Row],[Time of Inital Call]]="","",IFERROR(MROUND(Table24[[#This Row],[Time of Inital Call]],"1:00"),""))</f>
        <v/>
      </c>
      <c r="AP495" s="19" t="str">
        <f>IF(Table24[[#This Row],[Date of Call]]="","",TEXT(Table24[[#This Row],[Date of Call]],"dddd"))</f>
        <v/>
      </c>
      <c r="AQ495" s="19" t="str">
        <f>IFERROR(VLOOKUP(Table24[[#This Row],[Residence Zip Code]],Table27[],3,FALSE),"")</f>
        <v/>
      </c>
    </row>
    <row r="496" spans="1:43" x14ac:dyDescent="0.25">
      <c r="A496" s="10"/>
      <c r="C496" s="10"/>
      <c r="D496" s="11"/>
      <c r="E496" s="12"/>
      <c r="F496" s="12"/>
      <c r="G496" s="12"/>
      <c r="H496" s="10"/>
      <c r="I496" s="12"/>
      <c r="J496" s="12"/>
      <c r="K496" s="12"/>
      <c r="L496" s="12"/>
      <c r="M496" s="16"/>
      <c r="N496" s="18"/>
      <c r="O496" s="13"/>
      <c r="P496" s="13"/>
      <c r="Q496" s="13"/>
      <c r="R496" s="18"/>
      <c r="S496" s="13"/>
      <c r="T496" s="13"/>
      <c r="U496" s="10"/>
      <c r="V496" s="2"/>
      <c r="X496" s="13"/>
      <c r="Y496" s="3"/>
      <c r="Z496" s="3"/>
      <c r="AA496" s="12"/>
      <c r="AB496" s="10"/>
      <c r="AC496" s="10"/>
      <c r="AD496" s="10"/>
      <c r="AE496" s="10"/>
      <c r="AI496" s="35"/>
      <c r="AJ496"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96" s="19" t="str">
        <f>IFERROR(IF(OR(TRIM(Table24[[#This Row],[DOB]])="",TRIM(Table24[[#This Row],[Date of Call]])=""),"Cannot be calculated",DATEDIF(Table24[[#This Row],[DOB]],Table24[[#This Row],[Date of Call]],"Y")),"Cannot be calculated")</f>
        <v>Cannot be calculated</v>
      </c>
      <c r="AL496"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96" s="19">
        <f>IFERROR(DATEDIF(Table24[[#This Row],[Date of Call]],Table24[[#This Row],[Follow-up Date]],"D"),"Cannot be calculated")</f>
        <v>0</v>
      </c>
      <c r="AN496" s="19" t="str">
        <f>IF(OR(Table24[[#This Row],[Client Age]]&lt;18,Table24[[#This Row],[If client DOB unknown, is client under 18?]]="Yes"),"Yes","No")</f>
        <v>No</v>
      </c>
      <c r="AO496" s="13" t="str">
        <f>IF(Table24[[#This Row],[Time of Inital Call]]="","",IFERROR(MROUND(Table24[[#This Row],[Time of Inital Call]],"1:00"),""))</f>
        <v/>
      </c>
      <c r="AP496" s="19" t="str">
        <f>IF(Table24[[#This Row],[Date of Call]]="","",TEXT(Table24[[#This Row],[Date of Call]],"dddd"))</f>
        <v/>
      </c>
      <c r="AQ496" s="19" t="str">
        <f>IFERROR(VLOOKUP(Table24[[#This Row],[Residence Zip Code]],Table27[],3,FALSE),"")</f>
        <v/>
      </c>
    </row>
    <row r="497" spans="1:43" x14ac:dyDescent="0.25">
      <c r="A497" s="10"/>
      <c r="C497" s="10"/>
      <c r="D497" s="11"/>
      <c r="E497" s="12"/>
      <c r="F497" s="12"/>
      <c r="G497" s="12"/>
      <c r="H497" s="10"/>
      <c r="I497" s="12"/>
      <c r="J497" s="12"/>
      <c r="K497" s="12"/>
      <c r="L497" s="12"/>
      <c r="M497" s="16"/>
      <c r="N497" s="18"/>
      <c r="O497" s="13"/>
      <c r="P497" s="13"/>
      <c r="Q497" s="13"/>
      <c r="R497" s="18"/>
      <c r="S497" s="13"/>
      <c r="T497" s="13"/>
      <c r="U497" s="10"/>
      <c r="V497" s="2"/>
      <c r="X497" s="13"/>
      <c r="Y497" s="3"/>
      <c r="Z497" s="3"/>
      <c r="AA497" s="12"/>
      <c r="AB497" s="10"/>
      <c r="AC497" s="10"/>
      <c r="AD497" s="10"/>
      <c r="AE497" s="10"/>
      <c r="AI497" s="35"/>
      <c r="AJ497"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97" s="19" t="str">
        <f>IFERROR(IF(OR(TRIM(Table24[[#This Row],[DOB]])="",TRIM(Table24[[#This Row],[Date of Call]])=""),"Cannot be calculated",DATEDIF(Table24[[#This Row],[DOB]],Table24[[#This Row],[Date of Call]],"Y")),"Cannot be calculated")</f>
        <v>Cannot be calculated</v>
      </c>
      <c r="AL497"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97" s="19">
        <f>IFERROR(DATEDIF(Table24[[#This Row],[Date of Call]],Table24[[#This Row],[Follow-up Date]],"D"),"Cannot be calculated")</f>
        <v>0</v>
      </c>
      <c r="AN497" s="19" t="str">
        <f>IF(OR(Table24[[#This Row],[Client Age]]&lt;18,Table24[[#This Row],[If client DOB unknown, is client under 18?]]="Yes"),"Yes","No")</f>
        <v>No</v>
      </c>
      <c r="AO497" s="13" t="str">
        <f>IF(Table24[[#This Row],[Time of Inital Call]]="","",IFERROR(MROUND(Table24[[#This Row],[Time of Inital Call]],"1:00"),""))</f>
        <v/>
      </c>
      <c r="AP497" s="19" t="str">
        <f>IF(Table24[[#This Row],[Date of Call]]="","",TEXT(Table24[[#This Row],[Date of Call]],"dddd"))</f>
        <v/>
      </c>
      <c r="AQ497" s="19" t="str">
        <f>IFERROR(VLOOKUP(Table24[[#This Row],[Residence Zip Code]],Table27[],3,FALSE),"")</f>
        <v/>
      </c>
    </row>
    <row r="498" spans="1:43" x14ac:dyDescent="0.25">
      <c r="A498" s="10"/>
      <c r="C498" s="10"/>
      <c r="D498" s="11"/>
      <c r="E498" s="12"/>
      <c r="F498" s="12"/>
      <c r="G498" s="12"/>
      <c r="H498" s="10"/>
      <c r="I498" s="12"/>
      <c r="J498" s="12"/>
      <c r="K498" s="12"/>
      <c r="L498" s="12"/>
      <c r="M498" s="16"/>
      <c r="N498" s="18"/>
      <c r="O498" s="13"/>
      <c r="P498" s="13"/>
      <c r="Q498" s="13"/>
      <c r="R498" s="18"/>
      <c r="S498" s="13"/>
      <c r="T498" s="13"/>
      <c r="U498" s="10"/>
      <c r="V498" s="2"/>
      <c r="X498" s="13"/>
      <c r="Y498" s="3"/>
      <c r="Z498" s="3"/>
      <c r="AA498" s="12"/>
      <c r="AB498" s="10"/>
      <c r="AC498" s="10"/>
      <c r="AD498" s="10"/>
      <c r="AE498" s="10"/>
      <c r="AI498" s="35"/>
      <c r="AJ498"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98" s="19" t="str">
        <f>IFERROR(IF(OR(TRIM(Table24[[#This Row],[DOB]])="",TRIM(Table24[[#This Row],[Date of Call]])=""),"Cannot be calculated",DATEDIF(Table24[[#This Row],[DOB]],Table24[[#This Row],[Date of Call]],"Y")),"Cannot be calculated")</f>
        <v>Cannot be calculated</v>
      </c>
      <c r="AL498"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98" s="19">
        <f>IFERROR(DATEDIF(Table24[[#This Row],[Date of Call]],Table24[[#This Row],[Follow-up Date]],"D"),"Cannot be calculated")</f>
        <v>0</v>
      </c>
      <c r="AN498" s="19" t="str">
        <f>IF(OR(Table24[[#This Row],[Client Age]]&lt;18,Table24[[#This Row],[If client DOB unknown, is client under 18?]]="Yes"),"Yes","No")</f>
        <v>No</v>
      </c>
      <c r="AO498" s="13" t="str">
        <f>IF(Table24[[#This Row],[Time of Inital Call]]="","",IFERROR(MROUND(Table24[[#This Row],[Time of Inital Call]],"1:00"),""))</f>
        <v/>
      </c>
      <c r="AP498" s="19" t="str">
        <f>IF(Table24[[#This Row],[Date of Call]]="","",TEXT(Table24[[#This Row],[Date of Call]],"dddd"))</f>
        <v/>
      </c>
      <c r="AQ498" s="19" t="str">
        <f>IFERROR(VLOOKUP(Table24[[#This Row],[Residence Zip Code]],Table27[],3,FALSE),"")</f>
        <v/>
      </c>
    </row>
    <row r="499" spans="1:43" x14ac:dyDescent="0.25">
      <c r="A499" s="10"/>
      <c r="C499" s="10"/>
      <c r="D499" s="11"/>
      <c r="E499" s="12"/>
      <c r="F499" s="12"/>
      <c r="G499" s="12"/>
      <c r="H499" s="10"/>
      <c r="I499" s="12"/>
      <c r="J499" s="12"/>
      <c r="K499" s="12"/>
      <c r="L499" s="12"/>
      <c r="M499" s="16"/>
      <c r="N499" s="18"/>
      <c r="O499" s="13"/>
      <c r="P499" s="13"/>
      <c r="Q499" s="13"/>
      <c r="R499" s="18"/>
      <c r="S499" s="13"/>
      <c r="T499" s="13"/>
      <c r="U499" s="10"/>
      <c r="V499" s="2"/>
      <c r="X499" s="13"/>
      <c r="Y499" s="3"/>
      <c r="Z499" s="3"/>
      <c r="AA499" s="12"/>
      <c r="AB499" s="10"/>
      <c r="AC499" s="10"/>
      <c r="AD499" s="10"/>
      <c r="AE499" s="10"/>
      <c r="AI499" s="35"/>
      <c r="AJ499"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499" s="19" t="str">
        <f>IFERROR(IF(OR(TRIM(Table24[[#This Row],[DOB]])="",TRIM(Table24[[#This Row],[Date of Call]])=""),"Cannot be calculated",DATEDIF(Table24[[#This Row],[DOB]],Table24[[#This Row],[Date of Call]],"Y")),"Cannot be calculated")</f>
        <v>Cannot be calculated</v>
      </c>
      <c r="AL499"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499" s="19">
        <f>IFERROR(DATEDIF(Table24[[#This Row],[Date of Call]],Table24[[#This Row],[Follow-up Date]],"D"),"Cannot be calculated")</f>
        <v>0</v>
      </c>
      <c r="AN499" s="19" t="str">
        <f>IF(OR(Table24[[#This Row],[Client Age]]&lt;18,Table24[[#This Row],[If client DOB unknown, is client under 18?]]="Yes"),"Yes","No")</f>
        <v>No</v>
      </c>
      <c r="AO499" s="13" t="str">
        <f>IF(Table24[[#This Row],[Time of Inital Call]]="","",IFERROR(MROUND(Table24[[#This Row],[Time of Inital Call]],"1:00"),""))</f>
        <v/>
      </c>
      <c r="AP499" s="19" t="str">
        <f>IF(Table24[[#This Row],[Date of Call]]="","",TEXT(Table24[[#This Row],[Date of Call]],"dddd"))</f>
        <v/>
      </c>
      <c r="AQ499" s="19" t="str">
        <f>IFERROR(VLOOKUP(Table24[[#This Row],[Residence Zip Code]],Table27[],3,FALSE),"")</f>
        <v/>
      </c>
    </row>
    <row r="500" spans="1:43" x14ac:dyDescent="0.25">
      <c r="A500" s="10"/>
      <c r="C500" s="10"/>
      <c r="D500" s="11"/>
      <c r="E500" s="12"/>
      <c r="F500" s="12"/>
      <c r="G500" s="12"/>
      <c r="H500" s="10"/>
      <c r="I500" s="12"/>
      <c r="J500" s="12"/>
      <c r="K500" s="12"/>
      <c r="L500" s="12"/>
      <c r="M500" s="16"/>
      <c r="N500" s="18"/>
      <c r="O500" s="13"/>
      <c r="P500" s="13"/>
      <c r="Q500" s="13"/>
      <c r="R500" s="18"/>
      <c r="S500" s="13"/>
      <c r="T500" s="13"/>
      <c r="U500" s="10"/>
      <c r="V500" s="2"/>
      <c r="X500" s="13"/>
      <c r="Y500" s="3"/>
      <c r="Z500" s="3"/>
      <c r="AA500" s="12"/>
      <c r="AB500" s="10"/>
      <c r="AC500" s="10"/>
      <c r="AD500" s="10"/>
      <c r="AE500" s="10"/>
      <c r="AI500" s="35"/>
      <c r="AJ500"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500" s="19" t="str">
        <f>IFERROR(IF(OR(TRIM(Table24[[#This Row],[DOB]])="",TRIM(Table24[[#This Row],[Date of Call]])=""),"Cannot be calculated",DATEDIF(Table24[[#This Row],[DOB]],Table24[[#This Row],[Date of Call]],"Y")),"Cannot be calculated")</f>
        <v>Cannot be calculated</v>
      </c>
      <c r="AL500"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500" s="19">
        <f>IFERROR(DATEDIF(Table24[[#This Row],[Date of Call]],Table24[[#This Row],[Follow-up Date]],"D"),"Cannot be calculated")</f>
        <v>0</v>
      </c>
      <c r="AN500" s="19" t="str">
        <f>IF(OR(Table24[[#This Row],[Client Age]]&lt;18,Table24[[#This Row],[If client DOB unknown, is client under 18?]]="Yes"),"Yes","No")</f>
        <v>No</v>
      </c>
      <c r="AO500" s="13" t="str">
        <f>IF(Table24[[#This Row],[Time of Inital Call]]="","",IFERROR(MROUND(Table24[[#This Row],[Time of Inital Call]],"1:00"),""))</f>
        <v/>
      </c>
      <c r="AP500" s="19" t="str">
        <f>IF(Table24[[#This Row],[Date of Call]]="","",TEXT(Table24[[#This Row],[Date of Call]],"dddd"))</f>
        <v/>
      </c>
      <c r="AQ500" s="19" t="str">
        <f>IFERROR(VLOOKUP(Table24[[#This Row],[Residence Zip Code]],Table27[],3,FALSE),"")</f>
        <v/>
      </c>
    </row>
    <row r="501" spans="1:43" x14ac:dyDescent="0.25">
      <c r="A501" s="10"/>
      <c r="C501" s="10"/>
      <c r="D501" s="11"/>
      <c r="E501" s="12"/>
      <c r="F501" s="12"/>
      <c r="G501" s="12"/>
      <c r="H501" s="10"/>
      <c r="I501" s="12"/>
      <c r="J501" s="12"/>
      <c r="K501" s="12"/>
      <c r="L501" s="12"/>
      <c r="M501" s="16"/>
      <c r="N501" s="18"/>
      <c r="O501" s="13"/>
      <c r="P501" s="13"/>
      <c r="Q501" s="13"/>
      <c r="R501" s="18"/>
      <c r="S501" s="13"/>
      <c r="T501" s="13"/>
      <c r="U501" s="10"/>
      <c r="V501" s="2"/>
      <c r="X501" s="13"/>
      <c r="Y501" s="3"/>
      <c r="Z501" s="3"/>
      <c r="AA501" s="12"/>
      <c r="AB501" s="10"/>
      <c r="AC501" s="10"/>
      <c r="AD501" s="10"/>
      <c r="AE501" s="10"/>
      <c r="AI501" s="35"/>
      <c r="AJ501"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501" s="19" t="str">
        <f>IFERROR(IF(OR(TRIM(Table24[[#This Row],[DOB]])="",TRIM(Table24[[#This Row],[Date of Call]])=""),"Cannot be calculated",DATEDIF(Table24[[#This Row],[DOB]],Table24[[#This Row],[Date of Call]],"Y")),"Cannot be calculated")</f>
        <v>Cannot be calculated</v>
      </c>
      <c r="AL501"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501" s="19">
        <f>IFERROR(DATEDIF(Table24[[#This Row],[Date of Call]],Table24[[#This Row],[Follow-up Date]],"D"),"Cannot be calculated")</f>
        <v>0</v>
      </c>
      <c r="AN501" s="19" t="str">
        <f>IF(OR(Table24[[#This Row],[Client Age]]&lt;18,Table24[[#This Row],[If client DOB unknown, is client under 18?]]="Yes"),"Yes","No")</f>
        <v>No</v>
      </c>
      <c r="AO501" s="13" t="str">
        <f>IF(Table24[[#This Row],[Time of Inital Call]]="","",IFERROR(MROUND(Table24[[#This Row],[Time of Inital Call]],"1:00"),""))</f>
        <v/>
      </c>
      <c r="AP501" s="19" t="str">
        <f>IF(Table24[[#This Row],[Date of Call]]="","",TEXT(Table24[[#This Row],[Date of Call]],"dddd"))</f>
        <v/>
      </c>
      <c r="AQ501" s="19" t="str">
        <f>IFERROR(VLOOKUP(Table24[[#This Row],[Residence Zip Code]],Table27[],3,FALSE),"")</f>
        <v/>
      </c>
    </row>
    <row r="502" spans="1:43" x14ac:dyDescent="0.25">
      <c r="A502" s="10"/>
      <c r="C502" s="10"/>
      <c r="D502" s="11"/>
      <c r="E502" s="12"/>
      <c r="F502" s="12"/>
      <c r="G502" s="12"/>
      <c r="H502" s="10"/>
      <c r="I502" s="12"/>
      <c r="J502" s="12"/>
      <c r="K502" s="12"/>
      <c r="L502" s="12"/>
      <c r="M502" s="16"/>
      <c r="N502" s="18"/>
      <c r="O502" s="13"/>
      <c r="P502" s="13"/>
      <c r="Q502" s="13"/>
      <c r="R502" s="18"/>
      <c r="S502" s="13"/>
      <c r="T502" s="13"/>
      <c r="U502" s="10"/>
      <c r="V502" s="2"/>
      <c r="X502" s="13"/>
      <c r="Y502" s="3"/>
      <c r="Z502" s="3"/>
      <c r="AA502" s="12"/>
      <c r="AB502" s="10"/>
      <c r="AC502" s="10"/>
      <c r="AD502" s="10"/>
      <c r="AE502" s="10"/>
      <c r="AI502" s="35"/>
      <c r="AJ502"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502" s="19" t="str">
        <f>IFERROR(IF(OR(TRIM(Table24[[#This Row],[DOB]])="",TRIM(Table24[[#This Row],[Date of Call]])=""),"Cannot be calculated",DATEDIF(Table24[[#This Row],[DOB]],Table24[[#This Row],[Date of Call]],"Y")),"Cannot be calculated")</f>
        <v>Cannot be calculated</v>
      </c>
      <c r="AL502"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502" s="19">
        <f>IFERROR(DATEDIF(Table24[[#This Row],[Date of Call]],Table24[[#This Row],[Follow-up Date]],"D"),"Cannot be calculated")</f>
        <v>0</v>
      </c>
      <c r="AN502" s="19" t="str">
        <f>IF(OR(Table24[[#This Row],[Client Age]]&lt;18,Table24[[#This Row],[If client DOB unknown, is client under 18?]]="Yes"),"Yes","No")</f>
        <v>No</v>
      </c>
      <c r="AO502" s="13" t="str">
        <f>IF(Table24[[#This Row],[Time of Inital Call]]="","",IFERROR(MROUND(Table24[[#This Row],[Time of Inital Call]],"1:00"),""))</f>
        <v/>
      </c>
      <c r="AP502" s="19" t="str">
        <f>IF(Table24[[#This Row],[Date of Call]]="","",TEXT(Table24[[#This Row],[Date of Call]],"dddd"))</f>
        <v/>
      </c>
      <c r="AQ502" s="19" t="str">
        <f>IFERROR(VLOOKUP(Table24[[#This Row],[Residence Zip Code]],Table27[],3,FALSE),"")</f>
        <v/>
      </c>
    </row>
    <row r="503" spans="1:43" x14ac:dyDescent="0.25">
      <c r="A503" s="10"/>
      <c r="C503" s="10"/>
      <c r="D503" s="11"/>
      <c r="E503" s="12"/>
      <c r="F503" s="12"/>
      <c r="G503" s="12"/>
      <c r="H503" s="10"/>
      <c r="I503" s="12"/>
      <c r="J503" s="12"/>
      <c r="K503" s="12"/>
      <c r="L503" s="12"/>
      <c r="M503" s="16"/>
      <c r="N503" s="18"/>
      <c r="O503" s="13"/>
      <c r="P503" s="13"/>
      <c r="Q503" s="13"/>
      <c r="R503" s="18"/>
      <c r="S503" s="13"/>
      <c r="T503" s="13"/>
      <c r="U503" s="10"/>
      <c r="V503" s="2"/>
      <c r="X503" s="13"/>
      <c r="Y503" s="3"/>
      <c r="Z503" s="3"/>
      <c r="AA503" s="12"/>
      <c r="AB503" s="10"/>
      <c r="AC503" s="10"/>
      <c r="AD503" s="10"/>
      <c r="AE503" s="10"/>
      <c r="AI503" s="35"/>
      <c r="AJ503"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503" s="19" t="str">
        <f>IFERROR(IF(OR(TRIM(Table24[[#This Row],[DOB]])="",TRIM(Table24[[#This Row],[Date of Call]])=""),"Cannot be calculated",DATEDIF(Table24[[#This Row],[DOB]],Table24[[#This Row],[Date of Call]],"Y")),"Cannot be calculated")</f>
        <v>Cannot be calculated</v>
      </c>
      <c r="AL503"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503" s="19">
        <f>IFERROR(DATEDIF(Table24[[#This Row],[Date of Call]],Table24[[#This Row],[Follow-up Date]],"D"),"Cannot be calculated")</f>
        <v>0</v>
      </c>
      <c r="AN503" s="19" t="str">
        <f>IF(OR(Table24[[#This Row],[Client Age]]&lt;18,Table24[[#This Row],[If client DOB unknown, is client under 18?]]="Yes"),"Yes","No")</f>
        <v>No</v>
      </c>
      <c r="AO503" s="13" t="str">
        <f>IF(Table24[[#This Row],[Time of Inital Call]]="","",IFERROR(MROUND(Table24[[#This Row],[Time of Inital Call]],"1:00"),""))</f>
        <v/>
      </c>
      <c r="AP503" s="19" t="str">
        <f>IF(Table24[[#This Row],[Date of Call]]="","",TEXT(Table24[[#This Row],[Date of Call]],"dddd"))</f>
        <v/>
      </c>
      <c r="AQ503" s="19" t="str">
        <f>IFERROR(VLOOKUP(Table24[[#This Row],[Residence Zip Code]],Table27[],3,FALSE),"")</f>
        <v/>
      </c>
    </row>
    <row r="504" spans="1:43" x14ac:dyDescent="0.25">
      <c r="A504" s="10"/>
      <c r="C504" s="10"/>
      <c r="D504" s="11"/>
      <c r="E504" s="12"/>
      <c r="F504" s="12"/>
      <c r="G504" s="12"/>
      <c r="H504" s="10"/>
      <c r="I504" s="12"/>
      <c r="J504" s="12"/>
      <c r="K504" s="12"/>
      <c r="L504" s="12"/>
      <c r="M504" s="16"/>
      <c r="N504" s="18"/>
      <c r="O504" s="13"/>
      <c r="P504" s="13"/>
      <c r="Q504" s="13"/>
      <c r="R504" s="18"/>
      <c r="S504" s="13"/>
      <c r="T504" s="13"/>
      <c r="U504" s="10"/>
      <c r="V504" s="2"/>
      <c r="X504" s="13"/>
      <c r="Y504" s="3"/>
      <c r="Z504" s="3"/>
      <c r="AA504" s="12"/>
      <c r="AB504" s="10"/>
      <c r="AC504" s="10"/>
      <c r="AD504" s="10"/>
      <c r="AE504" s="10"/>
      <c r="AI504" s="35"/>
      <c r="AJ504"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504" s="19" t="str">
        <f>IFERROR(IF(OR(TRIM(Table24[[#This Row],[DOB]])="",TRIM(Table24[[#This Row],[Date of Call]])=""),"Cannot be calculated",DATEDIF(Table24[[#This Row],[DOB]],Table24[[#This Row],[Date of Call]],"Y")),"Cannot be calculated")</f>
        <v>Cannot be calculated</v>
      </c>
      <c r="AL504"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504" s="19">
        <f>IFERROR(DATEDIF(Table24[[#This Row],[Date of Call]],Table24[[#This Row],[Follow-up Date]],"D"),"Cannot be calculated")</f>
        <v>0</v>
      </c>
      <c r="AN504" s="19" t="str">
        <f>IF(OR(Table24[[#This Row],[Client Age]]&lt;18,Table24[[#This Row],[If client DOB unknown, is client under 18?]]="Yes"),"Yes","No")</f>
        <v>No</v>
      </c>
      <c r="AO504" s="13" t="str">
        <f>IF(Table24[[#This Row],[Time of Inital Call]]="","",IFERROR(MROUND(Table24[[#This Row],[Time of Inital Call]],"1:00"),""))</f>
        <v/>
      </c>
      <c r="AP504" s="19" t="str">
        <f>IF(Table24[[#This Row],[Date of Call]]="","",TEXT(Table24[[#This Row],[Date of Call]],"dddd"))</f>
        <v/>
      </c>
      <c r="AQ504" s="19" t="str">
        <f>IFERROR(VLOOKUP(Table24[[#This Row],[Residence Zip Code]],Table27[],3,FALSE),"")</f>
        <v/>
      </c>
    </row>
    <row r="505" spans="1:43" x14ac:dyDescent="0.25">
      <c r="A505" s="10"/>
      <c r="C505" s="10"/>
      <c r="D505" s="11"/>
      <c r="E505" s="12"/>
      <c r="F505" s="12"/>
      <c r="G505" s="12"/>
      <c r="H505" s="10"/>
      <c r="I505" s="12"/>
      <c r="J505" s="12"/>
      <c r="K505" s="12"/>
      <c r="L505" s="12"/>
      <c r="M505" s="16"/>
      <c r="N505" s="18"/>
      <c r="O505" s="13"/>
      <c r="P505" s="13"/>
      <c r="Q505" s="13"/>
      <c r="R505" s="18"/>
      <c r="S505" s="13"/>
      <c r="T505" s="13"/>
      <c r="U505" s="10"/>
      <c r="V505" s="2"/>
      <c r="X505" s="13"/>
      <c r="Y505" s="3"/>
      <c r="Z505" s="3"/>
      <c r="AA505" s="12"/>
      <c r="AB505" s="10"/>
      <c r="AC505" s="10"/>
      <c r="AD505" s="10"/>
      <c r="AE505" s="10"/>
      <c r="AI505" s="35"/>
      <c r="AJ505"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505" s="19" t="str">
        <f>IFERROR(IF(OR(TRIM(Table24[[#This Row],[DOB]])="",TRIM(Table24[[#This Row],[Date of Call]])=""),"Cannot be calculated",DATEDIF(Table24[[#This Row],[DOB]],Table24[[#This Row],[Date of Call]],"Y")),"Cannot be calculated")</f>
        <v>Cannot be calculated</v>
      </c>
      <c r="AL505"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505" s="19">
        <f>IFERROR(DATEDIF(Table24[[#This Row],[Date of Call]],Table24[[#This Row],[Follow-up Date]],"D"),"Cannot be calculated")</f>
        <v>0</v>
      </c>
      <c r="AN505" s="19" t="str">
        <f>IF(OR(Table24[[#This Row],[Client Age]]&lt;18,Table24[[#This Row],[If client DOB unknown, is client under 18?]]="Yes"),"Yes","No")</f>
        <v>No</v>
      </c>
      <c r="AO505" s="13" t="str">
        <f>IF(Table24[[#This Row],[Time of Inital Call]]="","",IFERROR(MROUND(Table24[[#This Row],[Time of Inital Call]],"1:00"),""))</f>
        <v/>
      </c>
      <c r="AP505" s="19" t="str">
        <f>IF(Table24[[#This Row],[Date of Call]]="","",TEXT(Table24[[#This Row],[Date of Call]],"dddd"))</f>
        <v/>
      </c>
      <c r="AQ505" s="19" t="str">
        <f>IFERROR(VLOOKUP(Table24[[#This Row],[Residence Zip Code]],Table27[],3,FALSE),"")</f>
        <v/>
      </c>
    </row>
    <row r="506" spans="1:43" x14ac:dyDescent="0.25">
      <c r="A506" s="10"/>
      <c r="C506" s="10"/>
      <c r="D506" s="11"/>
      <c r="E506" s="12"/>
      <c r="F506" s="12"/>
      <c r="G506" s="12"/>
      <c r="H506" s="10"/>
      <c r="I506" s="12"/>
      <c r="J506" s="12"/>
      <c r="K506" s="12"/>
      <c r="L506" s="12"/>
      <c r="M506" s="16"/>
      <c r="N506" s="18"/>
      <c r="O506" s="13"/>
      <c r="P506" s="13"/>
      <c r="Q506" s="13"/>
      <c r="R506" s="18"/>
      <c r="S506" s="13"/>
      <c r="T506" s="13"/>
      <c r="U506" s="10"/>
      <c r="V506" s="2"/>
      <c r="X506" s="13"/>
      <c r="Y506" s="3"/>
      <c r="Z506" s="3"/>
      <c r="AA506" s="12"/>
      <c r="AB506" s="10"/>
      <c r="AC506" s="10"/>
      <c r="AD506" s="10"/>
      <c r="AE506" s="10"/>
      <c r="AI506" s="35"/>
      <c r="AJ506"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506" s="19" t="str">
        <f>IFERROR(IF(OR(TRIM(Table24[[#This Row],[DOB]])="",TRIM(Table24[[#This Row],[Date of Call]])=""),"Cannot be calculated",DATEDIF(Table24[[#This Row],[DOB]],Table24[[#This Row],[Date of Call]],"Y")),"Cannot be calculated")</f>
        <v>Cannot be calculated</v>
      </c>
      <c r="AL506"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506" s="19">
        <f>IFERROR(DATEDIF(Table24[[#This Row],[Date of Call]],Table24[[#This Row],[Follow-up Date]],"D"),"Cannot be calculated")</f>
        <v>0</v>
      </c>
      <c r="AN506" s="19" t="str">
        <f>IF(OR(Table24[[#This Row],[Client Age]]&lt;18,Table24[[#This Row],[If client DOB unknown, is client under 18?]]="Yes"),"Yes","No")</f>
        <v>No</v>
      </c>
      <c r="AO506" s="13" t="str">
        <f>IF(Table24[[#This Row],[Time of Inital Call]]="","",IFERROR(MROUND(Table24[[#This Row],[Time of Inital Call]],"1:00"),""))</f>
        <v/>
      </c>
      <c r="AP506" s="19" t="str">
        <f>IF(Table24[[#This Row],[Date of Call]]="","",TEXT(Table24[[#This Row],[Date of Call]],"dddd"))</f>
        <v/>
      </c>
      <c r="AQ506" s="19" t="str">
        <f>IFERROR(VLOOKUP(Table24[[#This Row],[Residence Zip Code]],Table27[],3,FALSE),"")</f>
        <v/>
      </c>
    </row>
    <row r="507" spans="1:43" x14ac:dyDescent="0.25">
      <c r="A507" s="10"/>
      <c r="C507" s="10"/>
      <c r="D507" s="11"/>
      <c r="E507" s="12"/>
      <c r="F507" s="12"/>
      <c r="G507" s="12"/>
      <c r="H507" s="10"/>
      <c r="I507" s="12"/>
      <c r="J507" s="12"/>
      <c r="K507" s="12"/>
      <c r="L507" s="12"/>
      <c r="M507" s="16"/>
      <c r="N507" s="18"/>
      <c r="O507" s="13"/>
      <c r="P507" s="13"/>
      <c r="Q507" s="13"/>
      <c r="R507" s="18"/>
      <c r="S507" s="13"/>
      <c r="T507" s="13"/>
      <c r="U507" s="10"/>
      <c r="V507" s="2"/>
      <c r="X507" s="13"/>
      <c r="Y507" s="3"/>
      <c r="Z507" s="3"/>
      <c r="AA507" s="12"/>
      <c r="AB507" s="10"/>
      <c r="AC507" s="10"/>
      <c r="AD507" s="10"/>
      <c r="AE507" s="10"/>
      <c r="AI507" s="35"/>
      <c r="AJ507"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507" s="19" t="str">
        <f>IFERROR(IF(OR(TRIM(Table24[[#This Row],[DOB]])="",TRIM(Table24[[#This Row],[Date of Call]])=""),"Cannot be calculated",DATEDIF(Table24[[#This Row],[DOB]],Table24[[#This Row],[Date of Call]],"Y")),"Cannot be calculated")</f>
        <v>Cannot be calculated</v>
      </c>
      <c r="AL507"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507" s="19">
        <f>IFERROR(DATEDIF(Table24[[#This Row],[Date of Call]],Table24[[#This Row],[Follow-up Date]],"D"),"Cannot be calculated")</f>
        <v>0</v>
      </c>
      <c r="AN507" s="19" t="str">
        <f>IF(OR(Table24[[#This Row],[Client Age]]&lt;18,Table24[[#This Row],[If client DOB unknown, is client under 18?]]="Yes"),"Yes","No")</f>
        <v>No</v>
      </c>
      <c r="AO507" s="13" t="str">
        <f>IF(Table24[[#This Row],[Time of Inital Call]]="","",IFERROR(MROUND(Table24[[#This Row],[Time of Inital Call]],"1:00"),""))</f>
        <v/>
      </c>
      <c r="AP507" s="19" t="str">
        <f>IF(Table24[[#This Row],[Date of Call]]="","",TEXT(Table24[[#This Row],[Date of Call]],"dddd"))</f>
        <v/>
      </c>
      <c r="AQ507" s="19" t="str">
        <f>IFERROR(VLOOKUP(Table24[[#This Row],[Residence Zip Code]],Table27[],3,FALSE),"")</f>
        <v/>
      </c>
    </row>
    <row r="508" spans="1:43" x14ac:dyDescent="0.25">
      <c r="A508" s="10"/>
      <c r="C508" s="10"/>
      <c r="D508" s="11"/>
      <c r="E508" s="12"/>
      <c r="F508" s="12"/>
      <c r="G508" s="12"/>
      <c r="H508" s="10"/>
      <c r="I508" s="12"/>
      <c r="J508" s="12"/>
      <c r="K508" s="12"/>
      <c r="L508" s="12"/>
      <c r="M508" s="16"/>
      <c r="N508" s="18"/>
      <c r="O508" s="13"/>
      <c r="P508" s="13"/>
      <c r="Q508" s="13"/>
      <c r="R508" s="18"/>
      <c r="S508" s="13"/>
      <c r="T508" s="13"/>
      <c r="U508" s="10"/>
      <c r="V508" s="2"/>
      <c r="X508" s="13"/>
      <c r="Y508" s="3"/>
      <c r="Z508" s="3"/>
      <c r="AA508" s="12"/>
      <c r="AB508" s="10"/>
      <c r="AC508" s="10"/>
      <c r="AD508" s="10"/>
      <c r="AE508" s="10"/>
      <c r="AI508" s="35"/>
      <c r="AJ508"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508" s="19" t="str">
        <f>IFERROR(IF(OR(TRIM(Table24[[#This Row],[DOB]])="",TRIM(Table24[[#This Row],[Date of Call]])=""),"Cannot be calculated",DATEDIF(Table24[[#This Row],[DOB]],Table24[[#This Row],[Date of Call]],"Y")),"Cannot be calculated")</f>
        <v>Cannot be calculated</v>
      </c>
      <c r="AL508"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508" s="19">
        <f>IFERROR(DATEDIF(Table24[[#This Row],[Date of Call]],Table24[[#This Row],[Follow-up Date]],"D"),"Cannot be calculated")</f>
        <v>0</v>
      </c>
      <c r="AN508" s="19" t="str">
        <f>IF(OR(Table24[[#This Row],[Client Age]]&lt;18,Table24[[#This Row],[If client DOB unknown, is client under 18?]]="Yes"),"Yes","No")</f>
        <v>No</v>
      </c>
      <c r="AO508" s="13" t="str">
        <f>IF(Table24[[#This Row],[Time of Inital Call]]="","",IFERROR(MROUND(Table24[[#This Row],[Time of Inital Call]],"1:00"),""))</f>
        <v/>
      </c>
      <c r="AP508" s="19" t="str">
        <f>IF(Table24[[#This Row],[Date of Call]]="","",TEXT(Table24[[#This Row],[Date of Call]],"dddd"))</f>
        <v/>
      </c>
      <c r="AQ508" s="19" t="str">
        <f>IFERROR(VLOOKUP(Table24[[#This Row],[Residence Zip Code]],Table27[],3,FALSE),"")</f>
        <v/>
      </c>
    </row>
    <row r="509" spans="1:43" x14ac:dyDescent="0.25">
      <c r="A509" s="10"/>
      <c r="C509" s="10"/>
      <c r="D509" s="11"/>
      <c r="E509" s="12"/>
      <c r="F509" s="12"/>
      <c r="G509" s="12"/>
      <c r="H509" s="10"/>
      <c r="I509" s="12"/>
      <c r="J509" s="12"/>
      <c r="K509" s="12"/>
      <c r="L509" s="12"/>
      <c r="M509" s="16"/>
      <c r="N509" s="18"/>
      <c r="O509" s="13"/>
      <c r="P509" s="13"/>
      <c r="Q509" s="13"/>
      <c r="R509" s="18"/>
      <c r="S509" s="13"/>
      <c r="T509" s="13"/>
      <c r="U509" s="10"/>
      <c r="V509" s="2"/>
      <c r="X509" s="13"/>
      <c r="Y509" s="3"/>
      <c r="Z509" s="3"/>
      <c r="AA509" s="12"/>
      <c r="AB509" s="10"/>
      <c r="AC509" s="10"/>
      <c r="AD509" s="10"/>
      <c r="AE509" s="10"/>
      <c r="AI509" s="35"/>
      <c r="AJ509"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509" s="19" t="str">
        <f>IFERROR(IF(OR(TRIM(Table24[[#This Row],[DOB]])="",TRIM(Table24[[#This Row],[Date of Call]])=""),"Cannot be calculated",DATEDIF(Table24[[#This Row],[DOB]],Table24[[#This Row],[Date of Call]],"Y")),"Cannot be calculated")</f>
        <v>Cannot be calculated</v>
      </c>
      <c r="AL509"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509" s="19">
        <f>IFERROR(DATEDIF(Table24[[#This Row],[Date of Call]],Table24[[#This Row],[Follow-up Date]],"D"),"Cannot be calculated")</f>
        <v>0</v>
      </c>
      <c r="AN509" s="19" t="str">
        <f>IF(OR(Table24[[#This Row],[Client Age]]&lt;18,Table24[[#This Row],[If client DOB unknown, is client under 18?]]="Yes"),"Yes","No")</f>
        <v>No</v>
      </c>
      <c r="AO509" s="13" t="str">
        <f>IF(Table24[[#This Row],[Time of Inital Call]]="","",IFERROR(MROUND(Table24[[#This Row],[Time of Inital Call]],"1:00"),""))</f>
        <v/>
      </c>
      <c r="AP509" s="19" t="str">
        <f>IF(Table24[[#This Row],[Date of Call]]="","",TEXT(Table24[[#This Row],[Date of Call]],"dddd"))</f>
        <v/>
      </c>
      <c r="AQ509" s="19" t="str">
        <f>IFERROR(VLOOKUP(Table24[[#This Row],[Residence Zip Code]],Table27[],3,FALSE),"")</f>
        <v/>
      </c>
    </row>
    <row r="510" spans="1:43" x14ac:dyDescent="0.25">
      <c r="A510" s="10"/>
      <c r="C510" s="10"/>
      <c r="D510" s="11"/>
      <c r="E510" s="12"/>
      <c r="F510" s="12"/>
      <c r="G510" s="12"/>
      <c r="H510" s="10"/>
      <c r="I510" s="12"/>
      <c r="J510" s="12"/>
      <c r="K510" s="12"/>
      <c r="L510" s="12"/>
      <c r="M510" s="16"/>
      <c r="N510" s="18"/>
      <c r="O510" s="13"/>
      <c r="P510" s="13"/>
      <c r="Q510" s="13"/>
      <c r="R510" s="18"/>
      <c r="S510" s="13"/>
      <c r="T510" s="13"/>
      <c r="U510" s="10"/>
      <c r="V510" s="2"/>
      <c r="X510" s="13"/>
      <c r="Y510" s="3"/>
      <c r="Z510" s="3"/>
      <c r="AA510" s="12"/>
      <c r="AB510" s="10"/>
      <c r="AC510" s="10"/>
      <c r="AD510" s="10"/>
      <c r="AE510" s="10"/>
      <c r="AI510" s="35"/>
      <c r="AJ510"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510" s="19" t="str">
        <f>IFERROR(IF(OR(TRIM(Table24[[#This Row],[DOB]])="",TRIM(Table24[[#This Row],[Date of Call]])=""),"Cannot be calculated",DATEDIF(Table24[[#This Row],[DOB]],Table24[[#This Row],[Date of Call]],"Y")),"Cannot be calculated")</f>
        <v>Cannot be calculated</v>
      </c>
      <c r="AL510"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510" s="19">
        <f>IFERROR(DATEDIF(Table24[[#This Row],[Date of Call]],Table24[[#This Row],[Follow-up Date]],"D"),"Cannot be calculated")</f>
        <v>0</v>
      </c>
      <c r="AN510" s="19" t="str">
        <f>IF(OR(Table24[[#This Row],[Client Age]]&lt;18,Table24[[#This Row],[If client DOB unknown, is client under 18?]]="Yes"),"Yes","No")</f>
        <v>No</v>
      </c>
      <c r="AO510" s="13" t="str">
        <f>IF(Table24[[#This Row],[Time of Inital Call]]="","",IFERROR(MROUND(Table24[[#This Row],[Time of Inital Call]],"1:00"),""))</f>
        <v/>
      </c>
      <c r="AP510" s="19" t="str">
        <f>IF(Table24[[#This Row],[Date of Call]]="","",TEXT(Table24[[#This Row],[Date of Call]],"dddd"))</f>
        <v/>
      </c>
      <c r="AQ510" s="19" t="str">
        <f>IFERROR(VLOOKUP(Table24[[#This Row],[Residence Zip Code]],Table27[],3,FALSE),"")</f>
        <v/>
      </c>
    </row>
    <row r="511" spans="1:43" x14ac:dyDescent="0.25">
      <c r="A511" s="10"/>
      <c r="C511" s="10"/>
      <c r="D511" s="11"/>
      <c r="E511" s="12"/>
      <c r="F511" s="12"/>
      <c r="G511" s="12"/>
      <c r="H511" s="10"/>
      <c r="I511" s="12"/>
      <c r="J511" s="12"/>
      <c r="K511" s="12"/>
      <c r="L511" s="12"/>
      <c r="M511" s="16"/>
      <c r="N511" s="18"/>
      <c r="O511" s="13"/>
      <c r="P511" s="13"/>
      <c r="Q511" s="13"/>
      <c r="R511" s="18"/>
      <c r="S511" s="13"/>
      <c r="T511" s="13"/>
      <c r="U511" s="10"/>
      <c r="V511" s="2"/>
      <c r="X511" s="13"/>
      <c r="Y511" s="3"/>
      <c r="Z511" s="3"/>
      <c r="AA511" s="12"/>
      <c r="AB511" s="10"/>
      <c r="AC511" s="10"/>
      <c r="AD511" s="10"/>
      <c r="AE511" s="10"/>
      <c r="AI511" s="35"/>
      <c r="AJ511"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511" s="19" t="str">
        <f>IFERROR(IF(OR(TRIM(Table24[[#This Row],[DOB]])="",TRIM(Table24[[#This Row],[Date of Call]])=""),"Cannot be calculated",DATEDIF(Table24[[#This Row],[DOB]],Table24[[#This Row],[Date of Call]],"Y")),"Cannot be calculated")</f>
        <v>Cannot be calculated</v>
      </c>
      <c r="AL511"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511" s="19">
        <f>IFERROR(DATEDIF(Table24[[#This Row],[Date of Call]],Table24[[#This Row],[Follow-up Date]],"D"),"Cannot be calculated")</f>
        <v>0</v>
      </c>
      <c r="AN511" s="19" t="str">
        <f>IF(OR(Table24[[#This Row],[Client Age]]&lt;18,Table24[[#This Row],[If client DOB unknown, is client under 18?]]="Yes"),"Yes","No")</f>
        <v>No</v>
      </c>
      <c r="AO511" s="13" t="str">
        <f>IF(Table24[[#This Row],[Time of Inital Call]]="","",IFERROR(MROUND(Table24[[#This Row],[Time of Inital Call]],"1:00"),""))</f>
        <v/>
      </c>
      <c r="AP511" s="19" t="str">
        <f>IF(Table24[[#This Row],[Date of Call]]="","",TEXT(Table24[[#This Row],[Date of Call]],"dddd"))</f>
        <v/>
      </c>
      <c r="AQ511" s="19" t="str">
        <f>IFERROR(VLOOKUP(Table24[[#This Row],[Residence Zip Code]],Table27[],3,FALSE),"")</f>
        <v/>
      </c>
    </row>
    <row r="512" spans="1:43" x14ac:dyDescent="0.25">
      <c r="A512" s="10"/>
      <c r="C512" s="10"/>
      <c r="D512" s="11"/>
      <c r="E512" s="12"/>
      <c r="F512" s="12"/>
      <c r="G512" s="12"/>
      <c r="H512" s="10"/>
      <c r="I512" s="12"/>
      <c r="J512" s="12"/>
      <c r="K512" s="12"/>
      <c r="L512" s="12"/>
      <c r="M512" s="16"/>
      <c r="N512" s="18"/>
      <c r="O512" s="13"/>
      <c r="P512" s="13"/>
      <c r="Q512" s="13"/>
      <c r="R512" s="18"/>
      <c r="S512" s="13"/>
      <c r="T512" s="13"/>
      <c r="U512" s="10"/>
      <c r="V512" s="2"/>
      <c r="X512" s="13"/>
      <c r="Y512" s="3"/>
      <c r="Z512" s="3"/>
      <c r="AA512" s="12"/>
      <c r="AB512" s="10"/>
      <c r="AC512" s="10"/>
      <c r="AD512" s="10"/>
      <c r="AE512" s="10"/>
      <c r="AI512" s="35"/>
      <c r="AJ512"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512" s="19" t="str">
        <f>IFERROR(IF(OR(TRIM(Table24[[#This Row],[DOB]])="",TRIM(Table24[[#This Row],[Date of Call]])=""),"Cannot be calculated",DATEDIF(Table24[[#This Row],[DOB]],Table24[[#This Row],[Date of Call]],"Y")),"Cannot be calculated")</f>
        <v>Cannot be calculated</v>
      </c>
      <c r="AL512"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512" s="19">
        <f>IFERROR(DATEDIF(Table24[[#This Row],[Date of Call]],Table24[[#This Row],[Follow-up Date]],"D"),"Cannot be calculated")</f>
        <v>0</v>
      </c>
      <c r="AN512" s="19" t="str">
        <f>IF(OR(Table24[[#This Row],[Client Age]]&lt;18,Table24[[#This Row],[If client DOB unknown, is client under 18?]]="Yes"),"Yes","No")</f>
        <v>No</v>
      </c>
      <c r="AO512" s="13" t="str">
        <f>IF(Table24[[#This Row],[Time of Inital Call]]="","",IFERROR(MROUND(Table24[[#This Row],[Time of Inital Call]],"1:00"),""))</f>
        <v/>
      </c>
      <c r="AP512" s="19" t="str">
        <f>IF(Table24[[#This Row],[Date of Call]]="","",TEXT(Table24[[#This Row],[Date of Call]],"dddd"))</f>
        <v/>
      </c>
      <c r="AQ512" s="19" t="str">
        <f>IFERROR(VLOOKUP(Table24[[#This Row],[Residence Zip Code]],Table27[],3,FALSE),"")</f>
        <v/>
      </c>
    </row>
    <row r="513" spans="1:43" x14ac:dyDescent="0.25">
      <c r="A513" s="10"/>
      <c r="C513" s="10"/>
      <c r="D513" s="11"/>
      <c r="E513" s="12"/>
      <c r="F513" s="12"/>
      <c r="G513" s="12"/>
      <c r="H513" s="10"/>
      <c r="I513" s="12"/>
      <c r="J513" s="12"/>
      <c r="K513" s="12"/>
      <c r="L513" s="12"/>
      <c r="M513" s="16"/>
      <c r="N513" s="18"/>
      <c r="O513" s="13"/>
      <c r="P513" s="13"/>
      <c r="Q513" s="13"/>
      <c r="R513" s="18"/>
      <c r="S513" s="13"/>
      <c r="T513" s="13"/>
      <c r="U513" s="10"/>
      <c r="V513" s="2"/>
      <c r="X513" s="13"/>
      <c r="Y513" s="3"/>
      <c r="Z513" s="3"/>
      <c r="AA513" s="12"/>
      <c r="AB513" s="10"/>
      <c r="AC513" s="10"/>
      <c r="AD513" s="10"/>
      <c r="AE513" s="10"/>
      <c r="AI513" s="35"/>
      <c r="AJ513"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513" s="19" t="str">
        <f>IFERROR(IF(OR(TRIM(Table24[[#This Row],[DOB]])="",TRIM(Table24[[#This Row],[Date of Call]])=""),"Cannot be calculated",DATEDIF(Table24[[#This Row],[DOB]],Table24[[#This Row],[Date of Call]],"Y")),"Cannot be calculated")</f>
        <v>Cannot be calculated</v>
      </c>
      <c r="AL513"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513" s="19">
        <f>IFERROR(DATEDIF(Table24[[#This Row],[Date of Call]],Table24[[#This Row],[Follow-up Date]],"D"),"Cannot be calculated")</f>
        <v>0</v>
      </c>
      <c r="AN513" s="19" t="str">
        <f>IF(OR(Table24[[#This Row],[Client Age]]&lt;18,Table24[[#This Row],[If client DOB unknown, is client under 18?]]="Yes"),"Yes","No")</f>
        <v>No</v>
      </c>
      <c r="AO513" s="13" t="str">
        <f>IF(Table24[[#This Row],[Time of Inital Call]]="","",IFERROR(MROUND(Table24[[#This Row],[Time of Inital Call]],"1:00"),""))</f>
        <v/>
      </c>
      <c r="AP513" s="19" t="str">
        <f>IF(Table24[[#This Row],[Date of Call]]="","",TEXT(Table24[[#This Row],[Date of Call]],"dddd"))</f>
        <v/>
      </c>
      <c r="AQ513" s="19" t="str">
        <f>IFERROR(VLOOKUP(Table24[[#This Row],[Residence Zip Code]],Table27[],3,FALSE),"")</f>
        <v/>
      </c>
    </row>
    <row r="514" spans="1:43" x14ac:dyDescent="0.25">
      <c r="A514" s="10"/>
      <c r="C514" s="10"/>
      <c r="D514" s="11"/>
      <c r="E514" s="12"/>
      <c r="F514" s="12"/>
      <c r="G514" s="12"/>
      <c r="H514" s="10"/>
      <c r="I514" s="12"/>
      <c r="J514" s="12"/>
      <c r="K514" s="12"/>
      <c r="L514" s="12"/>
      <c r="M514" s="16"/>
      <c r="N514" s="18"/>
      <c r="O514" s="13"/>
      <c r="P514" s="13"/>
      <c r="Q514" s="13"/>
      <c r="R514" s="18"/>
      <c r="S514" s="13"/>
      <c r="T514" s="13"/>
      <c r="U514" s="10"/>
      <c r="V514" s="2"/>
      <c r="X514" s="13"/>
      <c r="Y514" s="3"/>
      <c r="Z514" s="3"/>
      <c r="AA514" s="12"/>
      <c r="AB514" s="10"/>
      <c r="AC514" s="10"/>
      <c r="AD514" s="10"/>
      <c r="AE514" s="10"/>
      <c r="AI514" s="35"/>
      <c r="AJ514"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514" s="19" t="str">
        <f>IFERROR(IF(OR(TRIM(Table24[[#This Row],[DOB]])="",TRIM(Table24[[#This Row],[Date of Call]])=""),"Cannot be calculated",DATEDIF(Table24[[#This Row],[DOB]],Table24[[#This Row],[Date of Call]],"Y")),"Cannot be calculated")</f>
        <v>Cannot be calculated</v>
      </c>
      <c r="AL514"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514" s="19">
        <f>IFERROR(DATEDIF(Table24[[#This Row],[Date of Call]],Table24[[#This Row],[Follow-up Date]],"D"),"Cannot be calculated")</f>
        <v>0</v>
      </c>
      <c r="AN514" s="19" t="str">
        <f>IF(OR(Table24[[#This Row],[Client Age]]&lt;18,Table24[[#This Row],[If client DOB unknown, is client under 18?]]="Yes"),"Yes","No")</f>
        <v>No</v>
      </c>
      <c r="AO514" s="13" t="str">
        <f>IF(Table24[[#This Row],[Time of Inital Call]]="","",IFERROR(MROUND(Table24[[#This Row],[Time of Inital Call]],"1:00"),""))</f>
        <v/>
      </c>
      <c r="AP514" s="19" t="str">
        <f>IF(Table24[[#This Row],[Date of Call]]="","",TEXT(Table24[[#This Row],[Date of Call]],"dddd"))</f>
        <v/>
      </c>
      <c r="AQ514" s="19" t="str">
        <f>IFERROR(VLOOKUP(Table24[[#This Row],[Residence Zip Code]],Table27[],3,FALSE),"")</f>
        <v/>
      </c>
    </row>
    <row r="515" spans="1:43" x14ac:dyDescent="0.25">
      <c r="A515" s="10"/>
      <c r="C515" s="10"/>
      <c r="D515" s="11"/>
      <c r="E515" s="12"/>
      <c r="F515" s="12"/>
      <c r="G515" s="12"/>
      <c r="H515" s="10"/>
      <c r="I515" s="12"/>
      <c r="J515" s="12"/>
      <c r="K515" s="12"/>
      <c r="L515" s="12"/>
      <c r="M515" s="16"/>
      <c r="N515" s="18"/>
      <c r="O515" s="13"/>
      <c r="P515" s="13"/>
      <c r="Q515" s="13"/>
      <c r="R515" s="18"/>
      <c r="S515" s="13"/>
      <c r="T515" s="13"/>
      <c r="U515" s="10"/>
      <c r="V515" s="2"/>
      <c r="X515" s="13"/>
      <c r="Y515" s="3"/>
      <c r="Z515" s="3"/>
      <c r="AA515" s="12"/>
      <c r="AB515" s="10"/>
      <c r="AC515" s="10"/>
      <c r="AD515" s="10"/>
      <c r="AE515" s="10"/>
      <c r="AI515" s="35"/>
      <c r="AJ515"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515" s="19" t="str">
        <f>IFERROR(IF(OR(TRIM(Table24[[#This Row],[DOB]])="",TRIM(Table24[[#This Row],[Date of Call]])=""),"Cannot be calculated",DATEDIF(Table24[[#This Row],[DOB]],Table24[[#This Row],[Date of Call]],"Y")),"Cannot be calculated")</f>
        <v>Cannot be calculated</v>
      </c>
      <c r="AL515"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515" s="19">
        <f>IFERROR(DATEDIF(Table24[[#This Row],[Date of Call]],Table24[[#This Row],[Follow-up Date]],"D"),"Cannot be calculated")</f>
        <v>0</v>
      </c>
      <c r="AN515" s="19" t="str">
        <f>IF(OR(Table24[[#This Row],[Client Age]]&lt;18,Table24[[#This Row],[If client DOB unknown, is client under 18?]]="Yes"),"Yes","No")</f>
        <v>No</v>
      </c>
      <c r="AO515" s="13" t="str">
        <f>IF(Table24[[#This Row],[Time of Inital Call]]="","",IFERROR(MROUND(Table24[[#This Row],[Time of Inital Call]],"1:00"),""))</f>
        <v/>
      </c>
      <c r="AP515" s="19" t="str">
        <f>IF(Table24[[#This Row],[Date of Call]]="","",TEXT(Table24[[#This Row],[Date of Call]],"dddd"))</f>
        <v/>
      </c>
      <c r="AQ515" s="19" t="str">
        <f>IFERROR(VLOOKUP(Table24[[#This Row],[Residence Zip Code]],Table27[],3,FALSE),"")</f>
        <v/>
      </c>
    </row>
    <row r="516" spans="1:43" x14ac:dyDescent="0.25">
      <c r="A516" s="10"/>
      <c r="C516" s="10"/>
      <c r="D516" s="11"/>
      <c r="E516" s="12"/>
      <c r="F516" s="12"/>
      <c r="G516" s="12"/>
      <c r="H516" s="10"/>
      <c r="I516" s="12"/>
      <c r="J516" s="12"/>
      <c r="K516" s="12"/>
      <c r="L516" s="12"/>
      <c r="M516" s="16"/>
      <c r="N516" s="18"/>
      <c r="O516" s="13"/>
      <c r="P516" s="13"/>
      <c r="Q516" s="13"/>
      <c r="R516" s="18"/>
      <c r="S516" s="13"/>
      <c r="T516" s="13"/>
      <c r="U516" s="10"/>
      <c r="V516" s="2"/>
      <c r="X516" s="13"/>
      <c r="Y516" s="3"/>
      <c r="Z516" s="3"/>
      <c r="AA516" s="12"/>
      <c r="AB516" s="10"/>
      <c r="AC516" s="10"/>
      <c r="AD516" s="10"/>
      <c r="AE516" s="10"/>
      <c r="AI516" s="35"/>
      <c r="AJ516"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516" s="19" t="str">
        <f>IFERROR(IF(OR(TRIM(Table24[[#This Row],[DOB]])="",TRIM(Table24[[#This Row],[Date of Call]])=""),"Cannot be calculated",DATEDIF(Table24[[#This Row],[DOB]],Table24[[#This Row],[Date of Call]],"Y")),"Cannot be calculated")</f>
        <v>Cannot be calculated</v>
      </c>
      <c r="AL516"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516" s="19">
        <f>IFERROR(DATEDIF(Table24[[#This Row],[Date of Call]],Table24[[#This Row],[Follow-up Date]],"D"),"Cannot be calculated")</f>
        <v>0</v>
      </c>
      <c r="AN516" s="19" t="str">
        <f>IF(OR(Table24[[#This Row],[Client Age]]&lt;18,Table24[[#This Row],[If client DOB unknown, is client under 18?]]="Yes"),"Yes","No")</f>
        <v>No</v>
      </c>
      <c r="AO516" s="13" t="str">
        <f>IF(Table24[[#This Row],[Time of Inital Call]]="","",IFERROR(MROUND(Table24[[#This Row],[Time of Inital Call]],"1:00"),""))</f>
        <v/>
      </c>
      <c r="AP516" s="19" t="str">
        <f>IF(Table24[[#This Row],[Date of Call]]="","",TEXT(Table24[[#This Row],[Date of Call]],"dddd"))</f>
        <v/>
      </c>
      <c r="AQ516" s="19" t="str">
        <f>IFERROR(VLOOKUP(Table24[[#This Row],[Residence Zip Code]],Table27[],3,FALSE),"")</f>
        <v/>
      </c>
    </row>
    <row r="517" spans="1:43" x14ac:dyDescent="0.25">
      <c r="A517" s="10"/>
      <c r="C517" s="10"/>
      <c r="D517" s="11"/>
      <c r="E517" s="12"/>
      <c r="F517" s="12"/>
      <c r="G517" s="12"/>
      <c r="H517" s="10"/>
      <c r="I517" s="12"/>
      <c r="J517" s="12"/>
      <c r="K517" s="12"/>
      <c r="L517" s="12"/>
      <c r="M517" s="16"/>
      <c r="N517" s="18"/>
      <c r="O517" s="13"/>
      <c r="P517" s="13"/>
      <c r="Q517" s="13"/>
      <c r="R517" s="18"/>
      <c r="S517" s="13"/>
      <c r="T517" s="13"/>
      <c r="U517" s="10"/>
      <c r="V517" s="2"/>
      <c r="X517" s="13"/>
      <c r="Y517" s="3"/>
      <c r="Z517" s="3"/>
      <c r="AA517" s="12"/>
      <c r="AB517" s="10"/>
      <c r="AC517" s="10"/>
      <c r="AD517" s="10"/>
      <c r="AE517" s="10"/>
      <c r="AI517" s="35"/>
      <c r="AJ517"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517" s="19" t="str">
        <f>IFERROR(IF(OR(TRIM(Table24[[#This Row],[DOB]])="",TRIM(Table24[[#This Row],[Date of Call]])=""),"Cannot be calculated",DATEDIF(Table24[[#This Row],[DOB]],Table24[[#This Row],[Date of Call]],"Y")),"Cannot be calculated")</f>
        <v>Cannot be calculated</v>
      </c>
      <c r="AL517"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517" s="19">
        <f>IFERROR(DATEDIF(Table24[[#This Row],[Date of Call]],Table24[[#This Row],[Follow-up Date]],"D"),"Cannot be calculated")</f>
        <v>0</v>
      </c>
      <c r="AN517" s="19" t="str">
        <f>IF(OR(Table24[[#This Row],[Client Age]]&lt;18,Table24[[#This Row],[If client DOB unknown, is client under 18?]]="Yes"),"Yes","No")</f>
        <v>No</v>
      </c>
      <c r="AO517" s="13" t="str">
        <f>IF(Table24[[#This Row],[Time of Inital Call]]="","",IFERROR(MROUND(Table24[[#This Row],[Time of Inital Call]],"1:00"),""))</f>
        <v/>
      </c>
      <c r="AP517" s="19" t="str">
        <f>IF(Table24[[#This Row],[Date of Call]]="","",TEXT(Table24[[#This Row],[Date of Call]],"dddd"))</f>
        <v/>
      </c>
      <c r="AQ517" s="19" t="str">
        <f>IFERROR(VLOOKUP(Table24[[#This Row],[Residence Zip Code]],Table27[],3,FALSE),"")</f>
        <v/>
      </c>
    </row>
    <row r="518" spans="1:43" x14ac:dyDescent="0.25">
      <c r="A518" s="10"/>
      <c r="C518" s="10"/>
      <c r="D518" s="11"/>
      <c r="E518" s="12"/>
      <c r="F518" s="12"/>
      <c r="G518" s="12"/>
      <c r="H518" s="10"/>
      <c r="I518" s="12"/>
      <c r="J518" s="12"/>
      <c r="K518" s="12"/>
      <c r="L518" s="12"/>
      <c r="M518" s="16"/>
      <c r="N518" s="18"/>
      <c r="O518" s="13"/>
      <c r="P518" s="13"/>
      <c r="Q518" s="13"/>
      <c r="R518" s="18"/>
      <c r="S518" s="13"/>
      <c r="T518" s="13"/>
      <c r="U518" s="10"/>
      <c r="V518" s="2"/>
      <c r="X518" s="13"/>
      <c r="Y518" s="3"/>
      <c r="Z518" s="3"/>
      <c r="AA518" s="12"/>
      <c r="AB518" s="10"/>
      <c r="AC518" s="10"/>
      <c r="AD518" s="10"/>
      <c r="AE518" s="10"/>
      <c r="AI518" s="35"/>
      <c r="AJ518"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518" s="19" t="str">
        <f>IFERROR(IF(OR(TRIM(Table24[[#This Row],[DOB]])="",TRIM(Table24[[#This Row],[Date of Call]])=""),"Cannot be calculated",DATEDIF(Table24[[#This Row],[DOB]],Table24[[#This Row],[Date of Call]],"Y")),"Cannot be calculated")</f>
        <v>Cannot be calculated</v>
      </c>
      <c r="AL518"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518" s="19">
        <f>IFERROR(DATEDIF(Table24[[#This Row],[Date of Call]],Table24[[#This Row],[Follow-up Date]],"D"),"Cannot be calculated")</f>
        <v>0</v>
      </c>
      <c r="AN518" s="19" t="str">
        <f>IF(OR(Table24[[#This Row],[Client Age]]&lt;18,Table24[[#This Row],[If client DOB unknown, is client under 18?]]="Yes"),"Yes","No")</f>
        <v>No</v>
      </c>
      <c r="AO518" s="13" t="str">
        <f>IF(Table24[[#This Row],[Time of Inital Call]]="","",IFERROR(MROUND(Table24[[#This Row],[Time of Inital Call]],"1:00"),""))</f>
        <v/>
      </c>
      <c r="AP518" s="19" t="str">
        <f>IF(Table24[[#This Row],[Date of Call]]="","",TEXT(Table24[[#This Row],[Date of Call]],"dddd"))</f>
        <v/>
      </c>
      <c r="AQ518" s="19" t="str">
        <f>IFERROR(VLOOKUP(Table24[[#This Row],[Residence Zip Code]],Table27[],3,FALSE),"")</f>
        <v/>
      </c>
    </row>
    <row r="519" spans="1:43" x14ac:dyDescent="0.25">
      <c r="A519" s="10"/>
      <c r="C519" s="10"/>
      <c r="D519" s="11"/>
      <c r="E519" s="12"/>
      <c r="F519" s="12"/>
      <c r="G519" s="12"/>
      <c r="H519" s="10"/>
      <c r="I519" s="12"/>
      <c r="J519" s="12"/>
      <c r="K519" s="12"/>
      <c r="L519" s="12"/>
      <c r="M519" s="16"/>
      <c r="N519" s="18"/>
      <c r="O519" s="13"/>
      <c r="P519" s="13"/>
      <c r="Q519" s="13"/>
      <c r="R519" s="18"/>
      <c r="S519" s="13"/>
      <c r="T519" s="13"/>
      <c r="U519" s="10"/>
      <c r="V519" s="2"/>
      <c r="X519" s="13"/>
      <c r="Y519" s="3"/>
      <c r="Z519" s="3"/>
      <c r="AA519" s="12"/>
      <c r="AB519" s="10"/>
      <c r="AC519" s="10"/>
      <c r="AD519" s="10"/>
      <c r="AE519" s="10"/>
      <c r="AI519" s="35"/>
      <c r="AJ519"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519" s="19" t="str">
        <f>IFERROR(IF(OR(TRIM(Table24[[#This Row],[DOB]])="",TRIM(Table24[[#This Row],[Date of Call]])=""),"Cannot be calculated",DATEDIF(Table24[[#This Row],[DOB]],Table24[[#This Row],[Date of Call]],"Y")),"Cannot be calculated")</f>
        <v>Cannot be calculated</v>
      </c>
      <c r="AL519"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519" s="19">
        <f>IFERROR(DATEDIF(Table24[[#This Row],[Date of Call]],Table24[[#This Row],[Follow-up Date]],"D"),"Cannot be calculated")</f>
        <v>0</v>
      </c>
      <c r="AN519" s="19" t="str">
        <f>IF(OR(Table24[[#This Row],[Client Age]]&lt;18,Table24[[#This Row],[If client DOB unknown, is client under 18?]]="Yes"),"Yes","No")</f>
        <v>No</v>
      </c>
      <c r="AO519" s="13" t="str">
        <f>IF(Table24[[#This Row],[Time of Inital Call]]="","",IFERROR(MROUND(Table24[[#This Row],[Time of Inital Call]],"1:00"),""))</f>
        <v/>
      </c>
      <c r="AP519" s="19" t="str">
        <f>IF(Table24[[#This Row],[Date of Call]]="","",TEXT(Table24[[#This Row],[Date of Call]],"dddd"))</f>
        <v/>
      </c>
      <c r="AQ519" s="19" t="str">
        <f>IFERROR(VLOOKUP(Table24[[#This Row],[Residence Zip Code]],Table27[],3,FALSE),"")</f>
        <v/>
      </c>
    </row>
    <row r="520" spans="1:43" x14ac:dyDescent="0.25">
      <c r="A520" s="10"/>
      <c r="C520" s="10"/>
      <c r="D520" s="11"/>
      <c r="E520" s="12"/>
      <c r="F520" s="12"/>
      <c r="G520" s="12"/>
      <c r="H520" s="10"/>
      <c r="I520" s="12"/>
      <c r="J520" s="12"/>
      <c r="K520" s="12"/>
      <c r="L520" s="12"/>
      <c r="M520" s="16"/>
      <c r="N520" s="18"/>
      <c r="O520" s="13"/>
      <c r="P520" s="13"/>
      <c r="Q520" s="13"/>
      <c r="R520" s="18"/>
      <c r="S520" s="13"/>
      <c r="T520" s="13"/>
      <c r="U520" s="10"/>
      <c r="V520" s="2"/>
      <c r="X520" s="13"/>
      <c r="Y520" s="3"/>
      <c r="Z520" s="3"/>
      <c r="AA520" s="12"/>
      <c r="AB520" s="10"/>
      <c r="AC520" s="10"/>
      <c r="AD520" s="10"/>
      <c r="AE520" s="10"/>
      <c r="AI520" s="35"/>
      <c r="AJ520"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520" s="19" t="str">
        <f>IFERROR(IF(OR(TRIM(Table24[[#This Row],[DOB]])="",TRIM(Table24[[#This Row],[Date of Call]])=""),"Cannot be calculated",DATEDIF(Table24[[#This Row],[DOB]],Table24[[#This Row],[Date of Call]],"Y")),"Cannot be calculated")</f>
        <v>Cannot be calculated</v>
      </c>
      <c r="AL520"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520" s="19">
        <f>IFERROR(DATEDIF(Table24[[#This Row],[Date of Call]],Table24[[#This Row],[Follow-up Date]],"D"),"Cannot be calculated")</f>
        <v>0</v>
      </c>
      <c r="AN520" s="19" t="str">
        <f>IF(OR(Table24[[#This Row],[Client Age]]&lt;18,Table24[[#This Row],[If client DOB unknown, is client under 18?]]="Yes"),"Yes","No")</f>
        <v>No</v>
      </c>
      <c r="AO520" s="13" t="str">
        <f>IF(Table24[[#This Row],[Time of Inital Call]]="","",IFERROR(MROUND(Table24[[#This Row],[Time of Inital Call]],"1:00"),""))</f>
        <v/>
      </c>
      <c r="AP520" s="19" t="str">
        <f>IF(Table24[[#This Row],[Date of Call]]="","",TEXT(Table24[[#This Row],[Date of Call]],"dddd"))</f>
        <v/>
      </c>
      <c r="AQ520" s="19" t="str">
        <f>IFERROR(VLOOKUP(Table24[[#This Row],[Residence Zip Code]],Table27[],3,FALSE),"")</f>
        <v/>
      </c>
    </row>
    <row r="521" spans="1:43" x14ac:dyDescent="0.25">
      <c r="A521" s="10"/>
      <c r="C521" s="10"/>
      <c r="D521" s="11"/>
      <c r="E521" s="12"/>
      <c r="F521" s="12"/>
      <c r="G521" s="12"/>
      <c r="H521" s="10"/>
      <c r="I521" s="12"/>
      <c r="J521" s="12"/>
      <c r="K521" s="12"/>
      <c r="L521" s="12"/>
      <c r="M521" s="16"/>
      <c r="N521" s="18"/>
      <c r="O521" s="13"/>
      <c r="P521" s="13"/>
      <c r="Q521" s="13"/>
      <c r="R521" s="18"/>
      <c r="S521" s="13"/>
      <c r="T521" s="13"/>
      <c r="U521" s="10"/>
      <c r="V521" s="2"/>
      <c r="X521" s="13"/>
      <c r="Y521" s="3"/>
      <c r="Z521" s="3"/>
      <c r="AA521" s="12"/>
      <c r="AB521" s="10"/>
      <c r="AC521" s="10"/>
      <c r="AD521" s="10"/>
      <c r="AE521" s="10"/>
      <c r="AI521" s="35"/>
      <c r="AJ521"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521" s="19" t="str">
        <f>IFERROR(IF(OR(TRIM(Table24[[#This Row],[DOB]])="",TRIM(Table24[[#This Row],[Date of Call]])=""),"Cannot be calculated",DATEDIF(Table24[[#This Row],[DOB]],Table24[[#This Row],[Date of Call]],"Y")),"Cannot be calculated")</f>
        <v>Cannot be calculated</v>
      </c>
      <c r="AL521"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521" s="19">
        <f>IFERROR(DATEDIF(Table24[[#This Row],[Date of Call]],Table24[[#This Row],[Follow-up Date]],"D"),"Cannot be calculated")</f>
        <v>0</v>
      </c>
      <c r="AN521" s="19" t="str">
        <f>IF(OR(Table24[[#This Row],[Client Age]]&lt;18,Table24[[#This Row],[If client DOB unknown, is client under 18?]]="Yes"),"Yes","No")</f>
        <v>No</v>
      </c>
      <c r="AO521" s="13" t="str">
        <f>IF(Table24[[#This Row],[Time of Inital Call]]="","",IFERROR(MROUND(Table24[[#This Row],[Time of Inital Call]],"1:00"),""))</f>
        <v/>
      </c>
      <c r="AP521" s="19" t="str">
        <f>IF(Table24[[#This Row],[Date of Call]]="","",TEXT(Table24[[#This Row],[Date of Call]],"dddd"))</f>
        <v/>
      </c>
      <c r="AQ521" s="19" t="str">
        <f>IFERROR(VLOOKUP(Table24[[#This Row],[Residence Zip Code]],Table27[],3,FALSE),"")</f>
        <v/>
      </c>
    </row>
    <row r="522" spans="1:43" x14ac:dyDescent="0.25">
      <c r="A522" s="10"/>
      <c r="C522" s="10"/>
      <c r="D522" s="11"/>
      <c r="E522" s="12"/>
      <c r="F522" s="12"/>
      <c r="G522" s="12"/>
      <c r="H522" s="10"/>
      <c r="I522" s="12"/>
      <c r="J522" s="12"/>
      <c r="K522" s="12"/>
      <c r="L522" s="12"/>
      <c r="M522" s="16"/>
      <c r="N522" s="18"/>
      <c r="O522" s="13"/>
      <c r="P522" s="13"/>
      <c r="Q522" s="13"/>
      <c r="R522" s="18"/>
      <c r="S522" s="13"/>
      <c r="T522" s="13"/>
      <c r="U522" s="10"/>
      <c r="V522" s="2"/>
      <c r="X522" s="13"/>
      <c r="Y522" s="3"/>
      <c r="Z522" s="3"/>
      <c r="AA522" s="12"/>
      <c r="AB522" s="10"/>
      <c r="AC522" s="10"/>
      <c r="AD522" s="10"/>
      <c r="AE522" s="10"/>
      <c r="AI522" s="35"/>
      <c r="AJ522"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522" s="19" t="str">
        <f>IFERROR(IF(OR(TRIM(Table24[[#This Row],[DOB]])="",TRIM(Table24[[#This Row],[Date of Call]])=""),"Cannot be calculated",DATEDIF(Table24[[#This Row],[DOB]],Table24[[#This Row],[Date of Call]],"Y")),"Cannot be calculated")</f>
        <v>Cannot be calculated</v>
      </c>
      <c r="AL522"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522" s="19">
        <f>IFERROR(DATEDIF(Table24[[#This Row],[Date of Call]],Table24[[#This Row],[Follow-up Date]],"D"),"Cannot be calculated")</f>
        <v>0</v>
      </c>
      <c r="AN522" s="19" t="str">
        <f>IF(OR(Table24[[#This Row],[Client Age]]&lt;18,Table24[[#This Row],[If client DOB unknown, is client under 18?]]="Yes"),"Yes","No")</f>
        <v>No</v>
      </c>
      <c r="AO522" s="13" t="str">
        <f>IF(Table24[[#This Row],[Time of Inital Call]]="","",IFERROR(MROUND(Table24[[#This Row],[Time of Inital Call]],"1:00"),""))</f>
        <v/>
      </c>
      <c r="AP522" s="19" t="str">
        <f>IF(Table24[[#This Row],[Date of Call]]="","",TEXT(Table24[[#This Row],[Date of Call]],"dddd"))</f>
        <v/>
      </c>
      <c r="AQ522" s="19" t="str">
        <f>IFERROR(VLOOKUP(Table24[[#This Row],[Residence Zip Code]],Table27[],3,FALSE),"")</f>
        <v/>
      </c>
    </row>
    <row r="523" spans="1:43" x14ac:dyDescent="0.25">
      <c r="A523" s="10"/>
      <c r="C523" s="10"/>
      <c r="D523" s="11"/>
      <c r="E523" s="12"/>
      <c r="F523" s="12"/>
      <c r="G523" s="12"/>
      <c r="H523" s="10"/>
      <c r="I523" s="12"/>
      <c r="J523" s="12"/>
      <c r="K523" s="12"/>
      <c r="L523" s="12"/>
      <c r="M523" s="16"/>
      <c r="N523" s="18"/>
      <c r="O523" s="13"/>
      <c r="P523" s="13"/>
      <c r="Q523" s="13"/>
      <c r="R523" s="18"/>
      <c r="S523" s="13"/>
      <c r="T523" s="13"/>
      <c r="U523" s="10"/>
      <c r="V523" s="2"/>
      <c r="X523" s="13"/>
      <c r="Y523" s="3"/>
      <c r="Z523" s="3"/>
      <c r="AA523" s="12"/>
      <c r="AB523" s="10"/>
      <c r="AC523" s="10"/>
      <c r="AD523" s="10"/>
      <c r="AE523" s="10"/>
      <c r="AI523" s="35"/>
      <c r="AJ523"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523" s="19" t="str">
        <f>IFERROR(IF(OR(TRIM(Table24[[#This Row],[DOB]])="",TRIM(Table24[[#This Row],[Date of Call]])=""),"Cannot be calculated",DATEDIF(Table24[[#This Row],[DOB]],Table24[[#This Row],[Date of Call]],"Y")),"Cannot be calculated")</f>
        <v>Cannot be calculated</v>
      </c>
      <c r="AL523"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523" s="19">
        <f>IFERROR(DATEDIF(Table24[[#This Row],[Date of Call]],Table24[[#This Row],[Follow-up Date]],"D"),"Cannot be calculated")</f>
        <v>0</v>
      </c>
      <c r="AN523" s="19" t="str">
        <f>IF(OR(Table24[[#This Row],[Client Age]]&lt;18,Table24[[#This Row],[If client DOB unknown, is client under 18?]]="Yes"),"Yes","No")</f>
        <v>No</v>
      </c>
      <c r="AO523" s="13" t="str">
        <f>IF(Table24[[#This Row],[Time of Inital Call]]="","",IFERROR(MROUND(Table24[[#This Row],[Time of Inital Call]],"1:00"),""))</f>
        <v/>
      </c>
      <c r="AP523" s="19" t="str">
        <f>IF(Table24[[#This Row],[Date of Call]]="","",TEXT(Table24[[#This Row],[Date of Call]],"dddd"))</f>
        <v/>
      </c>
      <c r="AQ523" s="19" t="str">
        <f>IFERROR(VLOOKUP(Table24[[#This Row],[Residence Zip Code]],Table27[],3,FALSE),"")</f>
        <v/>
      </c>
    </row>
    <row r="524" spans="1:43" x14ac:dyDescent="0.25">
      <c r="A524" s="10"/>
      <c r="C524" s="10"/>
      <c r="D524" s="11"/>
      <c r="E524" s="12"/>
      <c r="F524" s="12"/>
      <c r="G524" s="12"/>
      <c r="H524" s="10"/>
      <c r="I524" s="12"/>
      <c r="J524" s="12"/>
      <c r="K524" s="12"/>
      <c r="L524" s="12"/>
      <c r="M524" s="16"/>
      <c r="N524" s="18"/>
      <c r="O524" s="13"/>
      <c r="P524" s="13"/>
      <c r="Q524" s="13"/>
      <c r="R524" s="18"/>
      <c r="S524" s="13"/>
      <c r="T524" s="13"/>
      <c r="U524" s="10"/>
      <c r="V524" s="2"/>
      <c r="X524" s="13"/>
      <c r="Y524" s="3"/>
      <c r="Z524" s="3"/>
      <c r="AA524" s="12"/>
      <c r="AB524" s="10"/>
      <c r="AC524" s="10"/>
      <c r="AD524" s="10"/>
      <c r="AE524" s="10"/>
      <c r="AI524" s="35"/>
      <c r="AJ524"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524" s="19" t="str">
        <f>IFERROR(IF(OR(TRIM(Table24[[#This Row],[DOB]])="",TRIM(Table24[[#This Row],[Date of Call]])=""),"Cannot be calculated",DATEDIF(Table24[[#This Row],[DOB]],Table24[[#This Row],[Date of Call]],"Y")),"Cannot be calculated")</f>
        <v>Cannot be calculated</v>
      </c>
      <c r="AL524"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524" s="19">
        <f>IFERROR(DATEDIF(Table24[[#This Row],[Date of Call]],Table24[[#This Row],[Follow-up Date]],"D"),"Cannot be calculated")</f>
        <v>0</v>
      </c>
      <c r="AN524" s="19" t="str">
        <f>IF(OR(Table24[[#This Row],[Client Age]]&lt;18,Table24[[#This Row],[If client DOB unknown, is client under 18?]]="Yes"),"Yes","No")</f>
        <v>No</v>
      </c>
      <c r="AO524" s="13" t="str">
        <f>IF(Table24[[#This Row],[Time of Inital Call]]="","",IFERROR(MROUND(Table24[[#This Row],[Time of Inital Call]],"1:00"),""))</f>
        <v/>
      </c>
      <c r="AP524" s="19" t="str">
        <f>IF(Table24[[#This Row],[Date of Call]]="","",TEXT(Table24[[#This Row],[Date of Call]],"dddd"))</f>
        <v/>
      </c>
      <c r="AQ524" s="19" t="str">
        <f>IFERROR(VLOOKUP(Table24[[#This Row],[Residence Zip Code]],Table27[],3,FALSE),"")</f>
        <v/>
      </c>
    </row>
    <row r="525" spans="1:43" x14ac:dyDescent="0.25">
      <c r="A525" s="10"/>
      <c r="C525" s="10"/>
      <c r="D525" s="11"/>
      <c r="E525" s="12"/>
      <c r="F525" s="12"/>
      <c r="G525" s="12"/>
      <c r="H525" s="10"/>
      <c r="I525" s="12"/>
      <c r="J525" s="12"/>
      <c r="K525" s="12"/>
      <c r="L525" s="12"/>
      <c r="M525" s="16"/>
      <c r="N525" s="18"/>
      <c r="O525" s="13"/>
      <c r="P525" s="13"/>
      <c r="Q525" s="13"/>
      <c r="R525" s="18"/>
      <c r="S525" s="13"/>
      <c r="T525" s="13"/>
      <c r="U525" s="10"/>
      <c r="V525" s="2"/>
      <c r="X525" s="13"/>
      <c r="Y525" s="3"/>
      <c r="Z525" s="3"/>
      <c r="AA525" s="12"/>
      <c r="AB525" s="10"/>
      <c r="AC525" s="10"/>
      <c r="AD525" s="10"/>
      <c r="AE525" s="10"/>
      <c r="AI525" s="35"/>
      <c r="AJ525"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525" s="19" t="str">
        <f>IFERROR(IF(OR(TRIM(Table24[[#This Row],[DOB]])="",TRIM(Table24[[#This Row],[Date of Call]])=""),"Cannot be calculated",DATEDIF(Table24[[#This Row],[DOB]],Table24[[#This Row],[Date of Call]],"Y")),"Cannot be calculated")</f>
        <v>Cannot be calculated</v>
      </c>
      <c r="AL525"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525" s="19">
        <f>IFERROR(DATEDIF(Table24[[#This Row],[Date of Call]],Table24[[#This Row],[Follow-up Date]],"D"),"Cannot be calculated")</f>
        <v>0</v>
      </c>
      <c r="AN525" s="19" t="str">
        <f>IF(OR(Table24[[#This Row],[Client Age]]&lt;18,Table24[[#This Row],[If client DOB unknown, is client under 18?]]="Yes"),"Yes","No")</f>
        <v>No</v>
      </c>
      <c r="AO525" s="13" t="str">
        <f>IF(Table24[[#This Row],[Time of Inital Call]]="","",IFERROR(MROUND(Table24[[#This Row],[Time of Inital Call]],"1:00"),""))</f>
        <v/>
      </c>
      <c r="AP525" s="19" t="str">
        <f>IF(Table24[[#This Row],[Date of Call]]="","",TEXT(Table24[[#This Row],[Date of Call]],"dddd"))</f>
        <v/>
      </c>
      <c r="AQ525" s="19" t="str">
        <f>IFERROR(VLOOKUP(Table24[[#This Row],[Residence Zip Code]],Table27[],3,FALSE),"")</f>
        <v/>
      </c>
    </row>
    <row r="526" spans="1:43" x14ac:dyDescent="0.25">
      <c r="A526" s="10"/>
      <c r="C526" s="10"/>
      <c r="D526" s="11"/>
      <c r="E526" s="12"/>
      <c r="F526" s="12"/>
      <c r="G526" s="12"/>
      <c r="H526" s="10"/>
      <c r="I526" s="12"/>
      <c r="J526" s="12"/>
      <c r="K526" s="12"/>
      <c r="L526" s="12"/>
      <c r="M526" s="16"/>
      <c r="N526" s="18"/>
      <c r="O526" s="13"/>
      <c r="P526" s="13"/>
      <c r="Q526" s="13"/>
      <c r="R526" s="18"/>
      <c r="S526" s="13"/>
      <c r="T526" s="13"/>
      <c r="U526" s="10"/>
      <c r="V526" s="2"/>
      <c r="X526" s="13"/>
      <c r="Y526" s="3"/>
      <c r="Z526" s="3"/>
      <c r="AA526" s="12"/>
      <c r="AB526" s="10"/>
      <c r="AC526" s="10"/>
      <c r="AD526" s="10"/>
      <c r="AE526" s="10"/>
      <c r="AI526" s="35"/>
      <c r="AJ526"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526" s="19" t="str">
        <f>IFERROR(IF(OR(TRIM(Table24[[#This Row],[DOB]])="",TRIM(Table24[[#This Row],[Date of Call]])=""),"Cannot be calculated",DATEDIF(Table24[[#This Row],[DOB]],Table24[[#This Row],[Date of Call]],"Y")),"Cannot be calculated")</f>
        <v>Cannot be calculated</v>
      </c>
      <c r="AL526"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526" s="19">
        <f>IFERROR(DATEDIF(Table24[[#This Row],[Date of Call]],Table24[[#This Row],[Follow-up Date]],"D"),"Cannot be calculated")</f>
        <v>0</v>
      </c>
      <c r="AN526" s="19" t="str">
        <f>IF(OR(Table24[[#This Row],[Client Age]]&lt;18,Table24[[#This Row],[If client DOB unknown, is client under 18?]]="Yes"),"Yes","No")</f>
        <v>No</v>
      </c>
      <c r="AO526" s="13" t="str">
        <f>IF(Table24[[#This Row],[Time of Inital Call]]="","",IFERROR(MROUND(Table24[[#This Row],[Time of Inital Call]],"1:00"),""))</f>
        <v/>
      </c>
      <c r="AP526" s="19" t="str">
        <f>IF(Table24[[#This Row],[Date of Call]]="","",TEXT(Table24[[#This Row],[Date of Call]],"dddd"))</f>
        <v/>
      </c>
      <c r="AQ526" s="19" t="str">
        <f>IFERROR(VLOOKUP(Table24[[#This Row],[Residence Zip Code]],Table27[],3,FALSE),"")</f>
        <v/>
      </c>
    </row>
    <row r="527" spans="1:43" x14ac:dyDescent="0.25">
      <c r="A527" s="10"/>
      <c r="C527" s="10"/>
      <c r="D527" s="11"/>
      <c r="E527" s="12"/>
      <c r="F527" s="12"/>
      <c r="G527" s="12"/>
      <c r="H527" s="10"/>
      <c r="I527" s="12"/>
      <c r="J527" s="12"/>
      <c r="K527" s="12"/>
      <c r="L527" s="12"/>
      <c r="M527" s="16"/>
      <c r="N527" s="18"/>
      <c r="O527" s="13"/>
      <c r="P527" s="13"/>
      <c r="Q527" s="13"/>
      <c r="R527" s="18"/>
      <c r="S527" s="13"/>
      <c r="T527" s="13"/>
      <c r="U527" s="10"/>
      <c r="V527" s="2"/>
      <c r="X527" s="13"/>
      <c r="Y527" s="3"/>
      <c r="Z527" s="3"/>
      <c r="AA527" s="12"/>
      <c r="AB527" s="10"/>
      <c r="AC527" s="10"/>
      <c r="AD527" s="10"/>
      <c r="AE527" s="10"/>
      <c r="AI527" s="35"/>
      <c r="AJ527"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527" s="19" t="str">
        <f>IFERROR(IF(OR(TRIM(Table24[[#This Row],[DOB]])="",TRIM(Table24[[#This Row],[Date of Call]])=""),"Cannot be calculated",DATEDIF(Table24[[#This Row],[DOB]],Table24[[#This Row],[Date of Call]],"Y")),"Cannot be calculated")</f>
        <v>Cannot be calculated</v>
      </c>
      <c r="AL527"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527" s="19">
        <f>IFERROR(DATEDIF(Table24[[#This Row],[Date of Call]],Table24[[#This Row],[Follow-up Date]],"D"),"Cannot be calculated")</f>
        <v>0</v>
      </c>
      <c r="AN527" s="19" t="str">
        <f>IF(OR(Table24[[#This Row],[Client Age]]&lt;18,Table24[[#This Row],[If client DOB unknown, is client under 18?]]="Yes"),"Yes","No")</f>
        <v>No</v>
      </c>
      <c r="AO527" s="13" t="str">
        <f>IF(Table24[[#This Row],[Time of Inital Call]]="","",IFERROR(MROUND(Table24[[#This Row],[Time of Inital Call]],"1:00"),""))</f>
        <v/>
      </c>
      <c r="AP527" s="19" t="str">
        <f>IF(Table24[[#This Row],[Date of Call]]="","",TEXT(Table24[[#This Row],[Date of Call]],"dddd"))</f>
        <v/>
      </c>
      <c r="AQ527" s="19" t="str">
        <f>IFERROR(VLOOKUP(Table24[[#This Row],[Residence Zip Code]],Table27[],3,FALSE),"")</f>
        <v/>
      </c>
    </row>
    <row r="528" spans="1:43" x14ac:dyDescent="0.25">
      <c r="A528" s="10"/>
      <c r="C528" s="10"/>
      <c r="D528" s="11"/>
      <c r="E528" s="12"/>
      <c r="F528" s="12"/>
      <c r="G528" s="12"/>
      <c r="H528" s="10"/>
      <c r="I528" s="12"/>
      <c r="J528" s="12"/>
      <c r="K528" s="12"/>
      <c r="L528" s="12"/>
      <c r="M528" s="16"/>
      <c r="N528" s="18"/>
      <c r="O528" s="13"/>
      <c r="P528" s="13"/>
      <c r="Q528" s="13"/>
      <c r="R528" s="18"/>
      <c r="S528" s="13"/>
      <c r="T528" s="13"/>
      <c r="U528" s="10"/>
      <c r="V528" s="2"/>
      <c r="X528" s="13"/>
      <c r="Y528" s="3"/>
      <c r="Z528" s="3"/>
      <c r="AA528" s="12"/>
      <c r="AB528" s="10"/>
      <c r="AC528" s="10"/>
      <c r="AD528" s="10"/>
      <c r="AE528" s="10"/>
      <c r="AI528" s="35"/>
      <c r="AJ528"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528" s="19" t="str">
        <f>IFERROR(IF(OR(TRIM(Table24[[#This Row],[DOB]])="",TRIM(Table24[[#This Row],[Date of Call]])=""),"Cannot be calculated",DATEDIF(Table24[[#This Row],[DOB]],Table24[[#This Row],[Date of Call]],"Y")),"Cannot be calculated")</f>
        <v>Cannot be calculated</v>
      </c>
      <c r="AL528"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528" s="19">
        <f>IFERROR(DATEDIF(Table24[[#This Row],[Date of Call]],Table24[[#This Row],[Follow-up Date]],"D"),"Cannot be calculated")</f>
        <v>0</v>
      </c>
      <c r="AN528" s="19" t="str">
        <f>IF(OR(Table24[[#This Row],[Client Age]]&lt;18,Table24[[#This Row],[If client DOB unknown, is client under 18?]]="Yes"),"Yes","No")</f>
        <v>No</v>
      </c>
      <c r="AO528" s="13" t="str">
        <f>IF(Table24[[#This Row],[Time of Inital Call]]="","",IFERROR(MROUND(Table24[[#This Row],[Time of Inital Call]],"1:00"),""))</f>
        <v/>
      </c>
      <c r="AP528" s="19" t="str">
        <f>IF(Table24[[#This Row],[Date of Call]]="","",TEXT(Table24[[#This Row],[Date of Call]],"dddd"))</f>
        <v/>
      </c>
      <c r="AQ528" s="19" t="str">
        <f>IFERROR(VLOOKUP(Table24[[#This Row],[Residence Zip Code]],Table27[],3,FALSE),"")</f>
        <v/>
      </c>
    </row>
    <row r="529" spans="1:43" x14ac:dyDescent="0.25">
      <c r="A529" s="10"/>
      <c r="C529" s="10"/>
      <c r="D529" s="11"/>
      <c r="E529" s="12"/>
      <c r="F529" s="12"/>
      <c r="G529" s="12"/>
      <c r="H529" s="10"/>
      <c r="I529" s="12"/>
      <c r="J529" s="12"/>
      <c r="K529" s="12"/>
      <c r="L529" s="12"/>
      <c r="M529" s="16"/>
      <c r="N529" s="18"/>
      <c r="O529" s="13"/>
      <c r="P529" s="13"/>
      <c r="Q529" s="13"/>
      <c r="R529" s="18"/>
      <c r="S529" s="13"/>
      <c r="T529" s="13"/>
      <c r="U529" s="10"/>
      <c r="V529" s="2"/>
      <c r="X529" s="13"/>
      <c r="Y529" s="3"/>
      <c r="Z529" s="3"/>
      <c r="AA529" s="12"/>
      <c r="AB529" s="10"/>
      <c r="AC529" s="10"/>
      <c r="AD529" s="10"/>
      <c r="AE529" s="10"/>
      <c r="AI529" s="35"/>
      <c r="AJ529"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529" s="19" t="str">
        <f>IFERROR(IF(OR(TRIM(Table24[[#This Row],[DOB]])="",TRIM(Table24[[#This Row],[Date of Call]])=""),"Cannot be calculated",DATEDIF(Table24[[#This Row],[DOB]],Table24[[#This Row],[Date of Call]],"Y")),"Cannot be calculated")</f>
        <v>Cannot be calculated</v>
      </c>
      <c r="AL529"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529" s="19">
        <f>IFERROR(DATEDIF(Table24[[#This Row],[Date of Call]],Table24[[#This Row],[Follow-up Date]],"D"),"Cannot be calculated")</f>
        <v>0</v>
      </c>
      <c r="AN529" s="19" t="str">
        <f>IF(OR(Table24[[#This Row],[Client Age]]&lt;18,Table24[[#This Row],[If client DOB unknown, is client under 18?]]="Yes"),"Yes","No")</f>
        <v>No</v>
      </c>
      <c r="AO529" s="13" t="str">
        <f>IF(Table24[[#This Row],[Time of Inital Call]]="","",IFERROR(MROUND(Table24[[#This Row],[Time of Inital Call]],"1:00"),""))</f>
        <v/>
      </c>
      <c r="AP529" s="19" t="str">
        <f>IF(Table24[[#This Row],[Date of Call]]="","",TEXT(Table24[[#This Row],[Date of Call]],"dddd"))</f>
        <v/>
      </c>
      <c r="AQ529" s="19" t="str">
        <f>IFERROR(VLOOKUP(Table24[[#This Row],[Residence Zip Code]],Table27[],3,FALSE),"")</f>
        <v/>
      </c>
    </row>
    <row r="530" spans="1:43" x14ac:dyDescent="0.25">
      <c r="A530" s="10"/>
      <c r="C530" s="10"/>
      <c r="D530" s="11"/>
      <c r="E530" s="12"/>
      <c r="F530" s="12"/>
      <c r="G530" s="12"/>
      <c r="H530" s="10"/>
      <c r="I530" s="12"/>
      <c r="J530" s="12"/>
      <c r="K530" s="12"/>
      <c r="L530" s="12"/>
      <c r="M530" s="16"/>
      <c r="N530" s="18"/>
      <c r="O530" s="13"/>
      <c r="P530" s="13"/>
      <c r="Q530" s="13"/>
      <c r="R530" s="18"/>
      <c r="S530" s="13"/>
      <c r="T530" s="13"/>
      <c r="U530" s="10"/>
      <c r="V530" s="2"/>
      <c r="X530" s="13"/>
      <c r="Y530" s="3"/>
      <c r="Z530" s="3"/>
      <c r="AA530" s="12"/>
      <c r="AB530" s="10"/>
      <c r="AC530" s="10"/>
      <c r="AD530" s="10"/>
      <c r="AE530" s="10"/>
      <c r="AI530" s="35"/>
      <c r="AJ530"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530" s="19" t="str">
        <f>IFERROR(IF(OR(TRIM(Table24[[#This Row],[DOB]])="",TRIM(Table24[[#This Row],[Date of Call]])=""),"Cannot be calculated",DATEDIF(Table24[[#This Row],[DOB]],Table24[[#This Row],[Date of Call]],"Y")),"Cannot be calculated")</f>
        <v>Cannot be calculated</v>
      </c>
      <c r="AL530"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530" s="19">
        <f>IFERROR(DATEDIF(Table24[[#This Row],[Date of Call]],Table24[[#This Row],[Follow-up Date]],"D"),"Cannot be calculated")</f>
        <v>0</v>
      </c>
      <c r="AN530" s="19" t="str">
        <f>IF(OR(Table24[[#This Row],[Client Age]]&lt;18,Table24[[#This Row],[If client DOB unknown, is client under 18?]]="Yes"),"Yes","No")</f>
        <v>No</v>
      </c>
      <c r="AO530" s="13" t="str">
        <f>IF(Table24[[#This Row],[Time of Inital Call]]="","",IFERROR(MROUND(Table24[[#This Row],[Time of Inital Call]],"1:00"),""))</f>
        <v/>
      </c>
      <c r="AP530" s="19" t="str">
        <f>IF(Table24[[#This Row],[Date of Call]]="","",TEXT(Table24[[#This Row],[Date of Call]],"dddd"))</f>
        <v/>
      </c>
      <c r="AQ530" s="19" t="str">
        <f>IFERROR(VLOOKUP(Table24[[#This Row],[Residence Zip Code]],Table27[],3,FALSE),"")</f>
        <v/>
      </c>
    </row>
    <row r="531" spans="1:43" x14ac:dyDescent="0.25">
      <c r="A531" s="10"/>
      <c r="C531" s="10"/>
      <c r="D531" s="11"/>
      <c r="E531" s="12"/>
      <c r="F531" s="12"/>
      <c r="G531" s="12"/>
      <c r="H531" s="10"/>
      <c r="I531" s="12"/>
      <c r="J531" s="12"/>
      <c r="K531" s="12"/>
      <c r="L531" s="12"/>
      <c r="M531" s="16"/>
      <c r="N531" s="18"/>
      <c r="O531" s="13"/>
      <c r="P531" s="13"/>
      <c r="Q531" s="13"/>
      <c r="R531" s="18"/>
      <c r="S531" s="13"/>
      <c r="T531" s="13"/>
      <c r="U531" s="10"/>
      <c r="V531" s="2"/>
      <c r="X531" s="13"/>
      <c r="Y531" s="3"/>
      <c r="Z531" s="3"/>
      <c r="AA531" s="12"/>
      <c r="AB531" s="10"/>
      <c r="AC531" s="10"/>
      <c r="AD531" s="10"/>
      <c r="AE531" s="10"/>
      <c r="AI531" s="35"/>
      <c r="AJ531"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531" s="19" t="str">
        <f>IFERROR(IF(OR(TRIM(Table24[[#This Row],[DOB]])="",TRIM(Table24[[#This Row],[Date of Call]])=""),"Cannot be calculated",DATEDIF(Table24[[#This Row],[DOB]],Table24[[#This Row],[Date of Call]],"Y")),"Cannot be calculated")</f>
        <v>Cannot be calculated</v>
      </c>
      <c r="AL531"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531" s="19">
        <f>IFERROR(DATEDIF(Table24[[#This Row],[Date of Call]],Table24[[#This Row],[Follow-up Date]],"D"),"Cannot be calculated")</f>
        <v>0</v>
      </c>
      <c r="AN531" s="19" t="str">
        <f>IF(OR(Table24[[#This Row],[Client Age]]&lt;18,Table24[[#This Row],[If client DOB unknown, is client under 18?]]="Yes"),"Yes","No")</f>
        <v>No</v>
      </c>
      <c r="AO531" s="13" t="str">
        <f>IF(Table24[[#This Row],[Time of Inital Call]]="","",IFERROR(MROUND(Table24[[#This Row],[Time of Inital Call]],"1:00"),""))</f>
        <v/>
      </c>
      <c r="AP531" s="19" t="str">
        <f>IF(Table24[[#This Row],[Date of Call]]="","",TEXT(Table24[[#This Row],[Date of Call]],"dddd"))</f>
        <v/>
      </c>
      <c r="AQ531" s="19" t="str">
        <f>IFERROR(VLOOKUP(Table24[[#This Row],[Residence Zip Code]],Table27[],3,FALSE),"")</f>
        <v/>
      </c>
    </row>
    <row r="532" spans="1:43" x14ac:dyDescent="0.25">
      <c r="A532" s="10"/>
      <c r="C532" s="10"/>
      <c r="D532" s="11"/>
      <c r="E532" s="12"/>
      <c r="F532" s="12"/>
      <c r="G532" s="12"/>
      <c r="H532" s="10"/>
      <c r="I532" s="12"/>
      <c r="J532" s="12"/>
      <c r="K532" s="12"/>
      <c r="L532" s="12"/>
      <c r="M532" s="16"/>
      <c r="N532" s="18"/>
      <c r="O532" s="13"/>
      <c r="P532" s="13"/>
      <c r="Q532" s="13"/>
      <c r="R532" s="18"/>
      <c r="S532" s="13"/>
      <c r="T532" s="13"/>
      <c r="U532" s="10"/>
      <c r="V532" s="2"/>
      <c r="X532" s="13"/>
      <c r="Y532" s="3"/>
      <c r="Z532" s="3"/>
      <c r="AA532" s="12"/>
      <c r="AB532" s="10"/>
      <c r="AC532" s="10"/>
      <c r="AD532" s="10"/>
      <c r="AE532" s="10"/>
      <c r="AI532" s="35"/>
      <c r="AJ532"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532" s="19" t="str">
        <f>IFERROR(IF(OR(TRIM(Table24[[#This Row],[DOB]])="",TRIM(Table24[[#This Row],[Date of Call]])=""),"Cannot be calculated",DATEDIF(Table24[[#This Row],[DOB]],Table24[[#This Row],[Date of Call]],"Y")),"Cannot be calculated")</f>
        <v>Cannot be calculated</v>
      </c>
      <c r="AL532"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532" s="19">
        <f>IFERROR(DATEDIF(Table24[[#This Row],[Date of Call]],Table24[[#This Row],[Follow-up Date]],"D"),"Cannot be calculated")</f>
        <v>0</v>
      </c>
      <c r="AN532" s="19" t="str">
        <f>IF(OR(Table24[[#This Row],[Client Age]]&lt;18,Table24[[#This Row],[If client DOB unknown, is client under 18?]]="Yes"),"Yes","No")</f>
        <v>No</v>
      </c>
      <c r="AO532" s="13" t="str">
        <f>IF(Table24[[#This Row],[Time of Inital Call]]="","",IFERROR(MROUND(Table24[[#This Row],[Time of Inital Call]],"1:00"),""))</f>
        <v/>
      </c>
      <c r="AP532" s="19" t="str">
        <f>IF(Table24[[#This Row],[Date of Call]]="","",TEXT(Table24[[#This Row],[Date of Call]],"dddd"))</f>
        <v/>
      </c>
      <c r="AQ532" s="19" t="str">
        <f>IFERROR(VLOOKUP(Table24[[#This Row],[Residence Zip Code]],Table27[],3,FALSE),"")</f>
        <v/>
      </c>
    </row>
    <row r="533" spans="1:43" x14ac:dyDescent="0.25">
      <c r="A533" s="10"/>
      <c r="C533" s="10"/>
      <c r="D533" s="11"/>
      <c r="E533" s="12"/>
      <c r="F533" s="12"/>
      <c r="G533" s="12"/>
      <c r="H533" s="10"/>
      <c r="I533" s="12"/>
      <c r="J533" s="12"/>
      <c r="K533" s="12"/>
      <c r="L533" s="12"/>
      <c r="M533" s="16"/>
      <c r="N533" s="18"/>
      <c r="O533" s="13"/>
      <c r="P533" s="13"/>
      <c r="Q533" s="13"/>
      <c r="R533" s="18"/>
      <c r="S533" s="13"/>
      <c r="T533" s="13"/>
      <c r="U533" s="10"/>
      <c r="V533" s="2"/>
      <c r="X533" s="13"/>
      <c r="Y533" s="3"/>
      <c r="Z533" s="3"/>
      <c r="AA533" s="12"/>
      <c r="AB533" s="10"/>
      <c r="AC533" s="10"/>
      <c r="AD533" s="10"/>
      <c r="AE533" s="10"/>
      <c r="AI533" s="35"/>
      <c r="AJ533"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533" s="19" t="str">
        <f>IFERROR(IF(OR(TRIM(Table24[[#This Row],[DOB]])="",TRIM(Table24[[#This Row],[Date of Call]])=""),"Cannot be calculated",DATEDIF(Table24[[#This Row],[DOB]],Table24[[#This Row],[Date of Call]],"Y")),"Cannot be calculated")</f>
        <v>Cannot be calculated</v>
      </c>
      <c r="AL533"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533" s="19">
        <f>IFERROR(DATEDIF(Table24[[#This Row],[Date of Call]],Table24[[#This Row],[Follow-up Date]],"D"),"Cannot be calculated")</f>
        <v>0</v>
      </c>
      <c r="AN533" s="19" t="str">
        <f>IF(OR(Table24[[#This Row],[Client Age]]&lt;18,Table24[[#This Row],[If client DOB unknown, is client under 18?]]="Yes"),"Yes","No")</f>
        <v>No</v>
      </c>
      <c r="AO533" s="13" t="str">
        <f>IF(Table24[[#This Row],[Time of Inital Call]]="","",IFERROR(MROUND(Table24[[#This Row],[Time of Inital Call]],"1:00"),""))</f>
        <v/>
      </c>
      <c r="AP533" s="19" t="str">
        <f>IF(Table24[[#This Row],[Date of Call]]="","",TEXT(Table24[[#This Row],[Date of Call]],"dddd"))</f>
        <v/>
      </c>
      <c r="AQ533" s="19" t="str">
        <f>IFERROR(VLOOKUP(Table24[[#This Row],[Residence Zip Code]],Table27[],3,FALSE),"")</f>
        <v/>
      </c>
    </row>
    <row r="534" spans="1:43" x14ac:dyDescent="0.25">
      <c r="A534" s="10"/>
      <c r="C534" s="10"/>
      <c r="D534" s="11"/>
      <c r="E534" s="12"/>
      <c r="F534" s="12"/>
      <c r="G534" s="12"/>
      <c r="H534" s="10"/>
      <c r="I534" s="12"/>
      <c r="J534" s="12"/>
      <c r="K534" s="12"/>
      <c r="L534" s="12"/>
      <c r="M534" s="16"/>
      <c r="N534" s="18"/>
      <c r="O534" s="13"/>
      <c r="P534" s="13"/>
      <c r="Q534" s="13"/>
      <c r="R534" s="18"/>
      <c r="S534" s="13"/>
      <c r="T534" s="13"/>
      <c r="U534" s="10"/>
      <c r="V534" s="2"/>
      <c r="X534" s="13"/>
      <c r="Y534" s="3"/>
      <c r="Z534" s="3"/>
      <c r="AA534" s="12"/>
      <c r="AB534" s="10"/>
      <c r="AC534" s="10"/>
      <c r="AD534" s="10"/>
      <c r="AE534" s="10"/>
      <c r="AI534" s="35"/>
      <c r="AJ534"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534" s="19" t="str">
        <f>IFERROR(IF(OR(TRIM(Table24[[#This Row],[DOB]])="",TRIM(Table24[[#This Row],[Date of Call]])=""),"Cannot be calculated",DATEDIF(Table24[[#This Row],[DOB]],Table24[[#This Row],[Date of Call]],"Y")),"Cannot be calculated")</f>
        <v>Cannot be calculated</v>
      </c>
      <c r="AL534"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534" s="19">
        <f>IFERROR(DATEDIF(Table24[[#This Row],[Date of Call]],Table24[[#This Row],[Follow-up Date]],"D"),"Cannot be calculated")</f>
        <v>0</v>
      </c>
      <c r="AN534" s="19" t="str">
        <f>IF(OR(Table24[[#This Row],[Client Age]]&lt;18,Table24[[#This Row],[If client DOB unknown, is client under 18?]]="Yes"),"Yes","No")</f>
        <v>No</v>
      </c>
      <c r="AO534" s="13" t="str">
        <f>IF(Table24[[#This Row],[Time of Inital Call]]="","",IFERROR(MROUND(Table24[[#This Row],[Time of Inital Call]],"1:00"),""))</f>
        <v/>
      </c>
      <c r="AP534" s="19" t="str">
        <f>IF(Table24[[#This Row],[Date of Call]]="","",TEXT(Table24[[#This Row],[Date of Call]],"dddd"))</f>
        <v/>
      </c>
      <c r="AQ534" s="19" t="str">
        <f>IFERROR(VLOOKUP(Table24[[#This Row],[Residence Zip Code]],Table27[],3,FALSE),"")</f>
        <v/>
      </c>
    </row>
    <row r="535" spans="1:43" x14ac:dyDescent="0.25">
      <c r="A535" s="10"/>
      <c r="C535" s="10"/>
      <c r="D535" s="11"/>
      <c r="E535" s="12"/>
      <c r="F535" s="12"/>
      <c r="G535" s="12"/>
      <c r="H535" s="10"/>
      <c r="I535" s="12"/>
      <c r="J535" s="12"/>
      <c r="K535" s="12"/>
      <c r="L535" s="12"/>
      <c r="M535" s="16"/>
      <c r="N535" s="18"/>
      <c r="O535" s="13"/>
      <c r="P535" s="13"/>
      <c r="Q535" s="13"/>
      <c r="R535" s="18"/>
      <c r="S535" s="13"/>
      <c r="T535" s="13"/>
      <c r="U535" s="10"/>
      <c r="V535" s="2"/>
      <c r="X535" s="13"/>
      <c r="Y535" s="3"/>
      <c r="Z535" s="3"/>
      <c r="AA535" s="12"/>
      <c r="AB535" s="10"/>
      <c r="AC535" s="10"/>
      <c r="AD535" s="10"/>
      <c r="AE535" s="10"/>
      <c r="AI535" s="35"/>
      <c r="AJ535"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535" s="19" t="str">
        <f>IFERROR(IF(OR(TRIM(Table24[[#This Row],[DOB]])="",TRIM(Table24[[#This Row],[Date of Call]])=""),"Cannot be calculated",DATEDIF(Table24[[#This Row],[DOB]],Table24[[#This Row],[Date of Call]],"Y")),"Cannot be calculated")</f>
        <v>Cannot be calculated</v>
      </c>
      <c r="AL535"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535" s="19">
        <f>IFERROR(DATEDIF(Table24[[#This Row],[Date of Call]],Table24[[#This Row],[Follow-up Date]],"D"),"Cannot be calculated")</f>
        <v>0</v>
      </c>
      <c r="AN535" s="19" t="str">
        <f>IF(OR(Table24[[#This Row],[Client Age]]&lt;18,Table24[[#This Row],[If client DOB unknown, is client under 18?]]="Yes"),"Yes","No")</f>
        <v>No</v>
      </c>
      <c r="AO535" s="13" t="str">
        <f>IF(Table24[[#This Row],[Time of Inital Call]]="","",IFERROR(MROUND(Table24[[#This Row],[Time of Inital Call]],"1:00"),""))</f>
        <v/>
      </c>
      <c r="AP535" s="19" t="str">
        <f>IF(Table24[[#This Row],[Date of Call]]="","",TEXT(Table24[[#This Row],[Date of Call]],"dddd"))</f>
        <v/>
      </c>
      <c r="AQ535" s="19" t="str">
        <f>IFERROR(VLOOKUP(Table24[[#This Row],[Residence Zip Code]],Table27[],3,FALSE),"")</f>
        <v/>
      </c>
    </row>
    <row r="536" spans="1:43" x14ac:dyDescent="0.25">
      <c r="A536" s="10"/>
      <c r="C536" s="10"/>
      <c r="D536" s="11"/>
      <c r="E536" s="12"/>
      <c r="F536" s="12"/>
      <c r="G536" s="12"/>
      <c r="H536" s="10"/>
      <c r="I536" s="12"/>
      <c r="J536" s="12"/>
      <c r="K536" s="12"/>
      <c r="L536" s="12"/>
      <c r="M536" s="16"/>
      <c r="N536" s="18"/>
      <c r="O536" s="13"/>
      <c r="P536" s="13"/>
      <c r="Q536" s="13"/>
      <c r="R536" s="18"/>
      <c r="S536" s="13"/>
      <c r="T536" s="13"/>
      <c r="U536" s="10"/>
      <c r="V536" s="2"/>
      <c r="X536" s="13"/>
      <c r="Y536" s="3"/>
      <c r="Z536" s="3"/>
      <c r="AA536" s="12"/>
      <c r="AB536" s="10"/>
      <c r="AC536" s="10"/>
      <c r="AD536" s="10"/>
      <c r="AE536" s="10"/>
      <c r="AI536" s="35"/>
      <c r="AJ536"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536" s="19" t="str">
        <f>IFERROR(IF(OR(TRIM(Table24[[#This Row],[DOB]])="",TRIM(Table24[[#This Row],[Date of Call]])=""),"Cannot be calculated",DATEDIF(Table24[[#This Row],[DOB]],Table24[[#This Row],[Date of Call]],"Y")),"Cannot be calculated")</f>
        <v>Cannot be calculated</v>
      </c>
      <c r="AL536"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536" s="19">
        <f>IFERROR(DATEDIF(Table24[[#This Row],[Date of Call]],Table24[[#This Row],[Follow-up Date]],"D"),"Cannot be calculated")</f>
        <v>0</v>
      </c>
      <c r="AN536" s="19" t="str">
        <f>IF(OR(Table24[[#This Row],[Client Age]]&lt;18,Table24[[#This Row],[If client DOB unknown, is client under 18?]]="Yes"),"Yes","No")</f>
        <v>No</v>
      </c>
      <c r="AO536" s="13" t="str">
        <f>IF(Table24[[#This Row],[Time of Inital Call]]="","",IFERROR(MROUND(Table24[[#This Row],[Time of Inital Call]],"1:00"),""))</f>
        <v/>
      </c>
      <c r="AP536" s="19" t="str">
        <f>IF(Table24[[#This Row],[Date of Call]]="","",TEXT(Table24[[#This Row],[Date of Call]],"dddd"))</f>
        <v/>
      </c>
      <c r="AQ536" s="19" t="str">
        <f>IFERROR(VLOOKUP(Table24[[#This Row],[Residence Zip Code]],Table27[],3,FALSE),"")</f>
        <v/>
      </c>
    </row>
    <row r="537" spans="1:43" x14ac:dyDescent="0.25">
      <c r="A537" s="10"/>
      <c r="C537" s="10"/>
      <c r="D537" s="11"/>
      <c r="E537" s="12"/>
      <c r="F537" s="12"/>
      <c r="G537" s="12"/>
      <c r="H537" s="10"/>
      <c r="I537" s="12"/>
      <c r="J537" s="12"/>
      <c r="K537" s="12"/>
      <c r="L537" s="12"/>
      <c r="M537" s="16"/>
      <c r="N537" s="18"/>
      <c r="O537" s="13"/>
      <c r="P537" s="13"/>
      <c r="Q537" s="13"/>
      <c r="R537" s="18"/>
      <c r="S537" s="13"/>
      <c r="T537" s="13"/>
      <c r="U537" s="10"/>
      <c r="V537" s="2"/>
      <c r="X537" s="13"/>
      <c r="Y537" s="3"/>
      <c r="Z537" s="3"/>
      <c r="AA537" s="12"/>
      <c r="AB537" s="10"/>
      <c r="AC537" s="10"/>
      <c r="AD537" s="10"/>
      <c r="AE537" s="10"/>
      <c r="AI537" s="35"/>
      <c r="AJ537"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537" s="19" t="str">
        <f>IFERROR(IF(OR(TRIM(Table24[[#This Row],[DOB]])="",TRIM(Table24[[#This Row],[Date of Call]])=""),"Cannot be calculated",DATEDIF(Table24[[#This Row],[DOB]],Table24[[#This Row],[Date of Call]],"Y")),"Cannot be calculated")</f>
        <v>Cannot be calculated</v>
      </c>
      <c r="AL537"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537" s="19">
        <f>IFERROR(DATEDIF(Table24[[#This Row],[Date of Call]],Table24[[#This Row],[Follow-up Date]],"D"),"Cannot be calculated")</f>
        <v>0</v>
      </c>
      <c r="AN537" s="19" t="str">
        <f>IF(OR(Table24[[#This Row],[Client Age]]&lt;18,Table24[[#This Row],[If client DOB unknown, is client under 18?]]="Yes"),"Yes","No")</f>
        <v>No</v>
      </c>
      <c r="AO537" s="13" t="str">
        <f>IF(Table24[[#This Row],[Time of Inital Call]]="","",IFERROR(MROUND(Table24[[#This Row],[Time of Inital Call]],"1:00"),""))</f>
        <v/>
      </c>
      <c r="AP537" s="19" t="str">
        <f>IF(Table24[[#This Row],[Date of Call]]="","",TEXT(Table24[[#This Row],[Date of Call]],"dddd"))</f>
        <v/>
      </c>
      <c r="AQ537" s="19" t="str">
        <f>IFERROR(VLOOKUP(Table24[[#This Row],[Residence Zip Code]],Table27[],3,FALSE),"")</f>
        <v/>
      </c>
    </row>
    <row r="538" spans="1:43" x14ac:dyDescent="0.25">
      <c r="A538" s="10"/>
      <c r="C538" s="10"/>
      <c r="D538" s="11"/>
      <c r="E538" s="12"/>
      <c r="F538" s="12"/>
      <c r="G538" s="12"/>
      <c r="H538" s="10"/>
      <c r="I538" s="12"/>
      <c r="J538" s="12"/>
      <c r="K538" s="12"/>
      <c r="L538" s="12"/>
      <c r="M538" s="16"/>
      <c r="N538" s="18"/>
      <c r="O538" s="13"/>
      <c r="P538" s="13"/>
      <c r="Q538" s="13"/>
      <c r="R538" s="18"/>
      <c r="S538" s="13"/>
      <c r="T538" s="13"/>
      <c r="U538" s="10"/>
      <c r="V538" s="2"/>
      <c r="X538" s="13"/>
      <c r="Y538" s="3"/>
      <c r="Z538" s="3"/>
      <c r="AA538" s="12"/>
      <c r="AB538" s="10"/>
      <c r="AC538" s="10"/>
      <c r="AD538" s="10"/>
      <c r="AE538" s="10"/>
      <c r="AI538" s="35"/>
      <c r="AJ538"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538" s="19" t="str">
        <f>IFERROR(IF(OR(TRIM(Table24[[#This Row],[DOB]])="",TRIM(Table24[[#This Row],[Date of Call]])=""),"Cannot be calculated",DATEDIF(Table24[[#This Row],[DOB]],Table24[[#This Row],[Date of Call]],"Y")),"Cannot be calculated")</f>
        <v>Cannot be calculated</v>
      </c>
      <c r="AL538"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538" s="19">
        <f>IFERROR(DATEDIF(Table24[[#This Row],[Date of Call]],Table24[[#This Row],[Follow-up Date]],"D"),"Cannot be calculated")</f>
        <v>0</v>
      </c>
      <c r="AN538" s="19" t="str">
        <f>IF(OR(Table24[[#This Row],[Client Age]]&lt;18,Table24[[#This Row],[If client DOB unknown, is client under 18?]]="Yes"),"Yes","No")</f>
        <v>No</v>
      </c>
      <c r="AO538" s="13" t="str">
        <f>IF(Table24[[#This Row],[Time of Inital Call]]="","",IFERROR(MROUND(Table24[[#This Row],[Time of Inital Call]],"1:00"),""))</f>
        <v/>
      </c>
      <c r="AP538" s="19" t="str">
        <f>IF(Table24[[#This Row],[Date of Call]]="","",TEXT(Table24[[#This Row],[Date of Call]],"dddd"))</f>
        <v/>
      </c>
      <c r="AQ538" s="19" t="str">
        <f>IFERROR(VLOOKUP(Table24[[#This Row],[Residence Zip Code]],Table27[],3,FALSE),"")</f>
        <v/>
      </c>
    </row>
    <row r="539" spans="1:43" x14ac:dyDescent="0.25">
      <c r="A539" s="10"/>
      <c r="C539" s="10"/>
      <c r="D539" s="11"/>
      <c r="E539" s="12"/>
      <c r="F539" s="12"/>
      <c r="G539" s="12"/>
      <c r="H539" s="10"/>
      <c r="I539" s="12"/>
      <c r="J539" s="12"/>
      <c r="K539" s="12"/>
      <c r="L539" s="12"/>
      <c r="M539" s="16"/>
      <c r="N539" s="18"/>
      <c r="O539" s="13"/>
      <c r="P539" s="13"/>
      <c r="Q539" s="13"/>
      <c r="R539" s="18"/>
      <c r="S539" s="13"/>
      <c r="T539" s="13"/>
      <c r="U539" s="10"/>
      <c r="V539" s="2"/>
      <c r="X539" s="13"/>
      <c r="Y539" s="3"/>
      <c r="Z539" s="3"/>
      <c r="AA539" s="12"/>
      <c r="AB539" s="10"/>
      <c r="AC539" s="10"/>
      <c r="AD539" s="10"/>
      <c r="AE539" s="10"/>
      <c r="AI539" s="35"/>
      <c r="AJ539"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539" s="19" t="str">
        <f>IFERROR(IF(OR(TRIM(Table24[[#This Row],[DOB]])="",TRIM(Table24[[#This Row],[Date of Call]])=""),"Cannot be calculated",DATEDIF(Table24[[#This Row],[DOB]],Table24[[#This Row],[Date of Call]],"Y")),"Cannot be calculated")</f>
        <v>Cannot be calculated</v>
      </c>
      <c r="AL539"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539" s="19">
        <f>IFERROR(DATEDIF(Table24[[#This Row],[Date of Call]],Table24[[#This Row],[Follow-up Date]],"D"),"Cannot be calculated")</f>
        <v>0</v>
      </c>
      <c r="AN539" s="19" t="str">
        <f>IF(OR(Table24[[#This Row],[Client Age]]&lt;18,Table24[[#This Row],[If client DOB unknown, is client under 18?]]="Yes"),"Yes","No")</f>
        <v>No</v>
      </c>
      <c r="AO539" s="13" t="str">
        <f>IF(Table24[[#This Row],[Time of Inital Call]]="","",IFERROR(MROUND(Table24[[#This Row],[Time of Inital Call]],"1:00"),""))</f>
        <v/>
      </c>
      <c r="AP539" s="19" t="str">
        <f>IF(Table24[[#This Row],[Date of Call]]="","",TEXT(Table24[[#This Row],[Date of Call]],"dddd"))</f>
        <v/>
      </c>
      <c r="AQ539" s="19" t="str">
        <f>IFERROR(VLOOKUP(Table24[[#This Row],[Residence Zip Code]],Table27[],3,FALSE),"")</f>
        <v/>
      </c>
    </row>
    <row r="540" spans="1:43" x14ac:dyDescent="0.25">
      <c r="A540" s="10"/>
      <c r="C540" s="10"/>
      <c r="D540" s="11"/>
      <c r="E540" s="12"/>
      <c r="F540" s="12"/>
      <c r="G540" s="12"/>
      <c r="H540" s="10"/>
      <c r="I540" s="12"/>
      <c r="J540" s="12"/>
      <c r="K540" s="12"/>
      <c r="L540" s="12"/>
      <c r="M540" s="16"/>
      <c r="N540" s="18"/>
      <c r="O540" s="13"/>
      <c r="P540" s="13"/>
      <c r="Q540" s="13"/>
      <c r="R540" s="18"/>
      <c r="S540" s="13"/>
      <c r="T540" s="13"/>
      <c r="U540" s="10"/>
      <c r="V540" s="2"/>
      <c r="X540" s="13"/>
      <c r="Y540" s="3"/>
      <c r="Z540" s="3"/>
      <c r="AA540" s="12"/>
      <c r="AB540" s="10"/>
      <c r="AC540" s="10"/>
      <c r="AD540" s="10"/>
      <c r="AE540" s="10"/>
      <c r="AI540" s="35"/>
      <c r="AJ540"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540" s="19" t="str">
        <f>IFERROR(IF(OR(TRIM(Table24[[#This Row],[DOB]])="",TRIM(Table24[[#This Row],[Date of Call]])=""),"Cannot be calculated",DATEDIF(Table24[[#This Row],[DOB]],Table24[[#This Row],[Date of Call]],"Y")),"Cannot be calculated")</f>
        <v>Cannot be calculated</v>
      </c>
      <c r="AL540"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540" s="19">
        <f>IFERROR(DATEDIF(Table24[[#This Row],[Date of Call]],Table24[[#This Row],[Follow-up Date]],"D"),"Cannot be calculated")</f>
        <v>0</v>
      </c>
      <c r="AN540" s="19" t="str">
        <f>IF(OR(Table24[[#This Row],[Client Age]]&lt;18,Table24[[#This Row],[If client DOB unknown, is client under 18?]]="Yes"),"Yes","No")</f>
        <v>No</v>
      </c>
      <c r="AO540" s="13" t="str">
        <f>IF(Table24[[#This Row],[Time of Inital Call]]="","",IFERROR(MROUND(Table24[[#This Row],[Time of Inital Call]],"1:00"),""))</f>
        <v/>
      </c>
      <c r="AP540" s="19" t="str">
        <f>IF(Table24[[#This Row],[Date of Call]]="","",TEXT(Table24[[#This Row],[Date of Call]],"dddd"))</f>
        <v/>
      </c>
      <c r="AQ540" s="19" t="str">
        <f>IFERROR(VLOOKUP(Table24[[#This Row],[Residence Zip Code]],Table27[],3,FALSE),"")</f>
        <v/>
      </c>
    </row>
    <row r="541" spans="1:43" x14ac:dyDescent="0.25">
      <c r="A541" s="10"/>
      <c r="C541" s="10"/>
      <c r="D541" s="11"/>
      <c r="E541" s="12"/>
      <c r="F541" s="12"/>
      <c r="G541" s="12"/>
      <c r="H541" s="10"/>
      <c r="I541" s="12"/>
      <c r="J541" s="12"/>
      <c r="K541" s="12"/>
      <c r="L541" s="12"/>
      <c r="M541" s="16"/>
      <c r="N541" s="18"/>
      <c r="O541" s="13"/>
      <c r="P541" s="13"/>
      <c r="Q541" s="13"/>
      <c r="R541" s="18"/>
      <c r="S541" s="13"/>
      <c r="T541" s="13"/>
      <c r="U541" s="10"/>
      <c r="V541" s="2"/>
      <c r="X541" s="13"/>
      <c r="Y541" s="3"/>
      <c r="Z541" s="3"/>
      <c r="AA541" s="12"/>
      <c r="AB541" s="10"/>
      <c r="AC541" s="10"/>
      <c r="AD541" s="10"/>
      <c r="AE541" s="10"/>
      <c r="AI541" s="35"/>
      <c r="AJ541"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541" s="19" t="str">
        <f>IFERROR(IF(OR(TRIM(Table24[[#This Row],[DOB]])="",TRIM(Table24[[#This Row],[Date of Call]])=""),"Cannot be calculated",DATEDIF(Table24[[#This Row],[DOB]],Table24[[#This Row],[Date of Call]],"Y")),"Cannot be calculated")</f>
        <v>Cannot be calculated</v>
      </c>
      <c r="AL541"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541" s="19">
        <f>IFERROR(DATEDIF(Table24[[#This Row],[Date of Call]],Table24[[#This Row],[Follow-up Date]],"D"),"Cannot be calculated")</f>
        <v>0</v>
      </c>
      <c r="AN541" s="19" t="str">
        <f>IF(OR(Table24[[#This Row],[Client Age]]&lt;18,Table24[[#This Row],[If client DOB unknown, is client under 18?]]="Yes"),"Yes","No")</f>
        <v>No</v>
      </c>
      <c r="AO541" s="13" t="str">
        <f>IF(Table24[[#This Row],[Time of Inital Call]]="","",IFERROR(MROUND(Table24[[#This Row],[Time of Inital Call]],"1:00"),""))</f>
        <v/>
      </c>
      <c r="AP541" s="19" t="str">
        <f>IF(Table24[[#This Row],[Date of Call]]="","",TEXT(Table24[[#This Row],[Date of Call]],"dddd"))</f>
        <v/>
      </c>
      <c r="AQ541" s="19" t="str">
        <f>IFERROR(VLOOKUP(Table24[[#This Row],[Residence Zip Code]],Table27[],3,FALSE),"")</f>
        <v/>
      </c>
    </row>
    <row r="542" spans="1:43" x14ac:dyDescent="0.25">
      <c r="A542" s="10"/>
      <c r="C542" s="10"/>
      <c r="D542" s="11"/>
      <c r="E542" s="12"/>
      <c r="F542" s="12"/>
      <c r="G542" s="12"/>
      <c r="H542" s="10"/>
      <c r="I542" s="12"/>
      <c r="J542" s="12"/>
      <c r="K542" s="12"/>
      <c r="L542" s="12"/>
      <c r="M542" s="16"/>
      <c r="N542" s="18"/>
      <c r="O542" s="13"/>
      <c r="P542" s="13"/>
      <c r="Q542" s="13"/>
      <c r="R542" s="18"/>
      <c r="S542" s="13"/>
      <c r="T542" s="13"/>
      <c r="U542" s="10"/>
      <c r="V542" s="2"/>
      <c r="X542" s="13"/>
      <c r="Y542" s="3"/>
      <c r="Z542" s="3"/>
      <c r="AA542" s="12"/>
      <c r="AB542" s="10"/>
      <c r="AC542" s="10"/>
      <c r="AD542" s="10"/>
      <c r="AE542" s="10"/>
      <c r="AI542" s="35"/>
      <c r="AJ542"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542" s="19" t="str">
        <f>IFERROR(IF(OR(TRIM(Table24[[#This Row],[DOB]])="",TRIM(Table24[[#This Row],[Date of Call]])=""),"Cannot be calculated",DATEDIF(Table24[[#This Row],[DOB]],Table24[[#This Row],[Date of Call]],"Y")),"Cannot be calculated")</f>
        <v>Cannot be calculated</v>
      </c>
      <c r="AL542"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542" s="19">
        <f>IFERROR(DATEDIF(Table24[[#This Row],[Date of Call]],Table24[[#This Row],[Follow-up Date]],"D"),"Cannot be calculated")</f>
        <v>0</v>
      </c>
      <c r="AN542" s="19" t="str">
        <f>IF(OR(Table24[[#This Row],[Client Age]]&lt;18,Table24[[#This Row],[If client DOB unknown, is client under 18?]]="Yes"),"Yes","No")</f>
        <v>No</v>
      </c>
      <c r="AO542" s="13" t="str">
        <f>IF(Table24[[#This Row],[Time of Inital Call]]="","",IFERROR(MROUND(Table24[[#This Row],[Time of Inital Call]],"1:00"),""))</f>
        <v/>
      </c>
      <c r="AP542" s="19" t="str">
        <f>IF(Table24[[#This Row],[Date of Call]]="","",TEXT(Table24[[#This Row],[Date of Call]],"dddd"))</f>
        <v/>
      </c>
      <c r="AQ542" s="19" t="str">
        <f>IFERROR(VLOOKUP(Table24[[#This Row],[Residence Zip Code]],Table27[],3,FALSE),"")</f>
        <v/>
      </c>
    </row>
    <row r="543" spans="1:43" x14ac:dyDescent="0.25">
      <c r="A543" s="10"/>
      <c r="C543" s="10"/>
      <c r="D543" s="11"/>
      <c r="E543" s="12"/>
      <c r="F543" s="12"/>
      <c r="G543" s="12"/>
      <c r="H543" s="10"/>
      <c r="I543" s="12"/>
      <c r="J543" s="12"/>
      <c r="K543" s="12"/>
      <c r="L543" s="12"/>
      <c r="M543" s="16"/>
      <c r="N543" s="18"/>
      <c r="O543" s="13"/>
      <c r="P543" s="13"/>
      <c r="Q543" s="13"/>
      <c r="R543" s="18"/>
      <c r="S543" s="13"/>
      <c r="T543" s="13"/>
      <c r="U543" s="10"/>
      <c r="V543" s="2"/>
      <c r="X543" s="13"/>
      <c r="Y543" s="3"/>
      <c r="Z543" s="3"/>
      <c r="AA543" s="12"/>
      <c r="AB543" s="10"/>
      <c r="AC543" s="10"/>
      <c r="AD543" s="10"/>
      <c r="AE543" s="10"/>
      <c r="AI543" s="35"/>
      <c r="AJ543" s="19" t="str">
        <f ca="1">IF(
COUNTA(Table24[[#This Row],[Client ID '#]:[Follow-up Date]])=0,"",
IF(AND(Table24[[#This Row],[Source of Inital Call]]="Other",TRIM(Table24[[#This Row],[More detail if Source of Initial Call was Other]])=""),
"Source of Initial Call is listed as Other but more detail is not given.",
IF(AND(TRIM(Table24[[#This Row],[More detail if Source of Initial Call was Other]])&lt;&gt;"",Table24[[#This Row],[Source of Inital Call]]&lt;&gt;"Other"),
"More detail is given for the source of the initial call, but Other was not selected as the source.",
IF(
AND(TRIM(Table24[[#This Row],[DOB]])="",COUNTIFS(Under18[If client DOB unknown, is client under 18?],Table24[[#This Row],[If client DOB unknown, is client under 18?]])=0),
"DOB is blank and whether the client is under 18 is not filled in with a valid value.",
IF(
AND(OR(Table24[[#This Row],[Client Age]]&lt;18,Table24[[#This Row],[If client DOB unknown, is client under 18?]]="Yes"),COUNTIFS(ChildWelfare[If client is under 18, is the client involved in child welfare?],Table24[[#This Row],[If client is under 18, is the client involved in child welfare?]])=0),
"Client is listed as under 18 but there is no valid entry for whether the client is involved in child welfare.",
IF(
AND(OR(Table24[[#This Row],[Client Age]]&lt;18,Table24[[#This Row],[If client DOB unknown, is client under 18?]]="Yes"),COUNTIFS(ParentalConsent[If client is under 18, was parental consent obtained?],Table24[[#This Row],[If client is under 18, was parental consent obtained?]])=0),
"Client is listed as under 18 but there is no valid entry for whether parental consent was obtained.",
IF(AND(ISTEXT(Table24[[#This Row],[DOB]])=FALSE,Table24[[#This Row],[DOB]]&gt;TODAY()),"The listed DOB is in the future.",
IF(COUNTIFS(Sex[Sex],Table24[[#This Row],[Sex]])=0,
"No valid value is entered for the client's sex.",
IF(LEN(Table24[[#This Row],[Residence Zip Code]])&lt;&gt;5,
"The ZIP code entered is more or less than 5 characters.",
IF(COUNTIFS(Race[Race],Table24[[#This Row],[Race]])=0,
"No valid value is entered for the client's race.",
IF(COUNTIFS(Ethnicity[Ethnicity],Table24[[#This Row],[Ethnicity]])=0,
"No valid value is entered for the client's ethnicity.",
IF(TRIM(Table24[[#This Row],[Name of School Attending (enter N/A if non-school aged)]])="",
"No value is entered for Name of School Attending.",
IF(OR(Table24[[#This Row],[Date of Call]]&lt;DATE(Instructions!$B$10-1,7,1),Table24[[#This Row],[Date of Call]]&gt;TODAY()),
"Value for date of call is either not a valid date, is before the beginning of the fiscal year, or is after today's date.",
IF(TRIM(Table24[[#This Row],[Time of Inital Call]])="",
"No value is entered for Time of Initial Call.",
IF(COUNTIFS(CallSource[Source of Inital Call],Table24[[#This Row],[Source of Inital Call]])=0,
"No valid value is entered for Source of Initial Call",
IF(COUNTIFS(Intervention[Intervention Determined],Table24[[#This Row],[Intervention Determined]])=0,
"No valid value is entered for Intervention Determined.",
IF(
TRIM(Table24[[#This Row],[Time of Arrival (enter value from "Time of Initial Call" column if phone/telehealth)]])="",
"No value is entered for Time of Arrival",
IF(
AND(Table24[[#This Row],[Reason if Not Seen]]&lt;&gt;"",COUNTIFS(ReasonNotSeen[Reason if Not Seen],Table24[[#This Row],[Reason if Not Seen]])=0),
"Reason if Not Seen has an entry that is not from the dropdown menu.",
IF(
AND(Table24[[#This Row],[Reason if Not Seen]]&lt;&gt;"Cancelled by Caller",COUNTIFS(ContactType[Type of Contact],Table24[[#This Row],[Type of Contact]])=0),
"Call is not listed as canceled and no valid value is entered for Type of Contact.",
IF(
AND(Table24[[#This Row],[Reason if Not Seen]]&lt;&gt;"Cancelled by Caller",TRIM(Table24[[#This Row],[Referred By]])=""),
"Call is not listed as canceled and no value is entered for Referred by.",
IF(
AND(Table24[[#This Row],[Reason if Not Seen]]&lt;&gt;"Cancelled by Caller",COUNTIFS(CSUAdmission[Admission to CSU?],Table24[[#This Row],[Admission to CSU?]])=0),
"Call is not listed as canceled and no valid value is entered for Admission to CSU.",
IF(
AND(Table24[[#This Row],[Reason if Not Seen]]&lt;&gt;"Cancelled by Caller",COUNTIFS(ReferredTreatment[Referred to Treatment?],Table24[[#This Row],[Referred to Treatment?]])=0),
"Call is not listed as canceled and no valid value is entered for Referred to Treatment.",
IF(
AND(Table24[[#This Row],[Reason if Not Seen]]&lt;&gt;"Cancelled by Caller",TRIM(Table24[[#This Row],[If Referred, Where (Agency Name)?]])=""),
"Call is not listed as canceled and no value is entered for If Referred, Where.",
IF(
AND(Table24[[#This Row],[Reason if Not Seen]]&lt;&gt;"Cancelled by Caller",TRIM(Table24[[#This Row],[If Referred, What Level of Treatment?]])=""),
"Call is not listed as canceled and no value is entered for If Referred, What Level of Treatment.",
IF(
AND(Table24[[#This Row],[Reason if Not Seen]]&lt;&gt;"Cancelled by Caller",COUNTIFS(EngagedServices[Engaged in Referred Services? (Unknown if cannot aquire info. from referred provider; N/A if no referral)],Table24[[#This Row],[Engaged in Referred Services? (Unknown if cannot aquire info. from referred provider; N/A if no referral)]])=0),
"Call is not listed as canceled and no value is entered for Engaged in Referred Services.",
IF(
AND(Table24[[#This Row],[Reason if Not Seen]]&lt;&gt;"Cancelled by Caller",COUNTIFS(CompletedTreatment[Successfully Completed Treatment? (Unknown if cannot aquire info. from referred provider; N/A if no referral)],Table24[[#This Row],[Successfully Completed Treatment? (Unknown if cannot aquire info. from referred provider; N/A if no referral)]])=0),
"Call is not listed as canceled and no value is entered for Successfully Completed Treatment.",
IF(
AND(Table24[[#This Row],[Reason if Not Seen]]&lt;&gt;"Cancelled by Caller",COUNTIFS(SED[Seriously Emotionally Disturbed (SED)? (Unknown if cannot aquire info. from referred provider; N/A if no referral)],Table24[[#This Row],[Seriously Emotionally Disturbed (SED)? (Unknown if cannot aquire info. from referred provider; N/A if no referral)]])=0),
"Call is not listed as canceled and no value is entered for Seriously Emotionally Disturbed.",
IF(
AND(Table24[[#This Row],[Reason if Not Seen]]&lt;&gt;"Cancelled by Caller",COUNTIFS(ED[Emotionally Disturbed (ED)? (Unknown if cannot aquire info. from referred provider; N/A if no referral)],Table24[[#This Row],[Emotionally Disturbed (ED)? (Unknown if cannot aquire info. from referred provider; N/A if no referral)]])=0),
"Call is not listed as canceled and no value is entered for Emotionally Disturbed.",
IF(
AND(Table24[[#This Row],[Reason if Not Seen]]&lt;&gt;"Cancelled by Caller",COUNTIFS(CFARS[Improved Level of Functioning? (CFARS) (Unknown if cannot aquire info. from referred provider; N/A if no referral)],Table24[[#This Row],[Improved Level of Functioning? (CFARS) (Unknown if cannot aquire info. from referred provider; N/A if no referral)]])=0),
"Call is not listed as canceled and no value is entered for Improved Level of Functioning (CFARS).",
IF(
AND(Table24[[#This Row],[Reason if Not Seen]]&lt;&gt;"Cancelled by Caller",TRIM(Table24[[#This Row],[Follow-up Activity ]])=""),
"Call is not listed as canceled and no value is entered for Follow-Up Activity.",
IF(
AND(Table24[[#This Row],[Reason if Not Seen]]&lt;&gt;"Cancelled by Caller",TRIM(Table24[[#This Row],[Follow-up Date]])=""),
"Call is not listed as canceled and no value is entered for Follow-Up Date.",
IF(
TRIM(Table24[[#This Row],[Client ID '#]])="",
"Client ID # is blank.",
IF(
TRIM(Table24[[#This Row],[Client Last Name]])="","Client Last Name is blank.",
IF(
TRIM(Table24[[#This Row],[Client First Name]])="","Client First Name is blank.",
IF(AND(Table24[[#This Row],[Client ID '#]]&lt;&gt;"unknown",COUNTIFS(Table24[Client ID '#],Table24[[#This Row],[Client ID '#]],Table24[Date of Call],Table24[[#This Row],[Date of Call]],Table24[Time of Inital Call],Table24[[#This Row],[Time of Inital Call]])&gt;1),
"This client ID has more than one call listed at this date and time. Please remove the duplicate call.",
IF(TRIM(Table24[[#This Row],[DOB]])="","DOB is blank.",""))))))))))))))))))))))))))))))))))))</f>
        <v/>
      </c>
      <c r="AK543" s="19" t="str">
        <f>IFERROR(IF(OR(TRIM(Table24[[#This Row],[DOB]])="",TRIM(Table24[[#This Row],[Date of Call]])=""),"Cannot be calculated",DATEDIF(Table24[[#This Row],[DOB]],Table24[[#This Row],[Date of Call]],"Y")),"Cannot be calculated")</f>
        <v>Cannot be calculated</v>
      </c>
      <c r="AL543" s="19" t="str">
        <f>IFERROR(VALUE(IF(IF(AND(Table24[[#This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Call]]))*1440,0),"")&gt;=0,IF(AND(Table24[[#This Row],[Time of Inital Call]]&lt;&gt;"",Table24[[#This Row],[Time of Arrival (enter value from "Time of Initial Call" column if phone/telehealth)]]&lt;&gt;""),ROUND((Table24[[#This Row],[Time of Arrival (enter value from "Time of Initial Call" column if phone/telehealth)]]-Table24[[#This Row],[Time of Inital Call]]+(Table24[[#This Row],[Time of Arrival (enter value from "Time of Initial Call" column if phone/telehealth)]]&lt;Table24[[#This Row],[Time of Inital Call]]))*1440,0),""),"")),"Cannot be calculated")</f>
        <v>Cannot be calculated</v>
      </c>
      <c r="AM543" s="19">
        <f>IFERROR(DATEDIF(Table24[[#This Row],[Date of Call]],Table24[[#This Row],[Follow-up Date]],"D"),"Cannot be calculated")</f>
        <v>0</v>
      </c>
      <c r="AN543" s="19" t="str">
        <f>IF(OR(Table24[[#This Row],[Client Age]]&lt;18,Table24[[#This Row],[If client DOB unknown, is client under 18?]]="Yes"),"Yes","No")</f>
        <v>No</v>
      </c>
      <c r="AO543" s="13" t="str">
        <f>IF(Table24[[#This Row],[Time of Inital Call]]="","",IFERROR(MROUND(Table24[[#This Row],[Time of Inital Call]],"1:00"),""))</f>
        <v/>
      </c>
      <c r="AP543" s="19" t="str">
        <f>IF(Table24[[#This Row],[Date of Call]]="","",TEXT(Table24[[#This Row],[Date of Call]],"dddd"))</f>
        <v/>
      </c>
      <c r="AQ543" s="19" t="str">
        <f>IFERROR(VLOOKUP(Table24[[#This Row],[Residence Zip Code]],Table27[],3,FALSE),"")</f>
        <v/>
      </c>
    </row>
  </sheetData>
  <phoneticPr fontId="2" type="noConversion"/>
  <conditionalFormatting sqref="A2:AQ543">
    <cfRule type="expression" dxfId="46" priority="1">
      <formula>$AJ2&lt;&gt;""</formula>
    </cfRule>
  </conditionalFormatting>
  <dataValidations count="24">
    <dataValidation type="list" allowBlank="1" showInputMessage="1" showErrorMessage="1" sqref="J2:J543" xr:uid="{BE530185-5F65-4115-85CA-3E9A1CCAAB7B}">
      <formula1>INDIRECT("Race")</formula1>
    </dataValidation>
    <dataValidation type="list" allowBlank="1" showInputMessage="1" showErrorMessage="1" sqref="K2:K543" xr:uid="{99609EA3-30E2-4218-9CC6-CD000D4F9F11}">
      <formula1>INDIRECT("Ethnicity")</formula1>
    </dataValidation>
    <dataValidation type="list" allowBlank="1" showInputMessage="1" showErrorMessage="1" sqref="X2:X543" xr:uid="{084C6ACF-55A4-4C56-81A7-43E43F9C7DBD}">
      <formula1>INDIRECT("ReferredTreatment")</formula1>
    </dataValidation>
    <dataValidation type="list" allowBlank="1" showInputMessage="1" showErrorMessage="1" sqref="Q2:Q543" xr:uid="{C0E78C09-0187-4372-90D9-8AFCD29F6F9F}">
      <formula1>INDIRECT("Intervention")</formula1>
    </dataValidation>
    <dataValidation type="list" allowBlank="1" showInputMessage="1" showErrorMessage="1" sqref="T2:T543" xr:uid="{1FF5B749-4220-41FA-8C88-B58F2B268B9F}">
      <formula1>INDIRECT("ReasonNotSeen")</formula1>
    </dataValidation>
    <dataValidation type="list" allowBlank="1" showInputMessage="1" showErrorMessage="1" sqref="O2:O543" xr:uid="{68D822F8-00E7-471D-B4E0-842DB8E70716}">
      <formula1>INDIRECT("CallSource")</formula1>
    </dataValidation>
    <dataValidation type="list" allowBlank="1" showInputMessage="1" showErrorMessage="1" sqref="W2:W543" xr:uid="{93890A15-E125-4C06-9AE3-C50C44F3CCBC}">
      <formula1>INDIRECT("CSUAdmission")</formula1>
    </dataValidation>
    <dataValidation type="list" allowBlank="1" showInputMessage="1" showErrorMessage="1" sqref="AE2:AE543" xr:uid="{75B4B5D5-3E03-4E8C-AD9E-8D01FD883856}">
      <formula1>INDIRECT("CFARS")</formula1>
    </dataValidation>
    <dataValidation type="list" allowBlank="1" showInputMessage="1" showErrorMessage="1" sqref="H2:H543" xr:uid="{0A3427F5-05C1-4FC6-8D27-9D2A1A4230F9}">
      <formula1>INDIRECT("Sex")</formula1>
    </dataValidation>
    <dataValidation type="list" allowBlank="1" showInputMessage="1" showErrorMessage="1" sqref="U2:U543" xr:uid="{D43EB72B-4767-4406-914F-37CFCA21510F}">
      <formula1>INDIRECT("ContactType")</formula1>
    </dataValidation>
    <dataValidation type="date" errorStyle="warning" allowBlank="1" showInputMessage="1" showErrorMessage="1" error="This seems to either not be formatted correctly as a date, before 1/1/1900, or after today's date." sqref="D2:D543" xr:uid="{B5CA7CED-61F3-49B8-9DA0-59529E621DF4}">
      <formula1>1</formula1>
      <formula2>TODAY()</formula2>
    </dataValidation>
    <dataValidation type="date" errorStyle="warning" allowBlank="1" showInputMessage="1" showErrorMessage="1" error="This seems to either not be formatted correctly as a date, before 7/1/2021, or after today's date." sqref="M2:M543" xr:uid="{219B6B9C-FAA4-47EF-BF12-2E95CEA952E6}">
      <formula1>44378</formula1>
      <formula2>TODAY()</formula2>
    </dataValidation>
    <dataValidation type="time" errorStyle="warning" operator="greaterThanOrEqual" allowBlank="1" showInputMessage="1" showErrorMessage="1" error="This does not seem to be entered as a valid time." sqref="N2:N543" xr:uid="{4A3EBC39-9186-4032-801C-68BA99D33C2A}">
      <formula1>0</formula1>
    </dataValidation>
    <dataValidation type="list" errorStyle="warning" allowBlank="1" showInputMessage="1" showErrorMessage="1" error="This does not seem to be a valid entry for this column (Yes, No, or Unknown)." sqref="E2:E543" xr:uid="{532A9B25-40D4-4E55-A141-6D6896A08972}">
      <formula1>INDIRECT("Under18")</formula1>
    </dataValidation>
    <dataValidation type="list" errorStyle="warning" allowBlank="1" showInputMessage="1" showErrorMessage="1" error="This does not seem to be a valid entry for this column (Yes, Parent Refused, Unable to Reach Parent, N/A)." sqref="G2:G543" xr:uid="{D37D4008-BD8E-4928-9C1B-0AEE033F026E}">
      <formula1>INDIRECT("ParentalConsent")</formula1>
    </dataValidation>
    <dataValidation type="list" errorStyle="warning" allowBlank="1" showInputMessage="1" showErrorMessage="1" error="This does not seem to be a valid entry for this column (Yes, No, Unknown, N/A)." sqref="F2:F543" xr:uid="{5181ADBB-9338-4712-90F2-AA2E481FD163}">
      <formula1>INDIRECT("ChildWelfare")</formula1>
    </dataValidation>
    <dataValidation type="whole" errorStyle="warning" allowBlank="1" showInputMessage="1" showErrorMessage="1" error="This does not seem to be a 5-digit ZIP code." sqref="I2:I543" xr:uid="{1629B4C9-D232-41BB-B9A7-E4851C18DD74}">
      <formula1>9999</formula1>
      <formula2>99999</formula2>
    </dataValidation>
    <dataValidation type="list" allowBlank="1" showInputMessage="1" showErrorMessage="1" sqref="AA2:AA543" xr:uid="{AA7797D7-693D-4120-B540-78CD18DB7327}">
      <formula1>INDIRECT("EngagedServices")</formula1>
    </dataValidation>
    <dataValidation type="list" allowBlank="1" showInputMessage="1" showErrorMessage="1" sqref="AB2:AB543" xr:uid="{7B673BA5-CA77-47D4-9EED-C7F1D7794758}">
      <formula1>INDIRECT("CompletedTreatment")</formula1>
    </dataValidation>
    <dataValidation type="list" allowBlank="1" showInputMessage="1" showErrorMessage="1" sqref="AC2:AC543" xr:uid="{751A233F-21CD-457F-BA3C-54356FE28545}">
      <formula1>INDIRECT("SED")</formula1>
    </dataValidation>
    <dataValidation type="list" allowBlank="1" showInputMessage="1" showErrorMessage="1" sqref="AD2:AD543" xr:uid="{FF7D36B2-BE6C-46D2-B3D4-98CD80800198}">
      <formula1>INDIRECT("ED")</formula1>
    </dataValidation>
    <dataValidation type="time" errorStyle="warning" operator="greaterThanOrEqual" allowBlank="1" showInputMessage="1" showErrorMessage="1" error="This does not seem to be a correctly formatted time." sqref="R2:R543" xr:uid="{A861E904-04AE-4AB0-A624-BBC770C19A04}">
      <formula1>0</formula1>
    </dataValidation>
    <dataValidation type="date" errorStyle="warning" allowBlank="1" showInputMessage="1" showErrorMessage="1" error="This seems to either not be formatted correctly as a date, before the date of the call, or after today's date." sqref="AG2:AH543" xr:uid="{FCDEC58C-3144-4D05-BA57-2B733FF0CFA1}">
      <formula1>M2</formula1>
      <formula2>TODAY()</formula2>
    </dataValidation>
    <dataValidation type="date" errorStyle="warning" allowBlank="1" showInputMessage="1" showErrorMessage="1" error="This seems to either not be formatted correctly as a date, before the date of the call, or after today's date." sqref="AI2:AI543" xr:uid="{A310A2F5-1A02-41B9-AD89-C7C1D6F1FE0E}">
      <formula1>N2</formula1>
      <formula2>TODAY()</formula2>
    </dataValidation>
  </dataValidations>
  <pageMargins left="0.7" right="0.7" top="0.75" bottom="0.75" header="0.3" footer="0.3"/>
  <pageSetup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744F4-56D1-4C34-AF1A-476CBE7172F4}">
  <dimension ref="A1:G115"/>
  <sheetViews>
    <sheetView workbookViewId="0">
      <pane ySplit="1" topLeftCell="A2" activePane="bottomLeft" state="frozen"/>
      <selection activeCell="C31" sqref="C31"/>
      <selection pane="bottomLeft" activeCell="A2" sqref="A2:E115"/>
    </sheetView>
  </sheetViews>
  <sheetFormatPr defaultRowHeight="15" x14ac:dyDescent="0.25"/>
  <cols>
    <col min="1" max="1" width="18.5703125" bestFit="1" customWidth="1"/>
    <col min="2" max="2" width="43.85546875" bestFit="1" customWidth="1"/>
    <col min="3" max="3" width="43.85546875" customWidth="1"/>
    <col min="4" max="4" width="27.140625" customWidth="1"/>
    <col min="5" max="5" width="29.7109375" style="1" customWidth="1"/>
    <col min="6" max="6" width="17.5703125" bestFit="1" customWidth="1"/>
    <col min="7" max="7" width="97.28515625" bestFit="1" customWidth="1"/>
  </cols>
  <sheetData>
    <row r="1" spans="1:7" ht="60" x14ac:dyDescent="0.25">
      <c r="A1" t="s">
        <v>165</v>
      </c>
      <c r="B1" t="s">
        <v>164</v>
      </c>
      <c r="C1" t="s">
        <v>163</v>
      </c>
      <c r="D1" t="s">
        <v>162</v>
      </c>
      <c r="E1" s="1" t="s">
        <v>161</v>
      </c>
      <c r="F1" s="5" t="s">
        <v>244</v>
      </c>
      <c r="G1" s="6" t="s">
        <v>32</v>
      </c>
    </row>
    <row r="2" spans="1:7" x14ac:dyDescent="0.25">
      <c r="C2" s="1"/>
      <c r="F2" s="37"/>
      <c r="G2"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3" spans="1:7" x14ac:dyDescent="0.25">
      <c r="C3" s="1"/>
      <c r="F3" s="37"/>
      <c r="G3"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4" spans="1:7" x14ac:dyDescent="0.25">
      <c r="C4" s="1"/>
      <c r="F4" s="37"/>
      <c r="G4"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5" spans="1:7" x14ac:dyDescent="0.25">
      <c r="C5" s="1"/>
      <c r="F5" s="37"/>
      <c r="G5"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6" spans="1:7" x14ac:dyDescent="0.25">
      <c r="C6" s="1"/>
      <c r="F6" s="37"/>
      <c r="G6"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7" spans="1:7" x14ac:dyDescent="0.25">
      <c r="C7" s="1"/>
      <c r="F7" s="37"/>
      <c r="G7"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8" spans="1:7" x14ac:dyDescent="0.25">
      <c r="C8" s="1"/>
      <c r="F8" s="37"/>
      <c r="G8"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9" spans="1:7" x14ac:dyDescent="0.25">
      <c r="C9" s="1"/>
      <c r="F9" s="37"/>
      <c r="G9"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10" spans="1:7" x14ac:dyDescent="0.25">
      <c r="C10" s="1"/>
      <c r="F10" s="37"/>
      <c r="G10"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11" spans="1:7" x14ac:dyDescent="0.25">
      <c r="C11" s="1"/>
      <c r="F11" s="37"/>
      <c r="G11"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12" spans="1:7" x14ac:dyDescent="0.25">
      <c r="C12" s="1"/>
      <c r="F12" s="37"/>
      <c r="G12"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13" spans="1:7" x14ac:dyDescent="0.25">
      <c r="C13" s="1"/>
      <c r="F13" s="37"/>
      <c r="G13"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14" spans="1:7" x14ac:dyDescent="0.25">
      <c r="C14" s="1"/>
      <c r="F14" s="37"/>
      <c r="G14"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15" spans="1:7" x14ac:dyDescent="0.25">
      <c r="C15" s="1"/>
      <c r="F15" s="37"/>
      <c r="G15"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16" spans="1:7" x14ac:dyDescent="0.25">
      <c r="C16" s="1"/>
      <c r="F16" s="37"/>
      <c r="G16"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17" spans="3:7" x14ac:dyDescent="0.25">
      <c r="C17" s="1"/>
      <c r="F17" s="37"/>
      <c r="G17"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18" spans="3:7" x14ac:dyDescent="0.25">
      <c r="C18" s="1"/>
      <c r="F18" s="37"/>
      <c r="G18"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19" spans="3:7" x14ac:dyDescent="0.25">
      <c r="C19" s="1"/>
      <c r="F19" s="37"/>
      <c r="G19"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20" spans="3:7" x14ac:dyDescent="0.25">
      <c r="C20" s="1"/>
      <c r="F20" s="37"/>
      <c r="G20"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21" spans="3:7" x14ac:dyDescent="0.25">
      <c r="C21" s="1"/>
      <c r="F21" s="37"/>
      <c r="G21"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22" spans="3:7" x14ac:dyDescent="0.25">
      <c r="C22" s="1"/>
      <c r="F22" s="37"/>
      <c r="G22"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23" spans="3:7" x14ac:dyDescent="0.25">
      <c r="C23" s="1"/>
      <c r="F23" s="37"/>
      <c r="G23"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24" spans="3:7" x14ac:dyDescent="0.25">
      <c r="C24" s="11"/>
      <c r="F24" s="37"/>
      <c r="G24" s="52"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25" spans="3:7" x14ac:dyDescent="0.25">
      <c r="C25" s="11"/>
      <c r="F25" s="37"/>
      <c r="G25" s="52"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26" spans="3:7" x14ac:dyDescent="0.25">
      <c r="C26" s="11"/>
      <c r="F26" s="37"/>
      <c r="G26" s="52"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27" spans="3:7" x14ac:dyDescent="0.25">
      <c r="C27" s="11"/>
      <c r="F27" s="37"/>
      <c r="G27" s="52"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28" spans="3:7" x14ac:dyDescent="0.25">
      <c r="C28" s="11"/>
      <c r="F28" s="37"/>
      <c r="G28" s="52"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29" spans="3:7" x14ac:dyDescent="0.25">
      <c r="C29" s="11"/>
      <c r="F29" s="37"/>
      <c r="G29" s="52"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30" spans="3:7" x14ac:dyDescent="0.25">
      <c r="C30" s="11"/>
      <c r="F30" s="37"/>
      <c r="G30" s="52"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31" spans="3:7" x14ac:dyDescent="0.25">
      <c r="C31" s="11"/>
      <c r="F31" s="37"/>
      <c r="G31" s="52"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32" spans="3:7" x14ac:dyDescent="0.25">
      <c r="C32" s="11"/>
      <c r="F32" s="37"/>
      <c r="G32" s="52"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33" spans="3:7" x14ac:dyDescent="0.25">
      <c r="C33" s="11"/>
      <c r="F33" s="37"/>
      <c r="G33" s="52"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34" spans="3:7" x14ac:dyDescent="0.25">
      <c r="C34" s="11"/>
      <c r="F34" s="37"/>
      <c r="G34" s="52"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35" spans="3:7" x14ac:dyDescent="0.25">
      <c r="C35" s="11"/>
      <c r="F35" s="37"/>
      <c r="G35" s="52"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36" spans="3:7" x14ac:dyDescent="0.25">
      <c r="C36" s="11"/>
      <c r="F36" s="37"/>
      <c r="G36" s="52"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37" spans="3:7" x14ac:dyDescent="0.25">
      <c r="C37" s="11"/>
      <c r="F37" s="37"/>
      <c r="G37" s="52"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38" spans="3:7" x14ac:dyDescent="0.25">
      <c r="C38" s="11"/>
      <c r="F38" s="37"/>
      <c r="G38" s="52"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39" spans="3:7" x14ac:dyDescent="0.25">
      <c r="C39" s="11"/>
      <c r="F39" s="37"/>
      <c r="G39" s="52"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40" spans="3:7" x14ac:dyDescent="0.25">
      <c r="C40" s="11"/>
      <c r="F40" s="37"/>
      <c r="G40" s="52"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41" spans="3:7" x14ac:dyDescent="0.25">
      <c r="C41" s="11"/>
      <c r="F41" s="37"/>
      <c r="G41" s="52"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42" spans="3:7" x14ac:dyDescent="0.25">
      <c r="C42" s="11"/>
      <c r="F42" s="37"/>
      <c r="G42" s="52"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43" spans="3:7" x14ac:dyDescent="0.25">
      <c r="C43" s="11"/>
      <c r="F43" s="37"/>
      <c r="G43" s="52"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44" spans="3:7" x14ac:dyDescent="0.25">
      <c r="C44" s="11"/>
      <c r="F44" s="37"/>
      <c r="G44" s="52"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45" spans="3:7" x14ac:dyDescent="0.25">
      <c r="C45" s="11"/>
      <c r="F45" s="37"/>
      <c r="G45" s="52"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46" spans="3:7" x14ac:dyDescent="0.25">
      <c r="C46" s="11"/>
      <c r="F46" s="37"/>
      <c r="G46" s="52"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47" spans="3:7" x14ac:dyDescent="0.25">
      <c r="C47" s="11"/>
      <c r="F47" s="37"/>
      <c r="G47" s="52"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48" spans="3:7" x14ac:dyDescent="0.25">
      <c r="C48" s="11"/>
      <c r="F48" s="37"/>
      <c r="G48" s="52"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49" spans="3:7" x14ac:dyDescent="0.25">
      <c r="C49" s="11"/>
      <c r="F49" s="37"/>
      <c r="G49" s="52"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50" spans="3:7" x14ac:dyDescent="0.25">
      <c r="C50" s="11"/>
      <c r="F50" s="37"/>
      <c r="G50" s="52"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51" spans="3:7" x14ac:dyDescent="0.25">
      <c r="C51" s="11"/>
      <c r="F51" s="37"/>
      <c r="G51" s="52"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52" spans="3:7" x14ac:dyDescent="0.25">
      <c r="C52" s="11"/>
      <c r="F52" s="37"/>
      <c r="G52" s="52"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53" spans="3:7" x14ac:dyDescent="0.25">
      <c r="C53" s="11"/>
      <c r="F53" s="37"/>
      <c r="G53" s="52"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54" spans="3:7" x14ac:dyDescent="0.25">
      <c r="C54" s="11"/>
      <c r="F54" s="37"/>
      <c r="G54" s="52"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55" spans="3:7" x14ac:dyDescent="0.25">
      <c r="C55" s="11"/>
      <c r="F55" s="37"/>
      <c r="G55" s="52"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56" spans="3:7" x14ac:dyDescent="0.25">
      <c r="C56" s="11"/>
      <c r="F56" s="37"/>
      <c r="G56" s="52"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57" spans="3:7" x14ac:dyDescent="0.25">
      <c r="C57" s="11"/>
      <c r="F57" s="37"/>
      <c r="G57" s="52"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58" spans="3:7" x14ac:dyDescent="0.25">
      <c r="C58" s="11"/>
      <c r="F58" s="37"/>
      <c r="G58" s="52"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59" spans="3:7" x14ac:dyDescent="0.25">
      <c r="C59" s="11"/>
      <c r="F59" s="37"/>
      <c r="G59" s="52"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60" spans="3:7" x14ac:dyDescent="0.25">
      <c r="C60" s="11"/>
      <c r="F60" s="37"/>
      <c r="G60" s="52"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61" spans="3:7" x14ac:dyDescent="0.25">
      <c r="C61" s="11"/>
      <c r="F61" s="37"/>
      <c r="G61" s="52"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62" spans="3:7" x14ac:dyDescent="0.25">
      <c r="C62" s="11"/>
      <c r="F62" s="37"/>
      <c r="G62" s="52"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63" spans="3:7" x14ac:dyDescent="0.25">
      <c r="C63" s="11"/>
      <c r="F63" s="37"/>
      <c r="G63" s="52"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64" spans="3:7" x14ac:dyDescent="0.25">
      <c r="C64" s="11"/>
      <c r="F64" s="37"/>
      <c r="G64" s="52"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65" spans="3:7" x14ac:dyDescent="0.25">
      <c r="C65" s="11"/>
      <c r="F65" s="37"/>
      <c r="G65" s="52"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66" spans="3:7" x14ac:dyDescent="0.25">
      <c r="C66" s="11"/>
      <c r="F66" s="37"/>
      <c r="G66" s="52"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67" spans="3:7" x14ac:dyDescent="0.25">
      <c r="C67" s="11"/>
      <c r="F67" s="37"/>
      <c r="G67" s="52"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68" spans="3:7" x14ac:dyDescent="0.25">
      <c r="C68" s="11"/>
      <c r="F68" s="37"/>
      <c r="G68" s="52"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69" spans="3:7" x14ac:dyDescent="0.25">
      <c r="C69" s="11"/>
      <c r="F69" s="37"/>
      <c r="G69" s="52"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70" spans="3:7" x14ac:dyDescent="0.25">
      <c r="C70" s="11"/>
      <c r="F70" s="37"/>
      <c r="G70" s="52"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71" spans="3:7" x14ac:dyDescent="0.25">
      <c r="C71" s="11"/>
      <c r="F71" s="37"/>
      <c r="G71" s="52"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72" spans="3:7" x14ac:dyDescent="0.25">
      <c r="C72" s="11"/>
      <c r="F72" s="37"/>
      <c r="G72" s="52"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73" spans="3:7" x14ac:dyDescent="0.25">
      <c r="C73" s="11"/>
      <c r="F73" s="37"/>
      <c r="G73" s="52"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74" spans="3:7" x14ac:dyDescent="0.25">
      <c r="C74" s="11"/>
      <c r="F74" s="37"/>
      <c r="G74" s="52"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75" spans="3:7" x14ac:dyDescent="0.25">
      <c r="C75" s="11"/>
      <c r="F75" s="37"/>
      <c r="G75" s="52"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76" spans="3:7" x14ac:dyDescent="0.25">
      <c r="C76" s="11"/>
      <c r="F76" s="37"/>
      <c r="G76" s="52"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77" spans="3:7" x14ac:dyDescent="0.25">
      <c r="C77" s="11"/>
      <c r="F77" s="37"/>
      <c r="G77" s="52"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78" spans="3:7" x14ac:dyDescent="0.25">
      <c r="C78" s="11"/>
      <c r="F78" s="37"/>
      <c r="G78" s="52"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79" spans="3:7" x14ac:dyDescent="0.25">
      <c r="C79" s="11"/>
      <c r="F79" s="37"/>
      <c r="G79" s="52"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80" spans="3:7" x14ac:dyDescent="0.25">
      <c r="C80" s="11"/>
      <c r="F80" s="37"/>
      <c r="G80" s="52"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81" spans="3:7" x14ac:dyDescent="0.25">
      <c r="C81" s="11"/>
      <c r="F81" s="37"/>
      <c r="G81" s="52"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82" spans="3:7" x14ac:dyDescent="0.25">
      <c r="C82" s="11"/>
      <c r="F82" s="37"/>
      <c r="G82" s="52"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83" spans="3:7" x14ac:dyDescent="0.25">
      <c r="C83" s="11"/>
      <c r="F83" s="37"/>
      <c r="G83" s="52"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84" spans="3:7" x14ac:dyDescent="0.25">
      <c r="C84" s="11"/>
      <c r="F84" s="37"/>
      <c r="G84" s="52"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85" spans="3:7" x14ac:dyDescent="0.25">
      <c r="C85" s="11"/>
      <c r="F85" s="37"/>
      <c r="G85" s="52"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86" spans="3:7" x14ac:dyDescent="0.25">
      <c r="C86" s="11"/>
      <c r="F86" s="37"/>
      <c r="G86" s="52"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87" spans="3:7" x14ac:dyDescent="0.25">
      <c r="C87" s="11"/>
      <c r="F87" s="37"/>
      <c r="G87" s="52"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88" spans="3:7" x14ac:dyDescent="0.25">
      <c r="C88" s="11"/>
      <c r="F88" s="37"/>
      <c r="G88" s="52"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89" spans="3:7" x14ac:dyDescent="0.25">
      <c r="C89" s="11"/>
      <c r="F89" s="37"/>
      <c r="G89" s="52"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90" spans="3:7" x14ac:dyDescent="0.25">
      <c r="C90" s="11"/>
      <c r="F90" s="37"/>
      <c r="G90" s="52"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91" spans="3:7" x14ac:dyDescent="0.25">
      <c r="C91" s="11"/>
      <c r="F91" s="37"/>
      <c r="G91" s="52"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92" spans="3:7" x14ac:dyDescent="0.25">
      <c r="C92" s="11"/>
      <c r="F92" s="37"/>
      <c r="G92" s="52"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93" spans="3:7" x14ac:dyDescent="0.25">
      <c r="C93" s="11"/>
      <c r="F93" s="37"/>
      <c r="G93" s="52"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94" spans="3:7" x14ac:dyDescent="0.25">
      <c r="C94" s="11"/>
      <c r="F94" s="37"/>
      <c r="G94" s="52"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95" spans="3:7" x14ac:dyDescent="0.25">
      <c r="C95" s="11"/>
      <c r="F95" s="37"/>
      <c r="G95" s="52"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96" spans="3:7" x14ac:dyDescent="0.25">
      <c r="C96" s="11"/>
      <c r="F96" s="37"/>
      <c r="G96" s="52"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97" spans="3:7" x14ac:dyDescent="0.25">
      <c r="C97" s="11"/>
      <c r="F97" s="37"/>
      <c r="G97" s="52"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98" spans="3:7" x14ac:dyDescent="0.25">
      <c r="C98" s="11"/>
      <c r="F98" s="37"/>
      <c r="G98" s="52"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99" spans="3:7" x14ac:dyDescent="0.25">
      <c r="C99" s="11"/>
      <c r="F99" s="37"/>
      <c r="G99" s="52"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100" spans="3:7" x14ac:dyDescent="0.25">
      <c r="C100" s="11"/>
      <c r="F100" s="37"/>
      <c r="G100" s="52"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101" spans="3:7" x14ac:dyDescent="0.25">
      <c r="C101" s="11"/>
      <c r="F101" s="37"/>
      <c r="G101" s="52"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102" spans="3:7" x14ac:dyDescent="0.25">
      <c r="C102" s="11"/>
      <c r="F102" s="37"/>
      <c r="G102" s="52"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103" spans="3:7" x14ac:dyDescent="0.25">
      <c r="C103" s="11"/>
      <c r="F103" s="37"/>
      <c r="G103" s="52"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104" spans="3:7" x14ac:dyDescent="0.25">
      <c r="C104" s="11"/>
      <c r="F104" s="37"/>
      <c r="G104" s="52"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105" spans="3:7" x14ac:dyDescent="0.25">
      <c r="C105" s="11"/>
      <c r="F105" s="37"/>
      <c r="G105" s="52"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106" spans="3:7" x14ac:dyDescent="0.25">
      <c r="C106" s="11"/>
      <c r="F106" s="37"/>
      <c r="G106" s="52"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107" spans="3:7" x14ac:dyDescent="0.25">
      <c r="C107" s="11"/>
      <c r="F107" s="37"/>
      <c r="G107" s="52"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108" spans="3:7" x14ac:dyDescent="0.25">
      <c r="C108" s="11"/>
      <c r="F108" s="37"/>
      <c r="G108" s="52"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109" spans="3:7" x14ac:dyDescent="0.25">
      <c r="C109" s="11"/>
      <c r="F109" s="37"/>
      <c r="G109" s="52"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110" spans="3:7" x14ac:dyDescent="0.25">
      <c r="C110" s="11"/>
      <c r="F110" s="37"/>
      <c r="G110" s="52"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111" spans="3:7" x14ac:dyDescent="0.25">
      <c r="C111" s="11"/>
      <c r="F111" s="37"/>
      <c r="G111" s="52"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112" spans="3:7" x14ac:dyDescent="0.25">
      <c r="C112" s="11"/>
      <c r="F112" s="37"/>
      <c r="G112" s="52"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113" spans="3:7" x14ac:dyDescent="0.25">
      <c r="C113" s="11"/>
      <c r="F113" s="37"/>
      <c r="G113" s="52"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114" spans="3:7" x14ac:dyDescent="0.25">
      <c r="C114" s="11"/>
      <c r="F114" s="37"/>
      <c r="G114" s="52"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row r="115" spans="3:7" x14ac:dyDescent="0.25">
      <c r="C115" s="11"/>
      <c r="F115" s="37"/>
      <c r="G115" s="52" t="str">
        <f ca="1" xml:space="preserve">
IF(
AND(COUNTA(Table1[[#This Row],[Type of Entity Where Outreach was Provided]:[Date of Outreach]])&gt;0,TRIM(Table1[[#This Row],[Type of Outreach]])=""),
"A field in this row is filled in but Type of Outreach is blank.",
IF(
AND(TRIM(Table1[[#This Row],[Type of Outreach]])&lt;&gt;"",TRIM(Table1[[#This Row],[Type of Entity Where Outreach was Provided]])=""),
"Type of Outreach is filled in for this row but Type of Entity Where Outreach was Provided is blank.",
IF(
AND(TRIM(Table1[[#This Row],[Type of Outreach]])&lt;&gt;"",TRIM(Table1[[#This Row],[Name of Entity]])=""),
"Type of Outreach is filled in for this row but Name of Entity is blank.",
IF(
AND(TRIM(Table1[[#This Row],[Type of Outreach]])&lt;&gt;"",TRIM(Table1[[#This Row],[Date of Outreach]])=""),
"Type of Outreach is filled in for this row but Date of Outreach is blank.",
IF(
AND(Table1[[#This Row],[Type of Entity Where Outreach was Provided]]="Other - Explain in next column",TRIM(Table1[[#This Row],[Explain "Other"]])=""),
"Type of Entity Where Outreach was Provided is listed as Other, but nothing is in the Explain Other column.",
IF(
AND(Table1[[#This Row],[Type of Entity Where Outreach was Provided]]&lt;&gt;"",COUNTIFS(OutreachEntity[OutreachEntity],Table1[[#This Row],[Type of Entity Where Outreach was Provided]])=0),
"Type of Entity Where Outreach Was Provided is not blank, but the entry in that field is not from the dropdown.",
IF(
AND(Table1[[#This Row],[Date of Outreach]]&lt;&gt;"",Table1[[#This Row],[Date of Outreach]]&lt;DATE(Instructions!$B$10-1,7,1)),
"The Date of Outreach is either not a valid date or is before the  beginning of the fiscal year.",
IF(
AND(Table1[[#This Row],[Date of Outreach]]&lt;&gt;"",Table1[[#This Row],[Date of Outreach]]&gt;TODAY()),
"The Date of Outreach is either not a valid date or is after today's date.",
""
))))))))</f>
        <v/>
      </c>
    </row>
  </sheetData>
  <conditionalFormatting sqref="A2:G115">
    <cfRule type="expression" dxfId="4" priority="2">
      <formula>$G2&lt;&gt;""</formula>
    </cfRule>
  </conditionalFormatting>
  <dataValidations count="1">
    <dataValidation type="list" errorStyle="warning" allowBlank="1" showInputMessage="1" showErrorMessage="1" error="Please enter a value from the dropdown menu." sqref="B2:B115" xr:uid="{750CF0BF-711E-4389-9747-D5FB402032C0}">
      <formula1>INDIRECT("OutreachEntity")</formula1>
    </dataValidation>
  </dataValidations>
  <pageMargins left="0.7" right="0.7" top="0.75" bottom="0.75" header="0.3" footer="0.3"/>
  <pageSetup orientation="portrait" r:id="rId1"/>
  <tableParts count="1">
    <tablePart r:id="rId2"/>
  </tableParts>
  <extLst>
    <ext xmlns:x14="http://schemas.microsoft.com/office/spreadsheetml/2009/9/main" uri="{CCE6A557-97BC-4b89-ADB6-D9C93CAAB3DF}">
      <x14:dataValidations xmlns:xm="http://schemas.microsoft.com/office/excel/2006/main" count="1">
        <x14:dataValidation type="date" errorStyle="warning" allowBlank="1" showInputMessage="1" showErrorMessage="1" error="Please enter a valid date between the beginning of the fiscal year and today's date." xr:uid="{09F75EF6-F2F8-43B5-9354-0CD9E0A414CD}">
          <x14:formula1>
            <xm:f>DATE(Instructions!$B$10-1,7,1)</xm:f>
          </x14:formula1>
          <x14:formula2>
            <xm:f>TODAY()</xm:f>
          </x14:formula2>
          <xm:sqref>E2:E115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DA3FA2-A424-4F99-BBBA-3B11FF5A80A9}">
  <dimension ref="A1:H22"/>
  <sheetViews>
    <sheetView topLeftCell="A4" zoomScaleNormal="100" workbookViewId="0">
      <selection activeCell="A18" sqref="A18:F18"/>
    </sheetView>
  </sheetViews>
  <sheetFormatPr defaultRowHeight="16.5" x14ac:dyDescent="0.3"/>
  <cols>
    <col min="1" max="1" width="22.85546875" style="24" bestFit="1" customWidth="1"/>
    <col min="2" max="2" width="18" style="24" bestFit="1" customWidth="1"/>
    <col min="3" max="3" width="14.42578125" style="24" bestFit="1" customWidth="1"/>
    <col min="4" max="4" width="13.5703125" style="24" bestFit="1" customWidth="1"/>
    <col min="5" max="5" width="20" style="24" customWidth="1"/>
    <col min="6" max="6" width="22.42578125" style="24" bestFit="1" customWidth="1"/>
    <col min="7" max="7" width="11.5703125" style="24" bestFit="1" customWidth="1"/>
    <col min="8" max="8" width="121.140625" style="24" bestFit="1" customWidth="1"/>
    <col min="9" max="16384" width="9.140625" style="24"/>
  </cols>
  <sheetData>
    <row r="1" spans="1:8" x14ac:dyDescent="0.3">
      <c r="A1" s="70" t="s">
        <v>179</v>
      </c>
      <c r="B1" s="70"/>
      <c r="C1" s="70"/>
      <c r="D1" s="70"/>
      <c r="E1" s="70"/>
      <c r="F1" s="70"/>
    </row>
    <row r="2" spans="1:8" x14ac:dyDescent="0.3">
      <c r="A2" s="28" t="s">
        <v>178</v>
      </c>
      <c r="B2" s="70" t="str">
        <f>IF(Instructions!$B$8=0,"",Instructions!$B$8)</f>
        <v/>
      </c>
      <c r="C2" s="70"/>
      <c r="D2" s="70"/>
      <c r="E2" s="70"/>
      <c r="F2" s="70"/>
    </row>
    <row r="3" spans="1:8" x14ac:dyDescent="0.3">
      <c r="A3" s="28" t="s">
        <v>177</v>
      </c>
      <c r="B3" s="70" t="str">
        <f>IF(Instructions!$B$9=0,"",Instructions!$B$9)</f>
        <v/>
      </c>
      <c r="C3" s="70"/>
      <c r="D3" s="70"/>
      <c r="E3" s="70"/>
      <c r="F3" s="70"/>
    </row>
    <row r="4" spans="1:8" ht="90.75" customHeight="1" x14ac:dyDescent="0.3">
      <c r="A4" s="27" t="s">
        <v>176</v>
      </c>
      <c r="B4" s="27" t="s">
        <v>175</v>
      </c>
      <c r="C4" s="27" t="s">
        <v>174</v>
      </c>
      <c r="D4" s="27" t="s">
        <v>173</v>
      </c>
      <c r="E4" s="27" t="s">
        <v>172</v>
      </c>
      <c r="F4" s="27" t="s">
        <v>171</v>
      </c>
      <c r="G4" s="27" t="s">
        <v>244</v>
      </c>
      <c r="H4" s="27" t="s">
        <v>32</v>
      </c>
    </row>
    <row r="5" spans="1:8" x14ac:dyDescent="0.3">
      <c r="A5" s="34">
        <f>DATE(Instructions!B10-1,7,1)</f>
        <v>44378</v>
      </c>
      <c r="B5" s="26"/>
      <c r="C5" s="26"/>
      <c r="D5" s="26"/>
      <c r="E5" s="26"/>
      <c r="F5" s="26"/>
      <c r="G5" s="38"/>
      <c r="H5" s="51" t="str">
        <f>IF(
AND(COUNTA(C5:F5)&gt;0,TRIM(B5)=""),
"One of the fields on this row is filled in, but How many calls were received? is blank.",
IF(
AND(TRIM(B5)&lt;&gt;"",TRIM(C5)=""),
"One of the fields on this row is filled in, but How many calls originated from a school? is blank. Please enter 0 if no calls were received in this category.",
IF(
AND(TRIM(B5)&lt;&gt;"",TRIM(D5)=""),
"One of the fields on this row is filled in, but How many calls required an acute response? is blank. Please enter 0 if no calls were received in this category.",
IF(
AND(TRIM(B5)&lt;&gt;"",TRIM(E5)=""),
"One of the fields on this row is filled in, but Of the calls requiring an acute response, how many resulted in an involuntary examination? is blank. Please enter 0 if no calls were received in this category.",
IF(
AND(TRIM(B5)&lt;&gt;"",TRIM(F5)=""),
"One of the fields on this row is filled in, but Of the calls requiring an acute response, how many were diverted from an involuntary examination? is blank. Please enter 0 if no calls were received in this category.",
IF(
AND(B5&lt;&gt;"",C5&gt;B5),
"How many call originated from a school? Is greater than How many calls were received?",
IF(
AND(B5&lt;&gt;"",D5&gt;B5),
"How many call required an acute response? Is greater than How many calls were received?",
IF(
AND(B5&lt;&gt;"",(E5+F5)&lt;&gt;D5),
"Columns E and F do not add up to equal column D.",
""
))))))))</f>
        <v/>
      </c>
    </row>
    <row r="6" spans="1:8" x14ac:dyDescent="0.3">
      <c r="A6" s="34">
        <f>DATE(Instructions!B10-1,8,1)</f>
        <v>44409</v>
      </c>
      <c r="B6" s="26"/>
      <c r="C6" s="26"/>
      <c r="D6" s="26"/>
      <c r="E6" s="26"/>
      <c r="F6" s="26"/>
      <c r="G6" s="38"/>
      <c r="H6" s="25" t="str">
        <f t="shared" ref="H6:H16" si="0">IF(
AND(COUNTA(C6:F6)&gt;0,TRIM(B6)=""),
"One of the fields on this row is filled in, but How many calls were received? is blank.",
IF(
AND(TRIM(B6)&lt;&gt;"",TRIM(C6)=""),
"One of the fields on this row is filled in, but How many calls originated from a school? is blank. Please enter 0 if no calls were received in this category.",
IF(
AND(TRIM(B6)&lt;&gt;"",TRIM(D6)=""),
"One of the fields on this row is filled in, but How many calls required an acute response? is blank. Please enter 0 if no calls were received in this category.",
IF(
AND(TRIM(B6)&lt;&gt;"",TRIM(E6)=""),
"One of the fields on this row is filled in, but Of the calls requiring an acute response, how many resulted in an involuntary examination? is blank. Please enter 0 if no calls were received in this category.",
IF(
AND(TRIM(B6)&lt;&gt;"",TRIM(F6)=""),
"One of the fields on this row is filled in, but Of the calls requiring an acute response, how many were diverted from an involuntary examination? is blank. Please enter 0 if no calls were received in this category.",
IF(
AND(B6&lt;&gt;"",C6&gt;B6),
"How many call originated from a school? Is greater than How many calls were received?",
IF(
AND(B6&lt;&gt;"",D6&gt;B6),
"How many call required an acute response? Is greater than How many calls were received?",
IF(
AND(B6&lt;&gt;"",(E6+F6)&lt;&gt;D6),
"Columns E and F do not add up to equal column D.",
""
))))))))</f>
        <v/>
      </c>
    </row>
    <row r="7" spans="1:8" x14ac:dyDescent="0.3">
      <c r="A7" s="34">
        <f>DATE(Instructions!B10-1,9,1)</f>
        <v>44440</v>
      </c>
      <c r="B7" s="26"/>
      <c r="C7" s="26"/>
      <c r="D7" s="26"/>
      <c r="E7" s="26"/>
      <c r="F7" s="26"/>
      <c r="G7" s="38"/>
      <c r="H7" s="25" t="str">
        <f t="shared" si="0"/>
        <v/>
      </c>
    </row>
    <row r="8" spans="1:8" x14ac:dyDescent="0.3">
      <c r="A8" s="34">
        <f>DATE(Instructions!B10-1,10,1)</f>
        <v>44470</v>
      </c>
      <c r="B8" s="26"/>
      <c r="C8" s="26"/>
      <c r="D8" s="26"/>
      <c r="E8" s="26"/>
      <c r="F8" s="26"/>
      <c r="G8" s="38"/>
      <c r="H8" s="25" t="str">
        <f t="shared" si="0"/>
        <v/>
      </c>
    </row>
    <row r="9" spans="1:8" x14ac:dyDescent="0.3">
      <c r="A9" s="34">
        <f>DATE(Instructions!B10-1,11,1)</f>
        <v>44501</v>
      </c>
      <c r="B9" s="26"/>
      <c r="C9" s="26"/>
      <c r="D9" s="26"/>
      <c r="E9" s="26"/>
      <c r="F9" s="26"/>
      <c r="G9" s="38"/>
      <c r="H9" s="25" t="str">
        <f t="shared" si="0"/>
        <v/>
      </c>
    </row>
    <row r="10" spans="1:8" x14ac:dyDescent="0.3">
      <c r="A10" s="34">
        <f>DATE(Instructions!B10-1,12,1)</f>
        <v>44531</v>
      </c>
      <c r="B10" s="26"/>
      <c r="C10" s="26"/>
      <c r="D10" s="26"/>
      <c r="E10" s="26"/>
      <c r="F10" s="26"/>
      <c r="G10" s="38"/>
      <c r="H10" s="25" t="str">
        <f t="shared" si="0"/>
        <v/>
      </c>
    </row>
    <row r="11" spans="1:8" x14ac:dyDescent="0.3">
      <c r="A11" s="34">
        <f>DATE(Instructions!B10,1,1)</f>
        <v>44562</v>
      </c>
      <c r="B11" s="26"/>
      <c r="C11" s="26"/>
      <c r="D11" s="26"/>
      <c r="E11" s="26"/>
      <c r="F11" s="26"/>
      <c r="G11" s="38"/>
      <c r="H11" s="25" t="str">
        <f t="shared" si="0"/>
        <v/>
      </c>
    </row>
    <row r="12" spans="1:8" x14ac:dyDescent="0.3">
      <c r="A12" s="34">
        <f>DATE(Instructions!B10,2,1)</f>
        <v>44593</v>
      </c>
      <c r="B12" s="26"/>
      <c r="C12" s="26"/>
      <c r="D12" s="26"/>
      <c r="E12" s="26"/>
      <c r="F12" s="26"/>
      <c r="G12" s="38"/>
      <c r="H12" s="25" t="str">
        <f t="shared" si="0"/>
        <v/>
      </c>
    </row>
    <row r="13" spans="1:8" x14ac:dyDescent="0.3">
      <c r="A13" s="34">
        <f>DATE(Instructions!B10,3,1)</f>
        <v>44621</v>
      </c>
      <c r="B13" s="26"/>
      <c r="C13" s="26"/>
      <c r="D13" s="26"/>
      <c r="E13" s="26"/>
      <c r="F13" s="26"/>
      <c r="G13" s="38"/>
      <c r="H13" s="25" t="str">
        <f t="shared" si="0"/>
        <v/>
      </c>
    </row>
    <row r="14" spans="1:8" x14ac:dyDescent="0.3">
      <c r="A14" s="34">
        <f>DATE(Instructions!B10,4,1)</f>
        <v>44652</v>
      </c>
      <c r="B14" s="26"/>
      <c r="C14" s="26"/>
      <c r="D14" s="26"/>
      <c r="E14" s="26"/>
      <c r="F14" s="26"/>
      <c r="G14" s="38"/>
      <c r="H14" s="25" t="str">
        <f t="shared" si="0"/>
        <v/>
      </c>
    </row>
    <row r="15" spans="1:8" x14ac:dyDescent="0.3">
      <c r="A15" s="34">
        <f>DATE(Instructions!B10,5,1)</f>
        <v>44682</v>
      </c>
      <c r="B15" s="26"/>
      <c r="C15" s="26"/>
      <c r="D15" s="26"/>
      <c r="E15" s="26"/>
      <c r="F15" s="26"/>
      <c r="G15" s="38"/>
      <c r="H15" s="25" t="str">
        <f t="shared" si="0"/>
        <v/>
      </c>
    </row>
    <row r="16" spans="1:8" x14ac:dyDescent="0.3">
      <c r="A16" s="34">
        <f>DATE(Instructions!B10,6,1)</f>
        <v>44713</v>
      </c>
      <c r="B16" s="26"/>
      <c r="C16" s="26"/>
      <c r="D16" s="26"/>
      <c r="E16" s="26"/>
      <c r="F16" s="26"/>
      <c r="G16" s="38"/>
      <c r="H16" s="25" t="str">
        <f t="shared" si="0"/>
        <v/>
      </c>
    </row>
    <row r="18" spans="1:8" ht="36.75" customHeight="1" x14ac:dyDescent="0.3">
      <c r="A18" s="71" t="s">
        <v>170</v>
      </c>
      <c r="B18" s="71"/>
      <c r="C18" s="71"/>
      <c r="D18" s="71"/>
      <c r="E18" s="71"/>
      <c r="F18" s="71"/>
    </row>
    <row r="19" spans="1:8" x14ac:dyDescent="0.3">
      <c r="A19" s="69" t="s">
        <v>169</v>
      </c>
      <c r="B19" s="69"/>
      <c r="C19" s="69"/>
      <c r="D19" s="69"/>
      <c r="E19" s="69"/>
      <c r="F19" s="69"/>
    </row>
    <row r="20" spans="1:8" ht="36" customHeight="1" x14ac:dyDescent="0.3">
      <c r="A20" s="71" t="s">
        <v>168</v>
      </c>
      <c r="B20" s="71"/>
      <c r="C20" s="71"/>
      <c r="D20" s="71"/>
      <c r="E20" s="71"/>
      <c r="F20" s="71"/>
      <c r="G20" s="25"/>
      <c r="H20" s="25"/>
    </row>
    <row r="21" spans="1:8" x14ac:dyDescent="0.3">
      <c r="A21" s="69" t="s">
        <v>167</v>
      </c>
      <c r="B21" s="69"/>
      <c r="C21" s="69"/>
      <c r="D21" s="69"/>
      <c r="E21" s="69"/>
      <c r="F21" s="69"/>
    </row>
    <row r="22" spans="1:8" x14ac:dyDescent="0.3">
      <c r="A22" s="69" t="s">
        <v>166</v>
      </c>
      <c r="B22" s="69"/>
      <c r="C22" s="69"/>
      <c r="D22" s="69"/>
      <c r="E22" s="69"/>
      <c r="F22" s="69"/>
    </row>
  </sheetData>
  <mergeCells count="8">
    <mergeCell ref="A21:F21"/>
    <mergeCell ref="A22:F22"/>
    <mergeCell ref="A1:F1"/>
    <mergeCell ref="B2:F2"/>
    <mergeCell ref="B3:F3"/>
    <mergeCell ref="A18:F18"/>
    <mergeCell ref="A19:F19"/>
    <mergeCell ref="A20:F20"/>
  </mergeCells>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0E6C3-E2ED-46F3-967B-FF0E343DCFB9}">
  <dimension ref="A1:O24"/>
  <sheetViews>
    <sheetView zoomScaleNormal="100" workbookViewId="0">
      <selection activeCell="O4" sqref="O4"/>
    </sheetView>
  </sheetViews>
  <sheetFormatPr defaultRowHeight="16.5" x14ac:dyDescent="0.3"/>
  <cols>
    <col min="1" max="1" width="26.85546875" style="24" customWidth="1"/>
    <col min="2" max="3" width="11.5703125" style="24" customWidth="1"/>
    <col min="4" max="4" width="17.7109375" style="24" customWidth="1"/>
    <col min="5" max="5" width="14.7109375" style="24" customWidth="1"/>
    <col min="6" max="6" width="15.140625" style="24" customWidth="1"/>
    <col min="7" max="7" width="15" style="24" customWidth="1"/>
    <col min="8" max="8" width="16.28515625" style="24" customWidth="1"/>
    <col min="9" max="15" width="16.42578125" style="24" customWidth="1"/>
    <col min="16" max="16384" width="9.140625" style="24"/>
  </cols>
  <sheetData>
    <row r="1" spans="1:15" x14ac:dyDescent="0.3">
      <c r="A1" s="73" t="s">
        <v>194</v>
      </c>
      <c r="B1" s="74"/>
      <c r="C1" s="74"/>
      <c r="D1" s="74"/>
      <c r="E1" s="74"/>
      <c r="F1" s="74"/>
      <c r="G1" s="74"/>
      <c r="H1" s="74"/>
      <c r="I1" s="74"/>
      <c r="J1" s="74"/>
      <c r="K1" s="74"/>
      <c r="L1" s="74"/>
      <c r="M1" s="74"/>
      <c r="N1" s="74"/>
      <c r="O1" s="75"/>
    </row>
    <row r="2" spans="1:15" x14ac:dyDescent="0.3">
      <c r="A2" s="28" t="s">
        <v>193</v>
      </c>
      <c r="B2" s="73" t="str">
        <f>IF(Instructions!$B$8=0,"",Instructions!$B$8)</f>
        <v/>
      </c>
      <c r="C2" s="74"/>
      <c r="D2" s="74"/>
      <c r="E2" s="74"/>
      <c r="F2" s="74"/>
      <c r="G2" s="74"/>
      <c r="H2" s="74"/>
      <c r="I2" s="74"/>
      <c r="J2" s="74"/>
      <c r="K2" s="74"/>
      <c r="L2" s="74"/>
      <c r="M2" s="74"/>
      <c r="N2" s="74"/>
      <c r="O2" s="75"/>
    </row>
    <row r="3" spans="1:15" x14ac:dyDescent="0.3">
      <c r="A3" s="28" t="s">
        <v>177</v>
      </c>
      <c r="B3" s="73" t="str">
        <f>IF(Instructions!$B$9=0,"",Instructions!$B$9)</f>
        <v/>
      </c>
      <c r="C3" s="74"/>
      <c r="D3" s="74"/>
      <c r="E3" s="74"/>
      <c r="F3" s="74"/>
      <c r="G3" s="74"/>
      <c r="H3" s="74"/>
      <c r="I3" s="74"/>
      <c r="J3" s="74"/>
      <c r="K3" s="74"/>
      <c r="L3" s="74"/>
      <c r="M3" s="74"/>
      <c r="N3" s="74"/>
      <c r="O3" s="75"/>
    </row>
    <row r="4" spans="1:15" s="33" customFormat="1" ht="165" x14ac:dyDescent="0.25">
      <c r="A4" s="27" t="s">
        <v>192</v>
      </c>
      <c r="B4" s="27" t="s">
        <v>191</v>
      </c>
      <c r="C4" s="27" t="s">
        <v>253</v>
      </c>
      <c r="D4" s="27" t="s">
        <v>190</v>
      </c>
      <c r="E4" s="27" t="s">
        <v>189</v>
      </c>
      <c r="F4" s="27" t="s">
        <v>188</v>
      </c>
      <c r="G4" s="27" t="s">
        <v>187</v>
      </c>
      <c r="H4" s="27" t="s">
        <v>186</v>
      </c>
      <c r="I4" s="27" t="s">
        <v>185</v>
      </c>
      <c r="J4" s="27" t="s">
        <v>184</v>
      </c>
      <c r="K4" s="27" t="s">
        <v>172</v>
      </c>
      <c r="L4" s="27" t="s">
        <v>183</v>
      </c>
      <c r="M4" s="27" t="s">
        <v>171</v>
      </c>
      <c r="N4" s="27" t="s">
        <v>182</v>
      </c>
      <c r="O4" s="27" t="s">
        <v>933</v>
      </c>
    </row>
    <row r="5" spans="1:15" x14ac:dyDescent="0.3">
      <c r="A5" s="34">
        <f>DATE(Instructions!B10-1,7,1)</f>
        <v>44378</v>
      </c>
      <c r="B5" s="26">
        <f>COUNTIFS(Table24[Client ID '#],"&lt;&gt;",Table24[Date of Call],"&lt;="&amp;EOMONTH('DCF Funded'!A5,0),Table24[Date of Call],"&gt;="&amp;'DCF Funded'!A5)</f>
        <v>0</v>
      </c>
      <c r="C5" s="54" cm="1">
        <f t="array" ref="C5">IFERROR(ROWS(_xlfn.UNIQUE(_xlfn._xlws.FILTER(Table24[Client ID '#], (Table24[Date of Call]&lt;=EOMONTH('DCF Funded'!A5,0)) * (Table24[Date of Call]&gt;='DCF Funded'!A5)))), 0)</f>
        <v>0</v>
      </c>
      <c r="D5" s="26">
        <f>COUNTIFS(Table24[Client ID '#],"&lt;&gt;",Table24[Date of Call],"&lt;="&amp;EOMONTH('DCF Funded'!A5,0),Table24[Date of Call],"&gt;="&amp;'DCF Funded'!A5,Table24[Under 18],"Yes",Table24[If client is under 18, is the client involved in child welfare?],"Yes")</f>
        <v>0</v>
      </c>
      <c r="E5" s="26">
        <f>COUNTIFS(Table24[Client ID '#],"&lt;&gt;",Table24[Date of Call],"&lt;="&amp;EOMONTH('DCF Funded'!A5,0),Table24[Date of Call],"&gt;="&amp;'DCF Funded'!A5,Table24[Source of Inital Call],"School")</f>
        <v>0</v>
      </c>
      <c r="F5" s="26">
        <f>COUNTIFS(Table24[Client ID '#],"&lt;&gt;",Table24[Date of Call],"&lt;="&amp;EOMONTH('DCF Funded'!A5,0),Table24[Date of Call],"&gt;="&amp;'DCF Funded'!A5,Table24[Under 18],"Yes",Table24[If client is under 18, was parental consent obtained?],"Yes")</f>
        <v>0</v>
      </c>
      <c r="G5" s="26">
        <f>COUNTIFS(Table24[Client ID '#],"&lt;&gt;",Table24[Date of Call],"&lt;="&amp;EOMONTH('DCF Funded'!A5,0),Table24[Date of Call],"&gt;="&amp;'DCF Funded'!A5,Table24[Under 18],"Yes",Table24[If client is under 18, was parental consent obtained?],"Parent Refused")</f>
        <v>0</v>
      </c>
      <c r="H5" s="26">
        <f>COUNTIFS(Table24[Client ID '#],"&lt;&gt;",Table24[Date of Call],"&lt;="&amp;EOMONTH('DCF Funded'!A5,0),Table24[Date of Call],"&gt;="&amp;'DCF Funded'!A5,Table24[Under 18],"Yes",Table24[If client is under 18, was parental consent obtained?],"Unable to Reach Parent")</f>
        <v>0</v>
      </c>
      <c r="I5" s="26">
        <f>COUNTIFS(Table24[Client ID '#],"&lt;&gt;",Table24[Date of Call],"&lt;="&amp;EOMONTH('DCF Funded'!A5,0),Table24[Date of Call],"&gt;="&amp;'DCF Funded'!A5,Table24[Reason if Not Seen],"&lt;&gt;Cancelled by Caller",Table24[Intervention Determined],"&lt;&gt;Cancellation")</f>
        <v>0</v>
      </c>
      <c r="J5" s="26">
        <f>COUNTIFS(Table24[Client ID '#],"&lt;&gt;",Table24[Date of Call],"&lt;="&amp;EOMONTH('DCF Funded'!A5,0),Table24[Date of Call],"&gt;="&amp;'DCF Funded'!A5,Table24[Reason if Not Seen],"&lt;&gt;Cancelled by Caller",Table24[Intervention Determined],"&lt;&gt;Cancellation",Table24[Under 18],"Yes")</f>
        <v>0</v>
      </c>
      <c r="K5" s="26">
        <f>COUNTIFS(Table24[Client ID '#],"&lt;&gt;",Table24[Date of Call],"&lt;="&amp;EOMONTH('DCF Funded'!A5,0),Table24[Date of Call],"&gt;="&amp;'DCF Funded'!A5,Table24[Reason if Not Seen],"&lt;&gt;Cancelled by Caller",Table24[Intervention Determined],"&lt;&gt;Cancellation",Table24[Admission to CSU?],"Yes")</f>
        <v>0</v>
      </c>
      <c r="L5" s="26">
        <f>COUNTIFS(Table24[Client ID '#],"&lt;&gt;",Table24[Date of Call],"&lt;="&amp;EOMONTH('DCF Funded'!A5,0),Table24[Date of Call],"&gt;="&amp;'DCF Funded'!A5,Table24[Reason if Not Seen],"&lt;&gt;Cancelled by Caller",Table24[Intervention Determined],"&lt;&gt;Cancellation",Table24[Admission to CSU?],"Yes",Table24[Source of Inital Call],"School")</f>
        <v>0</v>
      </c>
      <c r="M5" s="26">
        <f>I5-K5</f>
        <v>0</v>
      </c>
      <c r="N5" s="61" t="str">
        <f>IFERROR(AVERAGEIFS(Table24[Response Time],Table24[Client ID '#],"&lt;&gt;",Table24[Date of Call],"&lt;="&amp;EOMONTH(A5,0),Table24[Date of Call],"&gt;="&amp;A5,Table24[Reason if Not Seen],"&lt;&gt;Cancelled by Caller"),"")</f>
        <v/>
      </c>
      <c r="O5" s="26"/>
    </row>
    <row r="6" spans="1:15" x14ac:dyDescent="0.3">
      <c r="A6" s="34">
        <f>DATE(Instructions!B10-1,8,1)</f>
        <v>44409</v>
      </c>
      <c r="B6" s="26">
        <f>COUNTIFS(Table24[Client ID '#],"&lt;&gt;",Table24[Date of Call],"&lt;="&amp;EOMONTH('DCF Funded'!A6,0),Table24[Date of Call],"&gt;="&amp;'DCF Funded'!A6)</f>
        <v>0</v>
      </c>
      <c r="C6" s="54" cm="1">
        <f t="array" ref="C6">IFERROR(ROWS(_xlfn.UNIQUE(_xlfn._xlws.FILTER(Table24[Client ID '#], (Table24[Date of Call]&lt;=EOMONTH('DCF Funded'!A6,0)) * (Table24[Date of Call]&gt;='DCF Funded'!A6)))), 0)</f>
        <v>0</v>
      </c>
      <c r="D6" s="26">
        <f>COUNTIFS(Table24[Client ID '#],"&lt;&gt;",Table24[Date of Call],"&lt;="&amp;EOMONTH('DCF Funded'!A6,0),Table24[Date of Call],"&gt;="&amp;'DCF Funded'!A6,Table24[Under 18],"Yes",Table24[If client is under 18, is the client involved in child welfare?],"Yes")</f>
        <v>0</v>
      </c>
      <c r="E6" s="26">
        <f>COUNTIFS(Table24[Client ID '#],"&lt;&gt;",Table24[Date of Call],"&lt;="&amp;EOMONTH('DCF Funded'!A6,0),Table24[Date of Call],"&gt;="&amp;'DCF Funded'!A6,Table24[Source of Inital Call],"School")</f>
        <v>0</v>
      </c>
      <c r="F6" s="26">
        <f>COUNTIFS(Table24[Client ID '#],"&lt;&gt;",Table24[Date of Call],"&lt;="&amp;EOMONTH('DCF Funded'!A6,0),Table24[Date of Call],"&gt;="&amp;'DCF Funded'!A6,Table24[Under 18],"Yes",Table24[If client is under 18, was parental consent obtained?],"Yes")</f>
        <v>0</v>
      </c>
      <c r="G6" s="26">
        <f>COUNTIFS(Table24[Client ID '#],"&lt;&gt;",Table24[Date of Call],"&lt;="&amp;EOMONTH('DCF Funded'!A6,0),Table24[Date of Call],"&gt;="&amp;'DCF Funded'!A6,Table24[Under 18],"Yes",Table24[If client is under 18, was parental consent obtained?],"Parent Refused")</f>
        <v>0</v>
      </c>
      <c r="H6" s="26">
        <f>COUNTIFS(Table24[Client ID '#],"&lt;&gt;",Table24[Date of Call],"&lt;="&amp;EOMONTH('DCF Funded'!A6,0),Table24[Date of Call],"&gt;="&amp;'DCF Funded'!A6,Table24[Under 18],"Yes",Table24[If client is under 18, was parental consent obtained?],"Unable to Reach Parent")</f>
        <v>0</v>
      </c>
      <c r="I6" s="26">
        <f>COUNTIFS(Table24[Client ID '#],"&lt;&gt;",Table24[Date of Call],"&lt;="&amp;EOMONTH('DCF Funded'!A6,0),Table24[Date of Call],"&gt;="&amp;'DCF Funded'!A6,Table24[Reason if Not Seen],"&lt;&gt;Cancelled by Caller",Table24[Intervention Determined],"&lt;&gt;Cancellation")</f>
        <v>0</v>
      </c>
      <c r="J6" s="26">
        <f>COUNTIFS(Table24[Client ID '#],"&lt;&gt;",Table24[Date of Call],"&lt;="&amp;EOMONTH('DCF Funded'!A6,0),Table24[Date of Call],"&gt;="&amp;'DCF Funded'!A6,Table24[Reason if Not Seen],"&lt;&gt;Cancelled by Caller",Table24[Intervention Determined],"&lt;&gt;Cancellation",Table24[Under 18],"Yes")</f>
        <v>0</v>
      </c>
      <c r="K6" s="26">
        <f>COUNTIFS(Table24[Client ID '#],"&lt;&gt;",Table24[Date of Call],"&lt;="&amp;EOMONTH('DCF Funded'!A6,0),Table24[Date of Call],"&gt;="&amp;'DCF Funded'!A6,Table24[Reason if Not Seen],"&lt;&gt;Cancelled by Caller",Table24[Intervention Determined],"&lt;&gt;Cancellation",Table24[Admission to CSU?],"Yes")</f>
        <v>0</v>
      </c>
      <c r="L6" s="26">
        <f>COUNTIFS(Table24[Client ID '#],"&lt;&gt;",Table24[Date of Call],"&lt;="&amp;EOMONTH('DCF Funded'!A6,0),Table24[Date of Call],"&gt;="&amp;'DCF Funded'!A6,Table24[Reason if Not Seen],"&lt;&gt;Cancelled by Caller",Table24[Intervention Determined],"&lt;&gt;Cancellation",Table24[Admission to CSU?],"Yes",Table24[Source of Inital Call],"School")</f>
        <v>0</v>
      </c>
      <c r="M6" s="26">
        <f t="shared" ref="M6:M16" si="0">I6-K6</f>
        <v>0</v>
      </c>
      <c r="N6" s="61" t="str">
        <f>IFERROR(AVERAGEIFS(Table24[Response Time],Table24[Client ID '#],"&lt;&gt;",Table24[Date of Call],"&lt;="&amp;EOMONTH(A6,0),Table24[Date of Call],"&gt;="&amp;A6,Table24[Reason if Not Seen],"&lt;&gt;Cancelled by Caller"),"")</f>
        <v/>
      </c>
      <c r="O6" s="26"/>
    </row>
    <row r="7" spans="1:15" x14ac:dyDescent="0.3">
      <c r="A7" s="34">
        <f>DATE(Instructions!B10-1,9,1)</f>
        <v>44440</v>
      </c>
      <c r="B7" s="26">
        <f>COUNTIFS(Table24[Client ID '#],"&lt;&gt;",Table24[Date of Call],"&lt;="&amp;EOMONTH('DCF Funded'!A7,0),Table24[Date of Call],"&gt;="&amp;'DCF Funded'!A7)</f>
        <v>0</v>
      </c>
      <c r="C7" s="54" cm="1">
        <f t="array" ref="C7">IFERROR(ROWS(_xlfn.UNIQUE(_xlfn._xlws.FILTER(Table24[Client ID '#], (Table24[Date of Call]&lt;=EOMONTH('DCF Funded'!A7,0)) * (Table24[Date of Call]&gt;='DCF Funded'!A7)))), 0)</f>
        <v>0</v>
      </c>
      <c r="D7" s="26">
        <f>COUNTIFS(Table24[Client ID '#],"&lt;&gt;",Table24[Date of Call],"&lt;="&amp;EOMONTH('DCF Funded'!A7,0),Table24[Date of Call],"&gt;="&amp;'DCF Funded'!A7,Table24[Under 18],"Yes",Table24[If client is under 18, is the client involved in child welfare?],"Yes")</f>
        <v>0</v>
      </c>
      <c r="E7" s="26">
        <f>COUNTIFS(Table24[Client ID '#],"&lt;&gt;",Table24[Date of Call],"&lt;="&amp;EOMONTH('DCF Funded'!A7,0),Table24[Date of Call],"&gt;="&amp;'DCF Funded'!A7,Table24[Source of Inital Call],"School")</f>
        <v>0</v>
      </c>
      <c r="F7" s="26">
        <f>COUNTIFS(Table24[Client ID '#],"&lt;&gt;",Table24[Date of Call],"&lt;="&amp;EOMONTH('DCF Funded'!A7,0),Table24[Date of Call],"&gt;="&amp;'DCF Funded'!A7,Table24[Under 18],"Yes",Table24[If client is under 18, was parental consent obtained?],"Yes")</f>
        <v>0</v>
      </c>
      <c r="G7" s="26">
        <f>COUNTIFS(Table24[Client ID '#],"&lt;&gt;",Table24[Date of Call],"&lt;="&amp;EOMONTH('DCF Funded'!A7,0),Table24[Date of Call],"&gt;="&amp;'DCF Funded'!A7,Table24[Under 18],"Yes",Table24[If client is under 18, was parental consent obtained?],"Parent Refused")</f>
        <v>0</v>
      </c>
      <c r="H7" s="26">
        <f>COUNTIFS(Table24[Client ID '#],"&lt;&gt;",Table24[Date of Call],"&lt;="&amp;EOMONTH('DCF Funded'!A7,0),Table24[Date of Call],"&gt;="&amp;'DCF Funded'!A7,Table24[Under 18],"Yes",Table24[If client is under 18, was parental consent obtained?],"Unable to Reach Parent")</f>
        <v>0</v>
      </c>
      <c r="I7" s="26">
        <f>COUNTIFS(Table24[Client ID '#],"&lt;&gt;",Table24[Date of Call],"&lt;="&amp;EOMONTH('DCF Funded'!A7,0),Table24[Date of Call],"&gt;="&amp;'DCF Funded'!A7,Table24[Reason if Not Seen],"&lt;&gt;Cancelled by Caller",Table24[Intervention Determined],"&lt;&gt;Cancellation")</f>
        <v>0</v>
      </c>
      <c r="J7" s="26">
        <f>COUNTIFS(Table24[Client ID '#],"&lt;&gt;",Table24[Date of Call],"&lt;="&amp;EOMONTH('DCF Funded'!A7,0),Table24[Date of Call],"&gt;="&amp;'DCF Funded'!A7,Table24[Reason if Not Seen],"&lt;&gt;Cancelled by Caller",Table24[Intervention Determined],"&lt;&gt;Cancellation",Table24[Under 18],"Yes")</f>
        <v>0</v>
      </c>
      <c r="K7" s="26">
        <f>COUNTIFS(Table24[Client ID '#],"&lt;&gt;",Table24[Date of Call],"&lt;="&amp;EOMONTH('DCF Funded'!A7,0),Table24[Date of Call],"&gt;="&amp;'DCF Funded'!A7,Table24[Reason if Not Seen],"&lt;&gt;Cancelled by Caller",Table24[Intervention Determined],"&lt;&gt;Cancellation",Table24[Admission to CSU?],"Yes")</f>
        <v>0</v>
      </c>
      <c r="L7" s="26">
        <f>COUNTIFS(Table24[Client ID '#],"&lt;&gt;",Table24[Date of Call],"&lt;="&amp;EOMONTH('DCF Funded'!A7,0),Table24[Date of Call],"&gt;="&amp;'DCF Funded'!A7,Table24[Reason if Not Seen],"&lt;&gt;Cancelled by Caller",Table24[Intervention Determined],"&lt;&gt;Cancellation",Table24[Admission to CSU?],"Yes",Table24[Source of Inital Call],"School")</f>
        <v>0</v>
      </c>
      <c r="M7" s="26">
        <f t="shared" si="0"/>
        <v>0</v>
      </c>
      <c r="N7" s="61" t="str">
        <f>IFERROR(AVERAGEIFS(Table24[Response Time],Table24[Client ID '#],"&lt;&gt;",Table24[Date of Call],"&lt;="&amp;EOMONTH(A7,0),Table24[Date of Call],"&gt;="&amp;A7,Table24[Reason if Not Seen],"&lt;&gt;Cancelled by Caller"),"")</f>
        <v/>
      </c>
      <c r="O7" s="26"/>
    </row>
    <row r="8" spans="1:15" x14ac:dyDescent="0.3">
      <c r="A8" s="34">
        <f>DATE(Instructions!B10-1,10,1)</f>
        <v>44470</v>
      </c>
      <c r="B8" s="26">
        <f>COUNTIFS(Table24[Client ID '#],"&lt;&gt;",Table24[Date of Call],"&lt;="&amp;EOMONTH('DCF Funded'!A8,0),Table24[Date of Call],"&gt;="&amp;'DCF Funded'!A8)</f>
        <v>0</v>
      </c>
      <c r="C8" s="54" cm="1">
        <f t="array" ref="C8">IFERROR(ROWS(_xlfn.UNIQUE(_xlfn._xlws.FILTER(Table24[Client ID '#], (Table24[Date of Call]&lt;=EOMONTH('DCF Funded'!A8,0)) * (Table24[Date of Call]&gt;='DCF Funded'!A8)))), 0)</f>
        <v>0</v>
      </c>
      <c r="D8" s="26">
        <f>COUNTIFS(Table24[Client ID '#],"&lt;&gt;",Table24[Date of Call],"&lt;="&amp;EOMONTH('DCF Funded'!A8,0),Table24[Date of Call],"&gt;="&amp;'DCF Funded'!A8,Table24[Under 18],"Yes",Table24[If client is under 18, is the client involved in child welfare?],"Yes")</f>
        <v>0</v>
      </c>
      <c r="E8" s="26">
        <f>COUNTIFS(Table24[Client ID '#],"&lt;&gt;",Table24[Date of Call],"&lt;="&amp;EOMONTH('DCF Funded'!A8,0),Table24[Date of Call],"&gt;="&amp;'DCF Funded'!A8,Table24[Source of Inital Call],"School")</f>
        <v>0</v>
      </c>
      <c r="F8" s="26">
        <f>COUNTIFS(Table24[Client ID '#],"&lt;&gt;",Table24[Date of Call],"&lt;="&amp;EOMONTH('DCF Funded'!A8,0),Table24[Date of Call],"&gt;="&amp;'DCF Funded'!A8,Table24[Under 18],"Yes",Table24[If client is under 18, was parental consent obtained?],"Yes")</f>
        <v>0</v>
      </c>
      <c r="G8" s="26">
        <f>COUNTIFS(Table24[Client ID '#],"&lt;&gt;",Table24[Date of Call],"&lt;="&amp;EOMONTH('DCF Funded'!A8,0),Table24[Date of Call],"&gt;="&amp;'DCF Funded'!A8,Table24[Under 18],"Yes",Table24[If client is under 18, was parental consent obtained?],"Parent Refused")</f>
        <v>0</v>
      </c>
      <c r="H8" s="26">
        <f>COUNTIFS(Table24[Client ID '#],"&lt;&gt;",Table24[Date of Call],"&lt;="&amp;EOMONTH('DCF Funded'!A8,0),Table24[Date of Call],"&gt;="&amp;'DCF Funded'!A8,Table24[Under 18],"Yes",Table24[If client is under 18, was parental consent obtained?],"Unable to Reach Parent")</f>
        <v>0</v>
      </c>
      <c r="I8" s="26">
        <f>COUNTIFS(Table24[Client ID '#],"&lt;&gt;",Table24[Date of Call],"&lt;="&amp;EOMONTH('DCF Funded'!A8,0),Table24[Date of Call],"&gt;="&amp;'DCF Funded'!A8,Table24[Reason if Not Seen],"&lt;&gt;Cancelled by Caller",Table24[Intervention Determined],"&lt;&gt;Cancellation")</f>
        <v>0</v>
      </c>
      <c r="J8" s="26">
        <f>COUNTIFS(Table24[Client ID '#],"&lt;&gt;",Table24[Date of Call],"&lt;="&amp;EOMONTH('DCF Funded'!A8,0),Table24[Date of Call],"&gt;="&amp;'DCF Funded'!A8,Table24[Reason if Not Seen],"&lt;&gt;Cancelled by Caller",Table24[Intervention Determined],"&lt;&gt;Cancellation",Table24[Under 18],"Yes")</f>
        <v>0</v>
      </c>
      <c r="K8" s="26">
        <f>COUNTIFS(Table24[Client ID '#],"&lt;&gt;",Table24[Date of Call],"&lt;="&amp;EOMONTH('DCF Funded'!A8,0),Table24[Date of Call],"&gt;="&amp;'DCF Funded'!A8,Table24[Reason if Not Seen],"&lt;&gt;Cancelled by Caller",Table24[Intervention Determined],"&lt;&gt;Cancellation",Table24[Admission to CSU?],"Yes")</f>
        <v>0</v>
      </c>
      <c r="L8" s="26">
        <f>COUNTIFS(Table24[Client ID '#],"&lt;&gt;",Table24[Date of Call],"&lt;="&amp;EOMONTH('DCF Funded'!A8,0),Table24[Date of Call],"&gt;="&amp;'DCF Funded'!A8,Table24[Reason if Not Seen],"&lt;&gt;Cancelled by Caller",Table24[Intervention Determined],"&lt;&gt;Cancellation",Table24[Admission to CSU?],"Yes",Table24[Source of Inital Call],"School")</f>
        <v>0</v>
      </c>
      <c r="M8" s="26">
        <f t="shared" si="0"/>
        <v>0</v>
      </c>
      <c r="N8" s="61" t="str">
        <f>IFERROR(AVERAGEIFS(Table24[Response Time],Table24[Client ID '#],"&lt;&gt;",Table24[Date of Call],"&lt;="&amp;EOMONTH(A8,0),Table24[Date of Call],"&gt;="&amp;A8,Table24[Reason if Not Seen],"&lt;&gt;Cancelled by Caller"),"")</f>
        <v/>
      </c>
      <c r="O8" s="26"/>
    </row>
    <row r="9" spans="1:15" x14ac:dyDescent="0.3">
      <c r="A9" s="34">
        <f>DATE(Instructions!B10-1,11,1)</f>
        <v>44501</v>
      </c>
      <c r="B9" s="26">
        <f>COUNTIFS(Table24[Client ID '#],"&lt;&gt;",Table24[Date of Call],"&lt;="&amp;EOMONTH('DCF Funded'!A9,0),Table24[Date of Call],"&gt;="&amp;'DCF Funded'!A9)</f>
        <v>0</v>
      </c>
      <c r="C9" s="54" cm="1">
        <f t="array" ref="C9">IFERROR(ROWS(_xlfn.UNIQUE(_xlfn._xlws.FILTER(Table24[Client ID '#], (Table24[Date of Call]&lt;=EOMONTH('DCF Funded'!A9,0)) * (Table24[Date of Call]&gt;='DCF Funded'!A9)))), 0)</f>
        <v>0</v>
      </c>
      <c r="D9" s="26">
        <f>COUNTIFS(Table24[Client ID '#],"&lt;&gt;",Table24[Date of Call],"&lt;="&amp;EOMONTH('DCF Funded'!A9,0),Table24[Date of Call],"&gt;="&amp;'DCF Funded'!A9,Table24[Under 18],"Yes",Table24[If client is under 18, is the client involved in child welfare?],"Yes")</f>
        <v>0</v>
      </c>
      <c r="E9" s="26">
        <f>COUNTIFS(Table24[Client ID '#],"&lt;&gt;",Table24[Date of Call],"&lt;="&amp;EOMONTH('DCF Funded'!A9,0),Table24[Date of Call],"&gt;="&amp;'DCF Funded'!A9,Table24[Source of Inital Call],"School")</f>
        <v>0</v>
      </c>
      <c r="F9" s="26">
        <f>COUNTIFS(Table24[Client ID '#],"&lt;&gt;",Table24[Date of Call],"&lt;="&amp;EOMONTH('DCF Funded'!A9,0),Table24[Date of Call],"&gt;="&amp;'DCF Funded'!A9,Table24[Under 18],"Yes",Table24[If client is under 18, was parental consent obtained?],"Yes")</f>
        <v>0</v>
      </c>
      <c r="G9" s="26">
        <f>COUNTIFS(Table24[Client ID '#],"&lt;&gt;",Table24[Date of Call],"&lt;="&amp;EOMONTH('DCF Funded'!A9,0),Table24[Date of Call],"&gt;="&amp;'DCF Funded'!A9,Table24[Under 18],"Yes",Table24[If client is under 18, was parental consent obtained?],"Parent Refused")</f>
        <v>0</v>
      </c>
      <c r="H9" s="26">
        <f>COUNTIFS(Table24[Client ID '#],"&lt;&gt;",Table24[Date of Call],"&lt;="&amp;EOMONTH('DCF Funded'!A9,0),Table24[Date of Call],"&gt;="&amp;'DCF Funded'!A9,Table24[Under 18],"Yes",Table24[If client is under 18, was parental consent obtained?],"Unable to Reach Parent")</f>
        <v>0</v>
      </c>
      <c r="I9" s="26">
        <f>COUNTIFS(Table24[Client ID '#],"&lt;&gt;",Table24[Date of Call],"&lt;="&amp;EOMONTH('DCF Funded'!A9,0),Table24[Date of Call],"&gt;="&amp;'DCF Funded'!A9,Table24[Reason if Not Seen],"&lt;&gt;Cancelled by Caller",Table24[Intervention Determined],"&lt;&gt;Cancellation")</f>
        <v>0</v>
      </c>
      <c r="J9" s="26">
        <f>COUNTIFS(Table24[Client ID '#],"&lt;&gt;",Table24[Date of Call],"&lt;="&amp;EOMONTH('DCF Funded'!A9,0),Table24[Date of Call],"&gt;="&amp;'DCF Funded'!A9,Table24[Reason if Not Seen],"&lt;&gt;Cancelled by Caller",Table24[Intervention Determined],"&lt;&gt;Cancellation",Table24[Under 18],"Yes")</f>
        <v>0</v>
      </c>
      <c r="K9" s="26">
        <f>COUNTIFS(Table24[Client ID '#],"&lt;&gt;",Table24[Date of Call],"&lt;="&amp;EOMONTH('DCF Funded'!A9,0),Table24[Date of Call],"&gt;="&amp;'DCF Funded'!A9,Table24[Reason if Not Seen],"&lt;&gt;Cancelled by Caller",Table24[Intervention Determined],"&lt;&gt;Cancellation",Table24[Admission to CSU?],"Yes")</f>
        <v>0</v>
      </c>
      <c r="L9" s="26">
        <f>COUNTIFS(Table24[Client ID '#],"&lt;&gt;",Table24[Date of Call],"&lt;="&amp;EOMONTH('DCF Funded'!A9,0),Table24[Date of Call],"&gt;="&amp;'DCF Funded'!A9,Table24[Reason if Not Seen],"&lt;&gt;Cancelled by Caller",Table24[Intervention Determined],"&lt;&gt;Cancellation",Table24[Admission to CSU?],"Yes",Table24[Source of Inital Call],"School")</f>
        <v>0</v>
      </c>
      <c r="M9" s="26">
        <f t="shared" si="0"/>
        <v>0</v>
      </c>
      <c r="N9" s="61" t="str">
        <f>IFERROR(AVERAGEIFS(Table24[Response Time],Table24[Client ID '#],"&lt;&gt;",Table24[Date of Call],"&lt;="&amp;EOMONTH(A9,0),Table24[Date of Call],"&gt;="&amp;A9,Table24[Reason if Not Seen],"&lt;&gt;Cancelled by Caller"),"")</f>
        <v/>
      </c>
      <c r="O9" s="26"/>
    </row>
    <row r="10" spans="1:15" x14ac:dyDescent="0.3">
      <c r="A10" s="34">
        <f>DATE(Instructions!B10-1,12,1)</f>
        <v>44531</v>
      </c>
      <c r="B10" s="26">
        <f>COUNTIFS(Table24[Client ID '#],"&lt;&gt;",Table24[Date of Call],"&lt;="&amp;EOMONTH('DCF Funded'!A10,0),Table24[Date of Call],"&gt;="&amp;'DCF Funded'!A10)</f>
        <v>0</v>
      </c>
      <c r="C10" s="54" cm="1">
        <f t="array" ref="C10">IFERROR(ROWS(_xlfn.UNIQUE(_xlfn._xlws.FILTER(Table24[Client ID '#], (Table24[Date of Call]&lt;=EOMONTH('DCF Funded'!A10,0)) * (Table24[Date of Call]&gt;='DCF Funded'!A10)))), 0)</f>
        <v>0</v>
      </c>
      <c r="D10" s="26">
        <f>COUNTIFS(Table24[Client ID '#],"&lt;&gt;",Table24[Date of Call],"&lt;="&amp;EOMONTH('DCF Funded'!A10,0),Table24[Date of Call],"&gt;="&amp;'DCF Funded'!A10,Table24[Under 18],"Yes",Table24[If client is under 18, is the client involved in child welfare?],"Yes")</f>
        <v>0</v>
      </c>
      <c r="E10" s="26">
        <f>COUNTIFS(Table24[Client ID '#],"&lt;&gt;",Table24[Date of Call],"&lt;="&amp;EOMONTH('DCF Funded'!A10,0),Table24[Date of Call],"&gt;="&amp;'DCF Funded'!A10,Table24[Source of Inital Call],"School")</f>
        <v>0</v>
      </c>
      <c r="F10" s="26">
        <f>COUNTIFS(Table24[Client ID '#],"&lt;&gt;",Table24[Date of Call],"&lt;="&amp;EOMONTH('DCF Funded'!A10,0),Table24[Date of Call],"&gt;="&amp;'DCF Funded'!A10,Table24[Under 18],"Yes",Table24[If client is under 18, was parental consent obtained?],"Yes")</f>
        <v>0</v>
      </c>
      <c r="G10" s="26">
        <f>COUNTIFS(Table24[Client ID '#],"&lt;&gt;",Table24[Date of Call],"&lt;="&amp;EOMONTH('DCF Funded'!A10,0),Table24[Date of Call],"&gt;="&amp;'DCF Funded'!A10,Table24[Under 18],"Yes",Table24[If client is under 18, was parental consent obtained?],"Parent Refused")</f>
        <v>0</v>
      </c>
      <c r="H10" s="26">
        <f>COUNTIFS(Table24[Client ID '#],"&lt;&gt;",Table24[Date of Call],"&lt;="&amp;EOMONTH('DCF Funded'!A10,0),Table24[Date of Call],"&gt;="&amp;'DCF Funded'!A10,Table24[Under 18],"Yes",Table24[If client is under 18, was parental consent obtained?],"Unable to Reach Parent")</f>
        <v>0</v>
      </c>
      <c r="I10" s="26">
        <f>COUNTIFS(Table24[Client ID '#],"&lt;&gt;",Table24[Date of Call],"&lt;="&amp;EOMONTH('DCF Funded'!A10,0),Table24[Date of Call],"&gt;="&amp;'DCF Funded'!A10,Table24[Reason if Not Seen],"&lt;&gt;Cancelled by Caller",Table24[Intervention Determined],"&lt;&gt;Cancellation")</f>
        <v>0</v>
      </c>
      <c r="J10" s="26">
        <f>COUNTIFS(Table24[Client ID '#],"&lt;&gt;",Table24[Date of Call],"&lt;="&amp;EOMONTH('DCF Funded'!A10,0),Table24[Date of Call],"&gt;="&amp;'DCF Funded'!A10,Table24[Reason if Not Seen],"&lt;&gt;Cancelled by Caller",Table24[Intervention Determined],"&lt;&gt;Cancellation",Table24[Under 18],"Yes")</f>
        <v>0</v>
      </c>
      <c r="K10" s="26">
        <f>COUNTIFS(Table24[Client ID '#],"&lt;&gt;",Table24[Date of Call],"&lt;="&amp;EOMONTH('DCF Funded'!A10,0),Table24[Date of Call],"&gt;="&amp;'DCF Funded'!A10,Table24[Reason if Not Seen],"&lt;&gt;Cancelled by Caller",Table24[Intervention Determined],"&lt;&gt;Cancellation",Table24[Admission to CSU?],"Yes")</f>
        <v>0</v>
      </c>
      <c r="L10" s="26">
        <f>COUNTIFS(Table24[Client ID '#],"&lt;&gt;",Table24[Date of Call],"&lt;="&amp;EOMONTH('DCF Funded'!A10,0),Table24[Date of Call],"&gt;="&amp;'DCF Funded'!A10,Table24[Reason if Not Seen],"&lt;&gt;Cancelled by Caller",Table24[Intervention Determined],"&lt;&gt;Cancellation",Table24[Admission to CSU?],"Yes",Table24[Source of Inital Call],"School")</f>
        <v>0</v>
      </c>
      <c r="M10" s="26">
        <f t="shared" si="0"/>
        <v>0</v>
      </c>
      <c r="N10" s="61" t="str">
        <f>IFERROR(AVERAGEIFS(Table24[Response Time],Table24[Client ID '#],"&lt;&gt;",Table24[Date of Call],"&lt;="&amp;EOMONTH(A10,0),Table24[Date of Call],"&gt;="&amp;A10,Table24[Reason if Not Seen],"&lt;&gt;Cancelled by Caller"),"")</f>
        <v/>
      </c>
      <c r="O10" s="26"/>
    </row>
    <row r="11" spans="1:15" x14ac:dyDescent="0.3">
      <c r="A11" s="34">
        <f>DATE(Instructions!B10,1,1)</f>
        <v>44562</v>
      </c>
      <c r="B11" s="26">
        <f>COUNTIFS(Table24[Client ID '#],"&lt;&gt;",Table24[Date of Call],"&lt;="&amp;EOMONTH('DCF Funded'!A11,0),Table24[Date of Call],"&gt;="&amp;'DCF Funded'!A11)</f>
        <v>0</v>
      </c>
      <c r="C11" s="54" cm="1">
        <f t="array" ref="C11">IFERROR(ROWS(_xlfn.UNIQUE(_xlfn._xlws.FILTER(Table24[Client ID '#], (Table24[Date of Call]&lt;=EOMONTH('DCF Funded'!A11,0)) * (Table24[Date of Call]&gt;='DCF Funded'!A11)))), 0)</f>
        <v>0</v>
      </c>
      <c r="D11" s="26">
        <f>COUNTIFS(Table24[Client ID '#],"&lt;&gt;",Table24[Date of Call],"&lt;="&amp;EOMONTH('DCF Funded'!A11,0),Table24[Date of Call],"&gt;="&amp;'DCF Funded'!A11,Table24[Under 18],"Yes",Table24[If client is under 18, is the client involved in child welfare?],"Yes")</f>
        <v>0</v>
      </c>
      <c r="E11" s="26">
        <f>COUNTIFS(Table24[Client ID '#],"&lt;&gt;",Table24[Date of Call],"&lt;="&amp;EOMONTH('DCF Funded'!A11,0),Table24[Date of Call],"&gt;="&amp;'DCF Funded'!A11,Table24[Source of Inital Call],"School")</f>
        <v>0</v>
      </c>
      <c r="F11" s="26">
        <f>COUNTIFS(Table24[Client ID '#],"&lt;&gt;",Table24[Date of Call],"&lt;="&amp;EOMONTH('DCF Funded'!A11,0),Table24[Date of Call],"&gt;="&amp;'DCF Funded'!A11,Table24[Under 18],"Yes",Table24[If client is under 18, was parental consent obtained?],"Yes")</f>
        <v>0</v>
      </c>
      <c r="G11" s="26">
        <f>COUNTIFS(Table24[Client ID '#],"&lt;&gt;",Table24[Date of Call],"&lt;="&amp;EOMONTH('DCF Funded'!A11,0),Table24[Date of Call],"&gt;="&amp;'DCF Funded'!A11,Table24[Under 18],"Yes",Table24[If client is under 18, was parental consent obtained?],"Parent Refused")</f>
        <v>0</v>
      </c>
      <c r="H11" s="26">
        <f>COUNTIFS(Table24[Client ID '#],"&lt;&gt;",Table24[Date of Call],"&lt;="&amp;EOMONTH('DCF Funded'!A11,0),Table24[Date of Call],"&gt;="&amp;'DCF Funded'!A11,Table24[Under 18],"Yes",Table24[If client is under 18, was parental consent obtained?],"Unable to Reach Parent")</f>
        <v>0</v>
      </c>
      <c r="I11" s="26">
        <f>COUNTIFS(Table24[Client ID '#],"&lt;&gt;",Table24[Date of Call],"&lt;="&amp;EOMONTH('DCF Funded'!A11,0),Table24[Date of Call],"&gt;="&amp;'DCF Funded'!A11,Table24[Reason if Not Seen],"&lt;&gt;Cancelled by Caller",Table24[Intervention Determined],"&lt;&gt;Cancellation")</f>
        <v>0</v>
      </c>
      <c r="J11" s="26">
        <f>COUNTIFS(Table24[Client ID '#],"&lt;&gt;",Table24[Date of Call],"&lt;="&amp;EOMONTH('DCF Funded'!A11,0),Table24[Date of Call],"&gt;="&amp;'DCF Funded'!A11,Table24[Reason if Not Seen],"&lt;&gt;Cancelled by Caller",Table24[Intervention Determined],"&lt;&gt;Cancellation",Table24[Under 18],"Yes")</f>
        <v>0</v>
      </c>
      <c r="K11" s="26">
        <f>COUNTIFS(Table24[Client ID '#],"&lt;&gt;",Table24[Date of Call],"&lt;="&amp;EOMONTH('DCF Funded'!A11,0),Table24[Date of Call],"&gt;="&amp;'DCF Funded'!A11,Table24[Reason if Not Seen],"&lt;&gt;Cancelled by Caller",Table24[Intervention Determined],"&lt;&gt;Cancellation",Table24[Admission to CSU?],"Yes")</f>
        <v>0</v>
      </c>
      <c r="L11" s="26">
        <f>COUNTIFS(Table24[Client ID '#],"&lt;&gt;",Table24[Date of Call],"&lt;="&amp;EOMONTH('DCF Funded'!A11,0),Table24[Date of Call],"&gt;="&amp;'DCF Funded'!A11,Table24[Reason if Not Seen],"&lt;&gt;Cancelled by Caller",Table24[Intervention Determined],"&lt;&gt;Cancellation",Table24[Admission to CSU?],"Yes",Table24[Source of Inital Call],"School")</f>
        <v>0</v>
      </c>
      <c r="M11" s="26">
        <f t="shared" si="0"/>
        <v>0</v>
      </c>
      <c r="N11" s="61" t="str">
        <f>IFERROR(AVERAGEIFS(Table24[Response Time],Table24[Client ID '#],"&lt;&gt;",Table24[Date of Call],"&lt;="&amp;EOMONTH(A11,0),Table24[Date of Call],"&gt;="&amp;A11,Table24[Reason if Not Seen],"&lt;&gt;Cancelled by Caller"),"")</f>
        <v/>
      </c>
      <c r="O11" s="26"/>
    </row>
    <row r="12" spans="1:15" x14ac:dyDescent="0.3">
      <c r="A12" s="34">
        <f>DATE(Instructions!B10,2,1)</f>
        <v>44593</v>
      </c>
      <c r="B12" s="26">
        <f>COUNTIFS(Table24[Client ID '#],"&lt;&gt;",Table24[Date of Call],"&lt;="&amp;EOMONTH('DCF Funded'!A12,0),Table24[Date of Call],"&gt;="&amp;'DCF Funded'!A12)</f>
        <v>0</v>
      </c>
      <c r="C12" s="54" cm="1">
        <f t="array" ref="C12">IFERROR(ROWS(_xlfn.UNIQUE(_xlfn._xlws.FILTER(Table24[Client ID '#], (Table24[Date of Call]&lt;=EOMONTH('DCF Funded'!A12,0)) * (Table24[Date of Call]&gt;='DCF Funded'!A12)))), 0)</f>
        <v>0</v>
      </c>
      <c r="D12" s="26">
        <f>COUNTIFS(Table24[Client ID '#],"&lt;&gt;",Table24[Date of Call],"&lt;="&amp;EOMONTH('DCF Funded'!A12,0),Table24[Date of Call],"&gt;="&amp;'DCF Funded'!A12,Table24[Under 18],"Yes",Table24[If client is under 18, is the client involved in child welfare?],"Yes")</f>
        <v>0</v>
      </c>
      <c r="E12" s="26">
        <f>COUNTIFS(Table24[Client ID '#],"&lt;&gt;",Table24[Date of Call],"&lt;="&amp;EOMONTH('DCF Funded'!A12,0),Table24[Date of Call],"&gt;="&amp;'DCF Funded'!A12,Table24[Source of Inital Call],"School")</f>
        <v>0</v>
      </c>
      <c r="F12" s="26">
        <f>COUNTIFS(Table24[Client ID '#],"&lt;&gt;",Table24[Date of Call],"&lt;="&amp;EOMONTH('DCF Funded'!A12,0),Table24[Date of Call],"&gt;="&amp;'DCF Funded'!A12,Table24[Under 18],"Yes",Table24[If client is under 18, was parental consent obtained?],"Yes")</f>
        <v>0</v>
      </c>
      <c r="G12" s="26">
        <f>COUNTIFS(Table24[Client ID '#],"&lt;&gt;",Table24[Date of Call],"&lt;="&amp;EOMONTH('DCF Funded'!A12,0),Table24[Date of Call],"&gt;="&amp;'DCF Funded'!A12,Table24[Under 18],"Yes",Table24[If client is under 18, was parental consent obtained?],"Parent Refused")</f>
        <v>0</v>
      </c>
      <c r="H12" s="26">
        <f>COUNTIFS(Table24[Client ID '#],"&lt;&gt;",Table24[Date of Call],"&lt;="&amp;EOMONTH('DCF Funded'!A12,0),Table24[Date of Call],"&gt;="&amp;'DCF Funded'!A12,Table24[Under 18],"Yes",Table24[If client is under 18, was parental consent obtained?],"Unable to Reach Parent")</f>
        <v>0</v>
      </c>
      <c r="I12" s="26">
        <f>COUNTIFS(Table24[Client ID '#],"&lt;&gt;",Table24[Date of Call],"&lt;="&amp;EOMONTH('DCF Funded'!A12,0),Table24[Date of Call],"&gt;="&amp;'DCF Funded'!A12,Table24[Reason if Not Seen],"&lt;&gt;Cancelled by Caller",Table24[Intervention Determined],"&lt;&gt;Cancellation")</f>
        <v>0</v>
      </c>
      <c r="J12" s="26">
        <f>COUNTIFS(Table24[Client ID '#],"&lt;&gt;",Table24[Date of Call],"&lt;="&amp;EOMONTH('DCF Funded'!A12,0),Table24[Date of Call],"&gt;="&amp;'DCF Funded'!A12,Table24[Reason if Not Seen],"&lt;&gt;Cancelled by Caller",Table24[Intervention Determined],"&lt;&gt;Cancellation",Table24[Under 18],"Yes")</f>
        <v>0</v>
      </c>
      <c r="K12" s="26">
        <f>COUNTIFS(Table24[Client ID '#],"&lt;&gt;",Table24[Date of Call],"&lt;="&amp;EOMONTH('DCF Funded'!A12,0),Table24[Date of Call],"&gt;="&amp;'DCF Funded'!A12,Table24[Reason if Not Seen],"&lt;&gt;Cancelled by Caller",Table24[Intervention Determined],"&lt;&gt;Cancellation",Table24[Admission to CSU?],"Yes")</f>
        <v>0</v>
      </c>
      <c r="L12" s="26">
        <f>COUNTIFS(Table24[Client ID '#],"&lt;&gt;",Table24[Date of Call],"&lt;="&amp;EOMONTH('DCF Funded'!A12,0),Table24[Date of Call],"&gt;="&amp;'DCF Funded'!A12,Table24[Reason if Not Seen],"&lt;&gt;Cancelled by Caller",Table24[Intervention Determined],"&lt;&gt;Cancellation",Table24[Admission to CSU?],"Yes",Table24[Source of Inital Call],"School")</f>
        <v>0</v>
      </c>
      <c r="M12" s="26">
        <f t="shared" si="0"/>
        <v>0</v>
      </c>
      <c r="N12" s="61" t="str">
        <f>IFERROR(AVERAGEIFS(Table24[Response Time],Table24[Client ID '#],"&lt;&gt;",Table24[Date of Call],"&lt;="&amp;EOMONTH(A12,0),Table24[Date of Call],"&gt;="&amp;A12,Table24[Reason if Not Seen],"&lt;&gt;Cancelled by Caller"),"")</f>
        <v/>
      </c>
      <c r="O12" s="26"/>
    </row>
    <row r="13" spans="1:15" x14ac:dyDescent="0.3">
      <c r="A13" s="34">
        <f>DATE(Instructions!B10,3,1)</f>
        <v>44621</v>
      </c>
      <c r="B13" s="26">
        <f>COUNTIFS(Table24[Client ID '#],"&lt;&gt;",Table24[Date of Call],"&lt;="&amp;EOMONTH('DCF Funded'!A13,0),Table24[Date of Call],"&gt;="&amp;'DCF Funded'!A13)</f>
        <v>0</v>
      </c>
      <c r="C13" s="54" cm="1">
        <f t="array" ref="C13">IFERROR(ROWS(_xlfn.UNIQUE(_xlfn._xlws.FILTER(Table24[Client ID '#], (Table24[Date of Call]&lt;=EOMONTH('DCF Funded'!A13,0)) * (Table24[Date of Call]&gt;='DCF Funded'!A13)))), 0)</f>
        <v>0</v>
      </c>
      <c r="D13" s="26">
        <f>COUNTIFS(Table24[Client ID '#],"&lt;&gt;",Table24[Date of Call],"&lt;="&amp;EOMONTH('DCF Funded'!A13,0),Table24[Date of Call],"&gt;="&amp;'DCF Funded'!A13,Table24[Under 18],"Yes",Table24[If client is under 18, is the client involved in child welfare?],"Yes")</f>
        <v>0</v>
      </c>
      <c r="E13" s="26">
        <f>COUNTIFS(Table24[Client ID '#],"&lt;&gt;",Table24[Date of Call],"&lt;="&amp;EOMONTH('DCF Funded'!A13,0),Table24[Date of Call],"&gt;="&amp;'DCF Funded'!A13,Table24[Source of Inital Call],"School")</f>
        <v>0</v>
      </c>
      <c r="F13" s="26">
        <f>COUNTIFS(Table24[Client ID '#],"&lt;&gt;",Table24[Date of Call],"&lt;="&amp;EOMONTH('DCF Funded'!A13,0),Table24[Date of Call],"&gt;="&amp;'DCF Funded'!A13,Table24[Under 18],"Yes",Table24[If client is under 18, was parental consent obtained?],"Yes")</f>
        <v>0</v>
      </c>
      <c r="G13" s="26">
        <f>COUNTIFS(Table24[Client ID '#],"&lt;&gt;",Table24[Date of Call],"&lt;="&amp;EOMONTH('DCF Funded'!A13,0),Table24[Date of Call],"&gt;="&amp;'DCF Funded'!A13,Table24[Under 18],"Yes",Table24[If client is under 18, was parental consent obtained?],"Parent Refused")</f>
        <v>0</v>
      </c>
      <c r="H13" s="26">
        <f>COUNTIFS(Table24[Client ID '#],"&lt;&gt;",Table24[Date of Call],"&lt;="&amp;EOMONTH('DCF Funded'!A13,0),Table24[Date of Call],"&gt;="&amp;'DCF Funded'!A13,Table24[Under 18],"Yes",Table24[If client is under 18, was parental consent obtained?],"Unable to Reach Parent")</f>
        <v>0</v>
      </c>
      <c r="I13" s="26">
        <f>COUNTIFS(Table24[Client ID '#],"&lt;&gt;",Table24[Date of Call],"&lt;="&amp;EOMONTH('DCF Funded'!A13,0),Table24[Date of Call],"&gt;="&amp;'DCF Funded'!A13,Table24[Reason if Not Seen],"&lt;&gt;Cancelled by Caller",Table24[Intervention Determined],"&lt;&gt;Cancellation")</f>
        <v>0</v>
      </c>
      <c r="J13" s="26">
        <f>COUNTIFS(Table24[Client ID '#],"&lt;&gt;",Table24[Date of Call],"&lt;="&amp;EOMONTH('DCF Funded'!A13,0),Table24[Date of Call],"&gt;="&amp;'DCF Funded'!A13,Table24[Reason if Not Seen],"&lt;&gt;Cancelled by Caller",Table24[Intervention Determined],"&lt;&gt;Cancellation",Table24[Under 18],"Yes")</f>
        <v>0</v>
      </c>
      <c r="K13" s="26">
        <f>COUNTIFS(Table24[Client ID '#],"&lt;&gt;",Table24[Date of Call],"&lt;="&amp;EOMONTH('DCF Funded'!A13,0),Table24[Date of Call],"&gt;="&amp;'DCF Funded'!A13,Table24[Reason if Not Seen],"&lt;&gt;Cancelled by Caller",Table24[Intervention Determined],"&lt;&gt;Cancellation",Table24[Admission to CSU?],"Yes")</f>
        <v>0</v>
      </c>
      <c r="L13" s="26">
        <f>COUNTIFS(Table24[Client ID '#],"&lt;&gt;",Table24[Date of Call],"&lt;="&amp;EOMONTH('DCF Funded'!A13,0),Table24[Date of Call],"&gt;="&amp;'DCF Funded'!A13,Table24[Reason if Not Seen],"&lt;&gt;Cancelled by Caller",Table24[Intervention Determined],"&lt;&gt;Cancellation",Table24[Admission to CSU?],"Yes",Table24[Source of Inital Call],"School")</f>
        <v>0</v>
      </c>
      <c r="M13" s="26">
        <f t="shared" si="0"/>
        <v>0</v>
      </c>
      <c r="N13" s="61" t="str">
        <f>IFERROR(AVERAGEIFS(Table24[Response Time],Table24[Client ID '#],"&lt;&gt;",Table24[Date of Call],"&lt;="&amp;EOMONTH(A13,0),Table24[Date of Call],"&gt;="&amp;A13,Table24[Reason if Not Seen],"&lt;&gt;Cancelled by Caller"),"")</f>
        <v/>
      </c>
      <c r="O13" s="26"/>
    </row>
    <row r="14" spans="1:15" x14ac:dyDescent="0.3">
      <c r="A14" s="34">
        <f>DATE(Instructions!B10,4,1)</f>
        <v>44652</v>
      </c>
      <c r="B14" s="26">
        <f>COUNTIFS(Table24[Client ID '#],"&lt;&gt;",Table24[Date of Call],"&lt;="&amp;EOMONTH('DCF Funded'!A14,0),Table24[Date of Call],"&gt;="&amp;'DCF Funded'!A14)</f>
        <v>0</v>
      </c>
      <c r="C14" s="54" cm="1">
        <f t="array" ref="C14">IFERROR(ROWS(_xlfn.UNIQUE(_xlfn._xlws.FILTER(Table24[Client ID '#], (Table24[Date of Call]&lt;=EOMONTH('DCF Funded'!A14,0)) * (Table24[Date of Call]&gt;='DCF Funded'!A14)))), 0)</f>
        <v>0</v>
      </c>
      <c r="D14" s="26">
        <f>COUNTIFS(Table24[Client ID '#],"&lt;&gt;",Table24[Date of Call],"&lt;="&amp;EOMONTH('DCF Funded'!A14,0),Table24[Date of Call],"&gt;="&amp;'DCF Funded'!A14,Table24[Under 18],"Yes",Table24[If client is under 18, is the client involved in child welfare?],"Yes")</f>
        <v>0</v>
      </c>
      <c r="E14" s="26">
        <f>COUNTIFS(Table24[Client ID '#],"&lt;&gt;",Table24[Date of Call],"&lt;="&amp;EOMONTH('DCF Funded'!A14,0),Table24[Date of Call],"&gt;="&amp;'DCF Funded'!A14,Table24[Source of Inital Call],"School")</f>
        <v>0</v>
      </c>
      <c r="F14" s="26">
        <f>COUNTIFS(Table24[Client ID '#],"&lt;&gt;",Table24[Date of Call],"&lt;="&amp;EOMONTH('DCF Funded'!A14,0),Table24[Date of Call],"&gt;="&amp;'DCF Funded'!A14,Table24[Under 18],"Yes",Table24[If client is under 18, was parental consent obtained?],"Yes")</f>
        <v>0</v>
      </c>
      <c r="G14" s="26">
        <f>COUNTIFS(Table24[Client ID '#],"&lt;&gt;",Table24[Date of Call],"&lt;="&amp;EOMONTH('DCF Funded'!A14,0),Table24[Date of Call],"&gt;="&amp;'DCF Funded'!A14,Table24[Under 18],"Yes",Table24[If client is under 18, was parental consent obtained?],"Parent Refused")</f>
        <v>0</v>
      </c>
      <c r="H14" s="26">
        <f>COUNTIFS(Table24[Client ID '#],"&lt;&gt;",Table24[Date of Call],"&lt;="&amp;EOMONTH('DCF Funded'!A14,0),Table24[Date of Call],"&gt;="&amp;'DCF Funded'!A14,Table24[Under 18],"Yes",Table24[If client is under 18, was parental consent obtained?],"Unable to Reach Parent")</f>
        <v>0</v>
      </c>
      <c r="I14" s="26">
        <f>COUNTIFS(Table24[Client ID '#],"&lt;&gt;",Table24[Date of Call],"&lt;="&amp;EOMONTH('DCF Funded'!A14,0),Table24[Date of Call],"&gt;="&amp;'DCF Funded'!A14,Table24[Reason if Not Seen],"&lt;&gt;Cancelled by Caller",Table24[Intervention Determined],"&lt;&gt;Cancellation")</f>
        <v>0</v>
      </c>
      <c r="J14" s="26">
        <f>COUNTIFS(Table24[Client ID '#],"&lt;&gt;",Table24[Date of Call],"&lt;="&amp;EOMONTH('DCF Funded'!A14,0),Table24[Date of Call],"&gt;="&amp;'DCF Funded'!A14,Table24[Reason if Not Seen],"&lt;&gt;Cancelled by Caller",Table24[Intervention Determined],"&lt;&gt;Cancellation",Table24[Under 18],"Yes")</f>
        <v>0</v>
      </c>
      <c r="K14" s="26">
        <f>COUNTIFS(Table24[Client ID '#],"&lt;&gt;",Table24[Date of Call],"&lt;="&amp;EOMONTH('DCF Funded'!A14,0),Table24[Date of Call],"&gt;="&amp;'DCF Funded'!A14,Table24[Reason if Not Seen],"&lt;&gt;Cancelled by Caller",Table24[Intervention Determined],"&lt;&gt;Cancellation",Table24[Admission to CSU?],"Yes")</f>
        <v>0</v>
      </c>
      <c r="L14" s="26">
        <f>COUNTIFS(Table24[Client ID '#],"&lt;&gt;",Table24[Date of Call],"&lt;="&amp;EOMONTH('DCF Funded'!A14,0),Table24[Date of Call],"&gt;="&amp;'DCF Funded'!A14,Table24[Reason if Not Seen],"&lt;&gt;Cancelled by Caller",Table24[Intervention Determined],"&lt;&gt;Cancellation",Table24[Admission to CSU?],"Yes",Table24[Source of Inital Call],"School")</f>
        <v>0</v>
      </c>
      <c r="M14" s="26">
        <f t="shared" si="0"/>
        <v>0</v>
      </c>
      <c r="N14" s="61" t="str">
        <f>IFERROR(AVERAGEIFS(Table24[Response Time],Table24[Client ID '#],"&lt;&gt;",Table24[Date of Call],"&lt;="&amp;EOMONTH(A14,0),Table24[Date of Call],"&gt;="&amp;A14,Table24[Reason if Not Seen],"&lt;&gt;Cancelled by Caller"),"")</f>
        <v/>
      </c>
      <c r="O14" s="26"/>
    </row>
    <row r="15" spans="1:15" x14ac:dyDescent="0.3">
      <c r="A15" s="34">
        <f>DATE(Instructions!B10,5,1)</f>
        <v>44682</v>
      </c>
      <c r="B15" s="26">
        <f>COUNTIFS(Table24[Client ID '#],"&lt;&gt;",Table24[Date of Call],"&lt;="&amp;EOMONTH('DCF Funded'!A15,0),Table24[Date of Call],"&gt;="&amp;'DCF Funded'!A15)</f>
        <v>0</v>
      </c>
      <c r="C15" s="54" cm="1">
        <f t="array" ref="C15">IFERROR(ROWS(_xlfn.UNIQUE(_xlfn._xlws.FILTER(Table24[Client ID '#], (Table24[Date of Call]&lt;=EOMONTH('DCF Funded'!A15,0)) * (Table24[Date of Call]&gt;='DCF Funded'!A15)))), 0)</f>
        <v>0</v>
      </c>
      <c r="D15" s="26">
        <f>COUNTIFS(Table24[Client ID '#],"&lt;&gt;",Table24[Date of Call],"&lt;="&amp;EOMONTH('DCF Funded'!A15,0),Table24[Date of Call],"&gt;="&amp;'DCF Funded'!A15,Table24[Under 18],"Yes",Table24[If client is under 18, is the client involved in child welfare?],"Yes")</f>
        <v>0</v>
      </c>
      <c r="E15" s="26">
        <f>COUNTIFS(Table24[Client ID '#],"&lt;&gt;",Table24[Date of Call],"&lt;="&amp;EOMONTH('DCF Funded'!A15,0),Table24[Date of Call],"&gt;="&amp;'DCF Funded'!A15,Table24[Source of Inital Call],"School")</f>
        <v>0</v>
      </c>
      <c r="F15" s="26">
        <f>COUNTIFS(Table24[Client ID '#],"&lt;&gt;",Table24[Date of Call],"&lt;="&amp;EOMONTH('DCF Funded'!A15,0),Table24[Date of Call],"&gt;="&amp;'DCF Funded'!A15,Table24[Under 18],"Yes",Table24[If client is under 18, was parental consent obtained?],"Yes")</f>
        <v>0</v>
      </c>
      <c r="G15" s="26">
        <f>COUNTIFS(Table24[Client ID '#],"&lt;&gt;",Table24[Date of Call],"&lt;="&amp;EOMONTH('DCF Funded'!A15,0),Table24[Date of Call],"&gt;="&amp;'DCF Funded'!A15,Table24[Under 18],"Yes",Table24[If client is under 18, was parental consent obtained?],"Parent Refused")</f>
        <v>0</v>
      </c>
      <c r="H15" s="26">
        <f>COUNTIFS(Table24[Client ID '#],"&lt;&gt;",Table24[Date of Call],"&lt;="&amp;EOMONTH('DCF Funded'!A15,0),Table24[Date of Call],"&gt;="&amp;'DCF Funded'!A15,Table24[Under 18],"Yes",Table24[If client is under 18, was parental consent obtained?],"Unable to Reach Parent")</f>
        <v>0</v>
      </c>
      <c r="I15" s="26">
        <f>COUNTIFS(Table24[Client ID '#],"&lt;&gt;",Table24[Date of Call],"&lt;="&amp;EOMONTH('DCF Funded'!A15,0),Table24[Date of Call],"&gt;="&amp;'DCF Funded'!A15,Table24[Reason if Not Seen],"&lt;&gt;Cancelled by Caller",Table24[Intervention Determined],"&lt;&gt;Cancellation")</f>
        <v>0</v>
      </c>
      <c r="J15" s="26">
        <f>COUNTIFS(Table24[Client ID '#],"&lt;&gt;",Table24[Date of Call],"&lt;="&amp;EOMONTH('DCF Funded'!A15,0),Table24[Date of Call],"&gt;="&amp;'DCF Funded'!A15,Table24[Reason if Not Seen],"&lt;&gt;Cancelled by Caller",Table24[Intervention Determined],"&lt;&gt;Cancellation",Table24[Under 18],"Yes")</f>
        <v>0</v>
      </c>
      <c r="K15" s="26">
        <f>COUNTIFS(Table24[Client ID '#],"&lt;&gt;",Table24[Date of Call],"&lt;="&amp;EOMONTH('DCF Funded'!A15,0),Table24[Date of Call],"&gt;="&amp;'DCF Funded'!A15,Table24[Reason if Not Seen],"&lt;&gt;Cancelled by Caller",Table24[Intervention Determined],"&lt;&gt;Cancellation",Table24[Admission to CSU?],"Yes")</f>
        <v>0</v>
      </c>
      <c r="L15" s="26">
        <f>COUNTIFS(Table24[Client ID '#],"&lt;&gt;",Table24[Date of Call],"&lt;="&amp;EOMONTH('DCF Funded'!A15,0),Table24[Date of Call],"&gt;="&amp;'DCF Funded'!A15,Table24[Reason if Not Seen],"&lt;&gt;Cancelled by Caller",Table24[Intervention Determined],"&lt;&gt;Cancellation",Table24[Admission to CSU?],"Yes",Table24[Source of Inital Call],"School")</f>
        <v>0</v>
      </c>
      <c r="M15" s="26">
        <f t="shared" si="0"/>
        <v>0</v>
      </c>
      <c r="N15" s="61" t="str">
        <f>IFERROR(AVERAGEIFS(Table24[Response Time],Table24[Client ID '#],"&lt;&gt;",Table24[Date of Call],"&lt;="&amp;EOMONTH(A15,0),Table24[Date of Call],"&gt;="&amp;A15,Table24[Reason if Not Seen],"&lt;&gt;Cancelled by Caller"),"")</f>
        <v/>
      </c>
      <c r="O15" s="26"/>
    </row>
    <row r="16" spans="1:15" x14ac:dyDescent="0.3">
      <c r="A16" s="34">
        <f>DATE(Instructions!B10,6,1)</f>
        <v>44713</v>
      </c>
      <c r="B16" s="26">
        <f>COUNTIFS(Table24[Client ID '#],"&lt;&gt;",Table24[Date of Call],"&lt;="&amp;EOMONTH('DCF Funded'!A16,0),Table24[Date of Call],"&gt;="&amp;'DCF Funded'!A16)</f>
        <v>0</v>
      </c>
      <c r="C16" s="54" cm="1">
        <f t="array" ref="C16">IFERROR(ROWS(_xlfn.UNIQUE(_xlfn._xlws.FILTER(Table24[Client ID '#], (Table24[Date of Call]&lt;=EOMONTH('DCF Funded'!A16,0)) * (Table24[Date of Call]&gt;='DCF Funded'!A16)))), 0)</f>
        <v>0</v>
      </c>
      <c r="D16" s="26">
        <f>COUNTIFS(Table24[Client ID '#],"&lt;&gt;",Table24[Date of Call],"&lt;="&amp;EOMONTH('DCF Funded'!A16,0),Table24[Date of Call],"&gt;="&amp;'DCF Funded'!A16,Table24[Under 18],"Yes",Table24[If client is under 18, is the client involved in child welfare?],"Yes")</f>
        <v>0</v>
      </c>
      <c r="E16" s="26">
        <f>COUNTIFS(Table24[Client ID '#],"&lt;&gt;",Table24[Date of Call],"&lt;="&amp;EOMONTH('DCF Funded'!A16,0),Table24[Date of Call],"&gt;="&amp;'DCF Funded'!A16,Table24[Source of Inital Call],"School")</f>
        <v>0</v>
      </c>
      <c r="F16" s="26">
        <f>COUNTIFS(Table24[Client ID '#],"&lt;&gt;",Table24[Date of Call],"&lt;="&amp;EOMONTH('DCF Funded'!A16,0),Table24[Date of Call],"&gt;="&amp;'DCF Funded'!A16,Table24[Under 18],"Yes",Table24[If client is under 18, was parental consent obtained?],"Yes")</f>
        <v>0</v>
      </c>
      <c r="G16" s="26">
        <f>COUNTIFS(Table24[Client ID '#],"&lt;&gt;",Table24[Date of Call],"&lt;="&amp;EOMONTH('DCF Funded'!A16,0),Table24[Date of Call],"&gt;="&amp;'DCF Funded'!A16,Table24[Under 18],"Yes",Table24[If client is under 18, was parental consent obtained?],"Parent Refused")</f>
        <v>0</v>
      </c>
      <c r="H16" s="26">
        <f>COUNTIFS(Table24[Client ID '#],"&lt;&gt;",Table24[Date of Call],"&lt;="&amp;EOMONTH('DCF Funded'!A16,0),Table24[Date of Call],"&gt;="&amp;'DCF Funded'!A16,Table24[Under 18],"Yes",Table24[If client is under 18, was parental consent obtained?],"Unable to Reach Parent")</f>
        <v>0</v>
      </c>
      <c r="I16" s="26">
        <f>COUNTIFS(Table24[Client ID '#],"&lt;&gt;",Table24[Date of Call],"&lt;="&amp;EOMONTH('DCF Funded'!A16,0),Table24[Date of Call],"&gt;="&amp;'DCF Funded'!A16,Table24[Reason if Not Seen],"&lt;&gt;Cancelled by Caller",Table24[Intervention Determined],"&lt;&gt;Cancellation")</f>
        <v>0</v>
      </c>
      <c r="J16" s="26">
        <f>COUNTIFS(Table24[Client ID '#],"&lt;&gt;",Table24[Date of Call],"&lt;="&amp;EOMONTH('DCF Funded'!A16,0),Table24[Date of Call],"&gt;="&amp;'DCF Funded'!A16,Table24[Reason if Not Seen],"&lt;&gt;Cancelled by Caller",Table24[Intervention Determined],"&lt;&gt;Cancellation",Table24[Under 18],"Yes")</f>
        <v>0</v>
      </c>
      <c r="K16" s="26">
        <f>COUNTIFS(Table24[Client ID '#],"&lt;&gt;",Table24[Date of Call],"&lt;="&amp;EOMONTH('DCF Funded'!A16,0),Table24[Date of Call],"&gt;="&amp;'DCF Funded'!A16,Table24[Reason if Not Seen],"&lt;&gt;Cancelled by Caller",Table24[Intervention Determined],"&lt;&gt;Cancellation",Table24[Admission to CSU?],"Yes")</f>
        <v>0</v>
      </c>
      <c r="L16" s="26">
        <f>COUNTIFS(Table24[Client ID '#],"&lt;&gt;",Table24[Date of Call],"&lt;="&amp;EOMONTH('DCF Funded'!A16,0),Table24[Date of Call],"&gt;="&amp;'DCF Funded'!A16,Table24[Reason if Not Seen],"&lt;&gt;Cancelled by Caller",Table24[Intervention Determined],"&lt;&gt;Cancellation",Table24[Admission to CSU?],"Yes",Table24[Source of Inital Call],"School")</f>
        <v>0</v>
      </c>
      <c r="M16" s="26">
        <f t="shared" si="0"/>
        <v>0</v>
      </c>
      <c r="N16" s="61" t="str">
        <f>IFERROR(AVERAGEIFS(Table24[Response Time],Table24[Client ID '#],"&lt;&gt;",Table24[Date of Call],"&lt;="&amp;EOMONTH(A16,0),Table24[Date of Call],"&gt;="&amp;A16,Table24[Reason if Not Seen],"&lt;&gt;Cancelled by Caller"),"")</f>
        <v/>
      </c>
      <c r="O16" s="26"/>
    </row>
    <row r="17" spans="1:15" x14ac:dyDescent="0.3">
      <c r="A17" s="32"/>
    </row>
    <row r="18" spans="1:15" x14ac:dyDescent="0.3">
      <c r="A18" s="69" t="s">
        <v>169</v>
      </c>
      <c r="B18" s="69"/>
      <c r="C18" s="69"/>
      <c r="D18" s="69"/>
      <c r="E18" s="69"/>
      <c r="F18" s="69"/>
      <c r="G18" s="69"/>
      <c r="H18" s="69"/>
      <c r="I18" s="69"/>
      <c r="J18" s="29"/>
      <c r="K18" s="29"/>
      <c r="L18" s="29"/>
      <c r="M18" s="29"/>
      <c r="N18" s="29"/>
      <c r="O18" s="29"/>
    </row>
    <row r="19" spans="1:15" x14ac:dyDescent="0.3">
      <c r="A19" s="71" t="s">
        <v>168</v>
      </c>
      <c r="B19" s="71"/>
      <c r="C19" s="71"/>
      <c r="D19" s="71"/>
      <c r="E19" s="71"/>
      <c r="F19" s="71"/>
      <c r="G19" s="71"/>
      <c r="H19" s="71"/>
      <c r="I19" s="71"/>
      <c r="J19" s="31"/>
      <c r="K19" s="31"/>
      <c r="L19" s="31"/>
      <c r="M19" s="31"/>
      <c r="N19" s="31"/>
      <c r="O19" s="31"/>
    </row>
    <row r="20" spans="1:15" x14ac:dyDescent="0.3">
      <c r="A20" s="69" t="s">
        <v>167</v>
      </c>
      <c r="B20" s="69"/>
      <c r="C20" s="69"/>
      <c r="D20" s="69"/>
      <c r="E20" s="69"/>
      <c r="F20" s="69"/>
      <c r="G20" s="69"/>
      <c r="H20" s="69"/>
      <c r="I20" s="69"/>
      <c r="J20" s="29"/>
      <c r="K20" s="29"/>
      <c r="L20" s="29"/>
      <c r="M20" s="29"/>
      <c r="N20" s="29"/>
      <c r="O20" s="29"/>
    </row>
    <row r="21" spans="1:15" x14ac:dyDescent="0.3">
      <c r="A21" s="69" t="s">
        <v>166</v>
      </c>
      <c r="B21" s="69"/>
      <c r="C21" s="69"/>
      <c r="D21" s="69"/>
      <c r="E21" s="69"/>
      <c r="F21" s="69"/>
      <c r="G21" s="69"/>
      <c r="H21" s="69"/>
      <c r="I21" s="69"/>
      <c r="J21" s="29"/>
      <c r="K21" s="29"/>
      <c r="L21" s="29"/>
      <c r="M21" s="29"/>
      <c r="N21" s="29"/>
      <c r="O21" s="29"/>
    </row>
    <row r="23" spans="1:15" x14ac:dyDescent="0.3">
      <c r="A23" s="72" t="s">
        <v>181</v>
      </c>
      <c r="B23" s="72"/>
      <c r="C23" s="72"/>
      <c r="D23" s="72"/>
      <c r="E23" s="72"/>
      <c r="F23" s="72"/>
      <c r="G23" s="72"/>
      <c r="H23" s="72"/>
      <c r="I23" s="72"/>
      <c r="J23" s="30"/>
      <c r="K23" s="30"/>
      <c r="L23" s="30"/>
      <c r="M23" s="30"/>
      <c r="N23" s="30"/>
      <c r="O23" s="30"/>
    </row>
    <row r="24" spans="1:15" x14ac:dyDescent="0.3">
      <c r="A24" s="69" t="s">
        <v>180</v>
      </c>
      <c r="B24" s="69"/>
      <c r="C24" s="69"/>
      <c r="D24" s="69"/>
      <c r="E24" s="69"/>
      <c r="F24" s="69"/>
      <c r="G24" s="69"/>
      <c r="H24" s="69"/>
      <c r="I24" s="69"/>
      <c r="J24" s="29"/>
      <c r="K24" s="29"/>
      <c r="L24" s="29"/>
      <c r="M24" s="29"/>
      <c r="N24" s="29"/>
      <c r="O24" s="29"/>
    </row>
  </sheetData>
  <mergeCells count="9">
    <mergeCell ref="A21:I21"/>
    <mergeCell ref="A23:I23"/>
    <mergeCell ref="A24:I24"/>
    <mergeCell ref="A1:O1"/>
    <mergeCell ref="B2:O2"/>
    <mergeCell ref="B3:O3"/>
    <mergeCell ref="A18:I18"/>
    <mergeCell ref="A19:I19"/>
    <mergeCell ref="A20:I20"/>
  </mergeCells>
  <pageMargins left="0.25" right="1.0416666666666701E-2" top="0.75" bottom="0.75" header="0.3" footer="0.3"/>
  <pageSetup paperSize="5" scale="55" orientation="landscape" r:id="rId1"/>
  <headerFooter>
    <oddHeader>&amp;LReporting Template for Managing Entity Contracts&amp;R&amp;G</oddHeader>
    <oddFooter>&amp;C&amp;P&amp;REffective July 1, 2021</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9A0DD-BD21-4710-8776-084609A2F098}">
  <dimension ref="A1:K16"/>
  <sheetViews>
    <sheetView workbookViewId="0">
      <selection activeCell="G2" sqref="G2"/>
    </sheetView>
  </sheetViews>
  <sheetFormatPr defaultRowHeight="15" x14ac:dyDescent="0.25"/>
  <cols>
    <col min="1" max="1" width="12.42578125" bestFit="1" customWidth="1"/>
    <col min="2" max="2" width="18.7109375" bestFit="1" customWidth="1"/>
    <col min="3" max="3" width="9.42578125" bestFit="1" customWidth="1"/>
    <col min="4" max="4" width="7.5703125" bestFit="1" customWidth="1"/>
    <col min="6" max="6" width="21.42578125" bestFit="1" customWidth="1"/>
    <col min="7" max="7" width="18.7109375" bestFit="1" customWidth="1"/>
    <col min="8" max="8" width="9.42578125" bestFit="1" customWidth="1"/>
    <col min="9" max="9" width="7.5703125" bestFit="1" customWidth="1"/>
  </cols>
  <sheetData>
    <row r="1" spans="1:11" x14ac:dyDescent="0.25">
      <c r="A1" t="s">
        <v>192</v>
      </c>
      <c r="B1" t="s">
        <v>912</v>
      </c>
      <c r="C1" t="s">
        <v>911</v>
      </c>
      <c r="D1" t="s">
        <v>916</v>
      </c>
      <c r="F1" t="s">
        <v>160</v>
      </c>
      <c r="G1" t="s">
        <v>912</v>
      </c>
      <c r="H1" t="s">
        <v>911</v>
      </c>
      <c r="I1" t="s">
        <v>916</v>
      </c>
      <c r="K1" t="s">
        <v>917</v>
      </c>
    </row>
    <row r="2" spans="1:11" ht="16.5" x14ac:dyDescent="0.3">
      <c r="A2" s="34">
        <f>DATE(Instructions!B10-1,7,1)</f>
        <v>44378</v>
      </c>
      <c r="B2" s="3">
        <f>COUNTIFS(Table24[Client ID '#],"&lt;&gt;",Table24[Validation Errors],"",Table24[Date of Call],"&gt;="&amp;'G - Entry Validation'!A2,Table24[Date of Call],"&lt;="&amp;EOMONTH('G - Entry Validation'!A2,0))+COUNTIFS(Table1[Type of Outreach],"&lt;&gt;",Table1[Validation Errors],"",Table1[Date of Outreach],"&gt;="&amp;'G - Entry Validation'!A2,Table1[Date of Outreach],"&lt;="&amp;EOMONTH('G - Entry Validation'!A2,0))+COUNTIFS('Other Funding Sources'!B5,"&lt;&gt;",'Other Funding Sources'!H5,"")</f>
        <v>0</v>
      </c>
      <c r="C2" s="3">
        <f>COUNTIFS(Table24[Client ID '#],"&lt;&gt;",Table24[Date of Call],"&gt;="&amp;'G - Entry Validation'!A2,Table24[Date of Call],"&lt;="&amp;EOMONTH('G - Entry Validation'!A2,0))+COUNTIFS(Table1[Type of Outreach],"&lt;&gt;",Table1[Date of Outreach],"&gt;="&amp;'G - Entry Validation'!A2,Table1[Date of Outreach],"&lt;="&amp;EOMONTH('G - Entry Validation'!A2,0))+COUNTIFS('Other Funding Sources'!B5,"&lt;&gt;")</f>
        <v>0</v>
      </c>
      <c r="D2" s="55" t="str">
        <f>IFERROR(B2/C2,"")</f>
        <v/>
      </c>
      <c r="F2" t="s">
        <v>36</v>
      </c>
      <c r="G2">
        <f>COUNTIFS(Table24[Client ID '#],"&lt;&gt;",Table24[Validation Errors],"")</f>
        <v>0</v>
      </c>
      <c r="H2">
        <f>COUNTA(Table24[Client ID '#])</f>
        <v>0</v>
      </c>
      <c r="I2" s="55" t="str">
        <f>IFERROR(G2/H2,"")</f>
        <v/>
      </c>
      <c r="K2" t="s">
        <v>918</v>
      </c>
    </row>
    <row r="3" spans="1:11" ht="16.5" x14ac:dyDescent="0.3">
      <c r="A3" s="34">
        <f>DATE(Instructions!B10-1,8,1)</f>
        <v>44409</v>
      </c>
      <c r="B3" s="3">
        <f>COUNTIFS(Table24[Client ID '#],"&lt;&gt;",Table24[Validation Errors],"",Table24[Date of Call],"&gt;="&amp;'G - Entry Validation'!A3,Table24[Date of Call],"&lt;="&amp;EOMONTH('G - Entry Validation'!A3,0))+COUNTIFS(Table1[Type of Outreach],"&lt;&gt;",Table1[Validation Errors],"",Table1[Date of Outreach],"&gt;="&amp;'G - Entry Validation'!A3,Table1[Date of Outreach],"&lt;="&amp;EOMONTH('G - Entry Validation'!A3,0))+COUNTIFS('Other Funding Sources'!B6,"&lt;&gt;",'Other Funding Sources'!H6,"")</f>
        <v>0</v>
      </c>
      <c r="C3" s="3">
        <f>COUNTIFS(Table24[Client ID '#],"&lt;&gt;",Table24[Date of Call],"&gt;="&amp;'G - Entry Validation'!A3,Table24[Date of Call],"&lt;="&amp;EOMONTH('G - Entry Validation'!A3,0))+COUNTIFS(Table1[Type of Outreach],"&lt;&gt;",Table1[Date of Outreach],"&gt;="&amp;'G - Entry Validation'!A3,Table1[Date of Outreach],"&lt;="&amp;EOMONTH('G - Entry Validation'!A3,0))+COUNTIFS('Other Funding Sources'!B6,"&lt;&gt;")</f>
        <v>0</v>
      </c>
      <c r="D3" s="55" t="str">
        <f t="shared" ref="D3:D13" si="0">IFERROR(B3/C3,"")</f>
        <v/>
      </c>
      <c r="F3" t="s">
        <v>205</v>
      </c>
      <c r="G3">
        <f>COUNTIFS('Other Funding Sources'!B5:B16,"&lt;&gt;",'Other Funding Sources'!H5:H16,"")</f>
        <v>0</v>
      </c>
      <c r="H3">
        <f>COUNTIFS('Other Funding Sources'!B5:B16,"&lt;&gt;")</f>
        <v>0</v>
      </c>
      <c r="I3" s="55" t="str">
        <f>IFERROR(G3/H3,"")</f>
        <v/>
      </c>
      <c r="K3" t="s">
        <v>919</v>
      </c>
    </row>
    <row r="4" spans="1:11" ht="16.5" x14ac:dyDescent="0.3">
      <c r="A4" s="34">
        <f>DATE(Instructions!B10-1,9,1)</f>
        <v>44440</v>
      </c>
      <c r="B4" s="3">
        <f>COUNTIFS(Table24[Client ID '#],"&lt;&gt;",Table24[Validation Errors],"",Table24[Date of Call],"&gt;="&amp;'G - Entry Validation'!A4,Table24[Date of Call],"&lt;="&amp;EOMONTH('G - Entry Validation'!A4,0))+COUNTIFS(Table1[Type of Outreach],"&lt;&gt;",Table1[Validation Errors],"",Table1[Date of Outreach],"&gt;="&amp;'G - Entry Validation'!A4,Table1[Date of Outreach],"&lt;="&amp;EOMONTH('G - Entry Validation'!A4,0))+COUNTIFS('Other Funding Sources'!B7,"&lt;&gt;",'Other Funding Sources'!H7,"")</f>
        <v>0</v>
      </c>
      <c r="C4" s="3">
        <f>COUNTIFS(Table24[Client ID '#],"&lt;&gt;",Table24[Date of Call],"&gt;="&amp;'G - Entry Validation'!A4,Table24[Date of Call],"&lt;="&amp;EOMONTH('G - Entry Validation'!A4,0))+COUNTIFS(Table1[Type of Outreach],"&lt;&gt;",Table1[Date of Outreach],"&gt;="&amp;'G - Entry Validation'!A4,Table1[Date of Outreach],"&lt;="&amp;EOMONTH('G - Entry Validation'!A4,0))+COUNTIFS('Other Funding Sources'!B7,"&lt;&gt;")</f>
        <v>0</v>
      </c>
      <c r="D4" s="55" t="str">
        <f t="shared" si="0"/>
        <v/>
      </c>
      <c r="F4" t="s">
        <v>198</v>
      </c>
      <c r="G4">
        <f>COUNTIFS(Table1[Type of Outreach],"&lt;&gt;",Table1[Validation Errors],"")</f>
        <v>0</v>
      </c>
      <c r="H4">
        <f>COUNTIFS(Table1[Type of Outreach],"&lt;&gt;")</f>
        <v>0</v>
      </c>
      <c r="I4" s="55" t="str">
        <f>IFERROR(G4/H4,"")</f>
        <v/>
      </c>
    </row>
    <row r="5" spans="1:11" ht="16.5" x14ac:dyDescent="0.3">
      <c r="A5" s="34">
        <f>DATE(Instructions!B10-1,10,1)</f>
        <v>44470</v>
      </c>
      <c r="B5" s="3">
        <f>COUNTIFS(Table24[Client ID '#],"&lt;&gt;",Table24[Validation Errors],"",Table24[Date of Call],"&gt;="&amp;'G - Entry Validation'!A5,Table24[Date of Call],"&lt;="&amp;EOMONTH('G - Entry Validation'!A5,0))+COUNTIFS(Table1[Type of Outreach],"&lt;&gt;",Table1[Validation Errors],"",Table1[Date of Outreach],"&gt;="&amp;'G - Entry Validation'!A5,Table1[Date of Outreach],"&lt;="&amp;EOMONTH('G - Entry Validation'!A5,0))+COUNTIFS('Other Funding Sources'!B8,"&lt;&gt;",'Other Funding Sources'!H8,"")</f>
        <v>0</v>
      </c>
      <c r="C5" s="3">
        <f>COUNTIFS(Table24[Client ID '#],"&lt;&gt;",Table24[Date of Call],"&gt;="&amp;'G - Entry Validation'!A5,Table24[Date of Call],"&lt;="&amp;EOMONTH('G - Entry Validation'!A5,0))+COUNTIFS(Table1[Type of Outreach],"&lt;&gt;",Table1[Date of Outreach],"&gt;="&amp;'G - Entry Validation'!A5,Table1[Date of Outreach],"&lt;="&amp;EOMONTH('G - Entry Validation'!A5,0))+COUNTIFS('Other Funding Sources'!B8,"&lt;&gt;")</f>
        <v>0</v>
      </c>
      <c r="D5" s="55" t="str">
        <f t="shared" si="0"/>
        <v/>
      </c>
      <c r="F5" t="s">
        <v>913</v>
      </c>
      <c r="G5">
        <f>SUM(G2:G4)</f>
        <v>0</v>
      </c>
      <c r="H5">
        <f>SUM(H2:H4)</f>
        <v>0</v>
      </c>
      <c r="I5" s="55" t="str">
        <f>IFERROR(G5/H5,"")</f>
        <v/>
      </c>
    </row>
    <row r="6" spans="1:11" ht="16.5" x14ac:dyDescent="0.3">
      <c r="A6" s="34">
        <f>DATE(Instructions!B10-1,11,1)</f>
        <v>44501</v>
      </c>
      <c r="B6" s="3">
        <f>COUNTIFS(Table24[Client ID '#],"&lt;&gt;",Table24[Validation Errors],"",Table24[Date of Call],"&gt;="&amp;'G - Entry Validation'!A6,Table24[Date of Call],"&lt;="&amp;EOMONTH('G - Entry Validation'!A6,0))+COUNTIFS(Table1[Type of Outreach],"&lt;&gt;",Table1[Validation Errors],"",Table1[Date of Outreach],"&gt;="&amp;'G - Entry Validation'!A6,Table1[Date of Outreach],"&lt;="&amp;EOMONTH('G - Entry Validation'!A6,0))+COUNTIFS('Other Funding Sources'!B9,"&lt;&gt;",'Other Funding Sources'!H9,"")</f>
        <v>0</v>
      </c>
      <c r="C6" s="3">
        <f>COUNTIFS(Table24[Client ID '#],"&lt;&gt;",Table24[Date of Call],"&gt;="&amp;'G - Entry Validation'!A6,Table24[Date of Call],"&lt;="&amp;EOMONTH('G - Entry Validation'!A6,0))+COUNTIFS(Table1[Type of Outreach],"&lt;&gt;",Table1[Date of Outreach],"&gt;="&amp;'G - Entry Validation'!A6,Table1[Date of Outreach],"&lt;="&amp;EOMONTH('G - Entry Validation'!A6,0))+COUNTIFS('Other Funding Sources'!B9,"&lt;&gt;")</f>
        <v>0</v>
      </c>
      <c r="D6" s="55" t="str">
        <f t="shared" si="0"/>
        <v/>
      </c>
    </row>
    <row r="7" spans="1:11" ht="16.5" x14ac:dyDescent="0.3">
      <c r="A7" s="34">
        <f>DATE(Instructions!B10-1,12,1)</f>
        <v>44531</v>
      </c>
      <c r="B7" s="3">
        <f>COUNTIFS(Table24[Client ID '#],"&lt;&gt;",Table24[Validation Errors],"",Table24[Date of Call],"&gt;="&amp;'G - Entry Validation'!A7,Table24[Date of Call],"&lt;="&amp;EOMONTH('G - Entry Validation'!A7,0))+COUNTIFS(Table1[Type of Outreach],"&lt;&gt;",Table1[Validation Errors],"",Table1[Date of Outreach],"&gt;="&amp;'G - Entry Validation'!A7,Table1[Date of Outreach],"&lt;="&amp;EOMONTH('G - Entry Validation'!A7,0))+COUNTIFS('Other Funding Sources'!B10,"&lt;&gt;",'Other Funding Sources'!H10,"")</f>
        <v>0</v>
      </c>
      <c r="C7" s="3">
        <f>COUNTIFS(Table24[Client ID '#],"&lt;&gt;",Table24[Date of Call],"&gt;="&amp;'G - Entry Validation'!A7,Table24[Date of Call],"&lt;="&amp;EOMONTH('G - Entry Validation'!A7,0))+COUNTIFS(Table1[Type of Outreach],"&lt;&gt;",Table1[Date of Outreach],"&gt;="&amp;'G - Entry Validation'!A7,Table1[Date of Outreach],"&lt;="&amp;EOMONTH('G - Entry Validation'!A7,0))+COUNTIFS('Other Funding Sources'!B10,"&lt;&gt;")</f>
        <v>0</v>
      </c>
      <c r="D7" s="55" t="str">
        <f t="shared" si="0"/>
        <v/>
      </c>
    </row>
    <row r="8" spans="1:11" ht="16.5" x14ac:dyDescent="0.3">
      <c r="A8" s="34">
        <f>DATE(Instructions!B10,1,1)</f>
        <v>44562</v>
      </c>
      <c r="B8" s="3">
        <f>COUNTIFS(Table24[Client ID '#],"&lt;&gt;",Table24[Validation Errors],"",Table24[Date of Call],"&gt;="&amp;'G - Entry Validation'!A8,Table24[Date of Call],"&lt;="&amp;EOMONTH('G - Entry Validation'!A8,0))+COUNTIFS(Table1[Type of Outreach],"&lt;&gt;",Table1[Validation Errors],"",Table1[Date of Outreach],"&gt;="&amp;'G - Entry Validation'!A8,Table1[Date of Outreach],"&lt;="&amp;EOMONTH('G - Entry Validation'!A8,0))+COUNTIFS('Other Funding Sources'!B11,"&lt;&gt;",'Other Funding Sources'!H11,"")</f>
        <v>0</v>
      </c>
      <c r="C8" s="3">
        <f>COUNTIFS(Table24[Client ID '#],"&lt;&gt;",Table24[Date of Call],"&gt;="&amp;'G - Entry Validation'!A8,Table24[Date of Call],"&lt;="&amp;EOMONTH('G - Entry Validation'!A8,0))+COUNTIFS(Table1[Type of Outreach],"&lt;&gt;",Table1[Date of Outreach],"&gt;="&amp;'G - Entry Validation'!A8,Table1[Date of Outreach],"&lt;="&amp;EOMONTH('G - Entry Validation'!A8,0))+COUNTIFS('Other Funding Sources'!B11,"&lt;&gt;")</f>
        <v>0</v>
      </c>
      <c r="D8" s="55" t="str">
        <f t="shared" si="0"/>
        <v/>
      </c>
    </row>
    <row r="9" spans="1:11" ht="16.5" x14ac:dyDescent="0.3">
      <c r="A9" s="34">
        <f>DATE(Instructions!B10,2,1)</f>
        <v>44593</v>
      </c>
      <c r="B9" s="3">
        <f>COUNTIFS(Table24[Client ID '#],"&lt;&gt;",Table24[Validation Errors],"",Table24[Date of Call],"&gt;="&amp;'G - Entry Validation'!A9,Table24[Date of Call],"&lt;="&amp;EOMONTH('G - Entry Validation'!A9,0))+COUNTIFS(Table1[Type of Outreach],"&lt;&gt;",Table1[Validation Errors],"",Table1[Date of Outreach],"&gt;="&amp;'G - Entry Validation'!A9,Table1[Date of Outreach],"&lt;="&amp;EOMONTH('G - Entry Validation'!A9,0))+COUNTIFS('Other Funding Sources'!B12,"&lt;&gt;",'Other Funding Sources'!H12,"")</f>
        <v>0</v>
      </c>
      <c r="C9" s="3">
        <f>COUNTIFS(Table24[Client ID '#],"&lt;&gt;",Table24[Date of Call],"&gt;="&amp;'G - Entry Validation'!A9,Table24[Date of Call],"&lt;="&amp;EOMONTH('G - Entry Validation'!A9,0))+COUNTIFS(Table1[Type of Outreach],"&lt;&gt;",Table1[Date of Outreach],"&gt;="&amp;'G - Entry Validation'!A9,Table1[Date of Outreach],"&lt;="&amp;EOMONTH('G - Entry Validation'!A9,0))+COUNTIFS('Other Funding Sources'!B12,"&lt;&gt;")</f>
        <v>0</v>
      </c>
      <c r="D9" s="55" t="str">
        <f t="shared" si="0"/>
        <v/>
      </c>
    </row>
    <row r="10" spans="1:11" ht="16.5" x14ac:dyDescent="0.3">
      <c r="A10" s="34">
        <f>DATE(Instructions!B10,3,1)</f>
        <v>44621</v>
      </c>
      <c r="B10" s="3">
        <f>COUNTIFS(Table24[Client ID '#],"&lt;&gt;",Table24[Validation Errors],"",Table24[Date of Call],"&gt;="&amp;'G - Entry Validation'!A10,Table24[Date of Call],"&lt;="&amp;EOMONTH('G - Entry Validation'!A10,0))+COUNTIFS(Table1[Type of Outreach],"&lt;&gt;",Table1[Validation Errors],"",Table1[Date of Outreach],"&gt;="&amp;'G - Entry Validation'!A10,Table1[Date of Outreach],"&lt;="&amp;EOMONTH('G - Entry Validation'!A10,0))+COUNTIFS('Other Funding Sources'!B13,"&lt;&gt;",'Other Funding Sources'!H13,"")</f>
        <v>0</v>
      </c>
      <c r="C10" s="3">
        <f>COUNTIFS(Table24[Client ID '#],"&lt;&gt;",Table24[Date of Call],"&gt;="&amp;'G - Entry Validation'!A10,Table24[Date of Call],"&lt;="&amp;EOMONTH('G - Entry Validation'!A10,0))+COUNTIFS(Table1[Type of Outreach],"&lt;&gt;",Table1[Date of Outreach],"&gt;="&amp;'G - Entry Validation'!A10,Table1[Date of Outreach],"&lt;="&amp;EOMONTH('G - Entry Validation'!A10,0))+COUNTIFS('Other Funding Sources'!B13,"&lt;&gt;")</f>
        <v>0</v>
      </c>
      <c r="D10" s="55" t="str">
        <f t="shared" si="0"/>
        <v/>
      </c>
    </row>
    <row r="11" spans="1:11" ht="16.5" x14ac:dyDescent="0.3">
      <c r="A11" s="34">
        <f>DATE(Instructions!B10,4,1)</f>
        <v>44652</v>
      </c>
      <c r="B11" s="3">
        <f>COUNTIFS(Table24[Client ID '#],"&lt;&gt;",Table24[Validation Errors],"",Table24[Date of Call],"&gt;="&amp;'G - Entry Validation'!A11,Table24[Date of Call],"&lt;="&amp;EOMONTH('G - Entry Validation'!A11,0))+COUNTIFS(Table1[Type of Outreach],"&lt;&gt;",Table1[Validation Errors],"",Table1[Date of Outreach],"&gt;="&amp;'G - Entry Validation'!A11,Table1[Date of Outreach],"&lt;="&amp;EOMONTH('G - Entry Validation'!A11,0))+COUNTIFS('Other Funding Sources'!B14,"&lt;&gt;",'Other Funding Sources'!H14,"")</f>
        <v>0</v>
      </c>
      <c r="C11" s="3">
        <f>COUNTIFS(Table24[Client ID '#],"&lt;&gt;",Table24[Date of Call],"&gt;="&amp;'G - Entry Validation'!A11,Table24[Date of Call],"&lt;="&amp;EOMONTH('G - Entry Validation'!A11,0))+COUNTIFS(Table1[Type of Outreach],"&lt;&gt;",Table1[Date of Outreach],"&gt;="&amp;'G - Entry Validation'!A11,Table1[Date of Outreach],"&lt;="&amp;EOMONTH('G - Entry Validation'!A11,0))+COUNTIFS('Other Funding Sources'!B14,"&lt;&gt;")</f>
        <v>0</v>
      </c>
      <c r="D11" s="55" t="str">
        <f t="shared" si="0"/>
        <v/>
      </c>
    </row>
    <row r="12" spans="1:11" ht="16.5" x14ac:dyDescent="0.3">
      <c r="A12" s="34">
        <f>DATE(Instructions!B10,5,1)</f>
        <v>44682</v>
      </c>
      <c r="B12" s="3">
        <f>COUNTIFS(Table24[Client ID '#],"&lt;&gt;",Table24[Validation Errors],"",Table24[Date of Call],"&gt;="&amp;'G - Entry Validation'!A12,Table24[Date of Call],"&lt;="&amp;EOMONTH('G - Entry Validation'!A12,0))+COUNTIFS(Table1[Type of Outreach],"&lt;&gt;",Table1[Validation Errors],"",Table1[Date of Outreach],"&gt;="&amp;'G - Entry Validation'!A12,Table1[Date of Outreach],"&lt;="&amp;EOMONTH('G - Entry Validation'!A12,0))+COUNTIFS('Other Funding Sources'!B15,"&lt;&gt;",'Other Funding Sources'!H15,"")</f>
        <v>0</v>
      </c>
      <c r="C12" s="3">
        <f>COUNTIFS(Table24[Client ID '#],"&lt;&gt;",Table24[Date of Call],"&gt;="&amp;'G - Entry Validation'!A12,Table24[Date of Call],"&lt;="&amp;EOMONTH('G - Entry Validation'!A12,0))+COUNTIFS(Table1[Type of Outreach],"&lt;&gt;",Table1[Date of Outreach],"&gt;="&amp;'G - Entry Validation'!A12,Table1[Date of Outreach],"&lt;="&amp;EOMONTH('G - Entry Validation'!A12,0))+COUNTIFS('Other Funding Sources'!B15,"&lt;&gt;")</f>
        <v>0</v>
      </c>
      <c r="D12" s="55" t="str">
        <f t="shared" si="0"/>
        <v/>
      </c>
    </row>
    <row r="13" spans="1:11" ht="16.5" x14ac:dyDescent="0.3">
      <c r="A13" s="34">
        <f>DATE(Instructions!B10,6,1)</f>
        <v>44713</v>
      </c>
      <c r="B13" s="3">
        <f>COUNTIFS(Table24[Client ID '#],"&lt;&gt;",Table24[Validation Errors],"",Table24[Date of Call],"&gt;="&amp;'G - Entry Validation'!A13,Table24[Date of Call],"&lt;="&amp;EOMONTH('G - Entry Validation'!A13,0))+COUNTIFS(Table1[Type of Outreach],"&lt;&gt;",Table1[Validation Errors],"",Table1[Date of Outreach],"&gt;="&amp;'G - Entry Validation'!A13,Table1[Date of Outreach],"&lt;="&amp;EOMONTH('G - Entry Validation'!A13,0))+COUNTIFS('Other Funding Sources'!B16,"&lt;&gt;",'Other Funding Sources'!H16,"")</f>
        <v>0</v>
      </c>
      <c r="C13" s="3">
        <f>COUNTIFS(Table24[Client ID '#],"&lt;&gt;",Table24[Date of Call],"&gt;="&amp;'G - Entry Validation'!A13,Table24[Date of Call],"&lt;="&amp;EOMONTH('G - Entry Validation'!A13,0))+COUNTIFS(Table1[Type of Outreach],"&lt;&gt;",Table1[Date of Outreach],"&gt;="&amp;'G - Entry Validation'!A13,Table1[Date of Outreach],"&lt;="&amp;EOMONTH('G - Entry Validation'!A13,0))+COUNTIFS('Other Funding Sources'!B16,"&lt;&gt;")</f>
        <v>0</v>
      </c>
      <c r="D13" s="55" t="str">
        <f t="shared" si="0"/>
        <v/>
      </c>
    </row>
    <row r="16" spans="1:11" x14ac:dyDescent="0.25">
      <c r="A16" s="36" t="s">
        <v>899</v>
      </c>
    </row>
  </sheetData>
  <hyperlinks>
    <hyperlink ref="A16" location="'Field Definitions'!A1" display="Return to Field Definition tab." xr:uid="{CD96948C-08C9-430A-B5C6-C91BAC2CE821}"/>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C0E2E-5F24-4BDB-827E-8BF15DE5748C}">
  <dimension ref="A1:Q13"/>
  <sheetViews>
    <sheetView workbookViewId="0">
      <selection activeCell="D3" sqref="D3"/>
    </sheetView>
  </sheetViews>
  <sheetFormatPr defaultRowHeight="15" x14ac:dyDescent="0.25"/>
  <cols>
    <col min="1" max="1" width="12.42578125" bestFit="1" customWidth="1"/>
    <col min="4" max="4" width="13.42578125" bestFit="1" customWidth="1"/>
    <col min="17" max="17" width="28" bestFit="1" customWidth="1"/>
  </cols>
  <sheetData>
    <row r="1" spans="1:17" x14ac:dyDescent="0.25">
      <c r="A1" t="s">
        <v>192</v>
      </c>
      <c r="B1" t="s">
        <v>255</v>
      </c>
      <c r="C1" t="s">
        <v>256</v>
      </c>
      <c r="D1" t="s">
        <v>257</v>
      </c>
      <c r="Q1" s="36" t="s">
        <v>899</v>
      </c>
    </row>
    <row r="2" spans="1:17" ht="16.5" x14ac:dyDescent="0.3">
      <c r="A2" s="34">
        <f>DATE(Instructions!B10-1,7,1)</f>
        <v>44378</v>
      </c>
      <c r="B2">
        <f>COUNTIFS(Table24[Client ID '#],"&lt;&gt;",Table24[Date of Call],"&lt;="&amp;EOMONTH(A2,0),Table24[Date of Call],"&gt;="&amp;A2,Table24[Under 18],"Yes")</f>
        <v>0</v>
      </c>
      <c r="C2">
        <f>COUNTIFS(Table24[Client ID '#],"&lt;&gt;",Table24[Date of Call],"&lt;="&amp;EOMONTH(A2,0),Table24[Date of Call],"&gt;="&amp;A2,Table24[Client Age],"&gt;=18")</f>
        <v>0</v>
      </c>
      <c r="D2">
        <f>COUNTIFS(Table24[Client ID '#],"&lt;&gt;",Table24[Date of Call],"&lt;="&amp;EOMONTH(A2,0),Table24[Date of Call],"&gt;="&amp;A2,Table24[Client Age],"Cannot be Calculated",Table24[Under 18],"No")</f>
        <v>0</v>
      </c>
    </row>
    <row r="3" spans="1:17" ht="16.5" x14ac:dyDescent="0.3">
      <c r="A3" s="34">
        <f>DATE(Instructions!B10-1,8,1)</f>
        <v>44409</v>
      </c>
      <c r="B3">
        <f>COUNTIFS(Table24[Client ID '#],"&lt;&gt;",Table24[Date of Call],"&lt;="&amp;EOMONTH('DCF Funded'!A6,0),Table24[Date of Call],"&gt;="&amp;'DCF Funded'!A6,Table24[Under 18],"Yes")</f>
        <v>0</v>
      </c>
      <c r="C3">
        <f>COUNTIFS(Table24[Client ID '#],"&lt;&gt;",Table24[Date of Call],"&lt;="&amp;EOMONTH(A3,0),Table24[Date of Call],"&gt;="&amp;A3,Table24[Client Age],"&gt;=18")</f>
        <v>0</v>
      </c>
      <c r="D3">
        <f>COUNTIFS(Table24[Client ID '#],"&lt;&gt;",Table24[Date of Call],"&lt;="&amp;EOMONTH(A3,0),Table24[Date of Call],"&gt;="&amp;A3,Table24[Client Age],"Cannot be Calculated",Table24[Under 18],"No")</f>
        <v>0</v>
      </c>
    </row>
    <row r="4" spans="1:17" ht="16.5" x14ac:dyDescent="0.3">
      <c r="A4" s="34">
        <f>DATE(Instructions!B10-1,9,1)</f>
        <v>44440</v>
      </c>
      <c r="B4">
        <f>COUNTIFS(Table24[Client ID '#],"&lt;&gt;",Table24[Date of Call],"&lt;="&amp;EOMONTH('DCF Funded'!A7,0),Table24[Date of Call],"&gt;="&amp;'DCF Funded'!A7,Table24[Under 18],"Yes")</f>
        <v>0</v>
      </c>
      <c r="C4">
        <f>COUNTIFS(Table24[Client ID '#],"&lt;&gt;",Table24[Date of Call],"&lt;="&amp;EOMONTH(A4,0),Table24[Date of Call],"&gt;="&amp;A4,Table24[Client Age],"&gt;=18")</f>
        <v>0</v>
      </c>
      <c r="D4">
        <f>COUNTIFS(Table24[Client ID '#],"&lt;&gt;",Table24[Date of Call],"&lt;="&amp;EOMONTH(A4,0),Table24[Date of Call],"&gt;="&amp;A4,Table24[Client Age],"Cannot be Calculated",Table24[Under 18],"No")</f>
        <v>0</v>
      </c>
    </row>
    <row r="5" spans="1:17" ht="16.5" x14ac:dyDescent="0.3">
      <c r="A5" s="34">
        <f>DATE(Instructions!B10-1,10,1)</f>
        <v>44470</v>
      </c>
      <c r="B5">
        <f>COUNTIFS(Table24[Client ID '#],"&lt;&gt;",Table24[Date of Call],"&lt;="&amp;EOMONTH('DCF Funded'!A8,0),Table24[Date of Call],"&gt;="&amp;'DCF Funded'!A8,Table24[Under 18],"Yes")</f>
        <v>0</v>
      </c>
      <c r="C5">
        <f>COUNTIFS(Table24[Client ID '#],"&lt;&gt;",Table24[Date of Call],"&lt;="&amp;EOMONTH(A5,0),Table24[Date of Call],"&gt;="&amp;A5,Table24[Client Age],"&gt;=18")</f>
        <v>0</v>
      </c>
      <c r="D5">
        <f>COUNTIFS(Table24[Client ID '#],"&lt;&gt;",Table24[Date of Call],"&lt;="&amp;EOMONTH(A5,0),Table24[Date of Call],"&gt;="&amp;A5,Table24[Client Age],"Cannot be Calculated",Table24[Under 18],"No")</f>
        <v>0</v>
      </c>
    </row>
    <row r="6" spans="1:17" ht="16.5" x14ac:dyDescent="0.3">
      <c r="A6" s="34">
        <f>DATE(Instructions!B10-1,11,1)</f>
        <v>44501</v>
      </c>
      <c r="B6">
        <f>COUNTIFS(Table24[Client ID '#],"&lt;&gt;",Table24[Date of Call],"&lt;="&amp;EOMONTH('DCF Funded'!A9,0),Table24[Date of Call],"&gt;="&amp;'DCF Funded'!A9,Table24[Under 18],"Yes")</f>
        <v>0</v>
      </c>
      <c r="C6">
        <f>COUNTIFS(Table24[Client ID '#],"&lt;&gt;",Table24[Date of Call],"&lt;="&amp;EOMONTH(A6,0),Table24[Date of Call],"&gt;="&amp;A6,Table24[Client Age],"&gt;=18")</f>
        <v>0</v>
      </c>
      <c r="D6">
        <f>COUNTIFS(Table24[Client ID '#],"&lt;&gt;",Table24[Date of Call],"&lt;="&amp;EOMONTH(A6,0),Table24[Date of Call],"&gt;="&amp;A6,Table24[Client Age],"Cannot be Calculated",Table24[Under 18],"No")</f>
        <v>0</v>
      </c>
    </row>
    <row r="7" spans="1:17" ht="16.5" x14ac:dyDescent="0.3">
      <c r="A7" s="34">
        <f>DATE(Instructions!B10-1,12,1)</f>
        <v>44531</v>
      </c>
      <c r="B7">
        <f>COUNTIFS(Table24[Client ID '#],"&lt;&gt;",Table24[Date of Call],"&lt;="&amp;EOMONTH('DCF Funded'!A10,0),Table24[Date of Call],"&gt;="&amp;'DCF Funded'!A10,Table24[Under 18],"Yes")</f>
        <v>0</v>
      </c>
      <c r="C7">
        <f>COUNTIFS(Table24[Client ID '#],"&lt;&gt;",Table24[Date of Call],"&lt;="&amp;EOMONTH(A7,0),Table24[Date of Call],"&gt;="&amp;A7,Table24[Client Age],"&gt;=18")</f>
        <v>0</v>
      </c>
      <c r="D7">
        <f>COUNTIFS(Table24[Client ID '#],"&lt;&gt;",Table24[Date of Call],"&lt;="&amp;EOMONTH(A7,0),Table24[Date of Call],"&gt;="&amp;A7,Table24[Client Age],"Cannot be Calculated",Table24[Under 18],"No")</f>
        <v>0</v>
      </c>
    </row>
    <row r="8" spans="1:17" ht="16.5" x14ac:dyDescent="0.3">
      <c r="A8" s="34">
        <f>DATE(Instructions!B10,1,1)</f>
        <v>44562</v>
      </c>
      <c r="B8">
        <f>COUNTIFS(Table24[Client ID '#],"&lt;&gt;",Table24[Date of Call],"&lt;="&amp;EOMONTH('DCF Funded'!A11,0),Table24[Date of Call],"&gt;="&amp;'DCF Funded'!A11,Table24[Under 18],"Yes")</f>
        <v>0</v>
      </c>
      <c r="C8">
        <f>COUNTIFS(Table24[Client ID '#],"&lt;&gt;",Table24[Date of Call],"&lt;="&amp;EOMONTH(A8,0),Table24[Date of Call],"&gt;="&amp;A8,Table24[Client Age],"&gt;=18")</f>
        <v>0</v>
      </c>
      <c r="D8">
        <f>COUNTIFS(Table24[Client ID '#],"&lt;&gt;",Table24[Date of Call],"&lt;="&amp;EOMONTH(A8,0),Table24[Date of Call],"&gt;="&amp;A8,Table24[Client Age],"Cannot be Calculated",Table24[Under 18],"No")</f>
        <v>0</v>
      </c>
    </row>
    <row r="9" spans="1:17" ht="16.5" x14ac:dyDescent="0.3">
      <c r="A9" s="34">
        <f>DATE(Instructions!B10,2,1)</f>
        <v>44593</v>
      </c>
      <c r="B9">
        <f>COUNTIFS(Table24[Client ID '#],"&lt;&gt;",Table24[Date of Call],"&lt;="&amp;EOMONTH('DCF Funded'!A12,0),Table24[Date of Call],"&gt;="&amp;'DCF Funded'!A12,Table24[Under 18],"Yes")</f>
        <v>0</v>
      </c>
      <c r="C9">
        <f>COUNTIFS(Table24[Client ID '#],"&lt;&gt;",Table24[Date of Call],"&lt;="&amp;EOMONTH(A9,0),Table24[Date of Call],"&gt;="&amp;A9,Table24[Client Age],"&gt;=18")</f>
        <v>0</v>
      </c>
      <c r="D9">
        <f>COUNTIFS(Table24[Client ID '#],"&lt;&gt;",Table24[Date of Call],"&lt;="&amp;EOMONTH(A9,0),Table24[Date of Call],"&gt;="&amp;A9,Table24[Client Age],"Cannot be Calculated",Table24[Under 18],"No")</f>
        <v>0</v>
      </c>
    </row>
    <row r="10" spans="1:17" ht="16.5" x14ac:dyDescent="0.3">
      <c r="A10" s="34">
        <f>DATE(Instructions!B10,3,1)</f>
        <v>44621</v>
      </c>
      <c r="B10">
        <f>COUNTIFS(Table24[Client ID '#],"&lt;&gt;",Table24[Date of Call],"&lt;="&amp;EOMONTH('DCF Funded'!A13,0),Table24[Date of Call],"&gt;="&amp;'DCF Funded'!A13,Table24[Under 18],"Yes")</f>
        <v>0</v>
      </c>
      <c r="C10">
        <f>COUNTIFS(Table24[Client ID '#],"&lt;&gt;",Table24[Date of Call],"&lt;="&amp;EOMONTH(A10,0),Table24[Date of Call],"&gt;="&amp;A10,Table24[Client Age],"&gt;=18")</f>
        <v>0</v>
      </c>
      <c r="D10">
        <f>COUNTIFS(Table24[Client ID '#],"&lt;&gt;",Table24[Date of Call],"&lt;="&amp;EOMONTH(A10,0),Table24[Date of Call],"&gt;="&amp;A10,Table24[Client Age],"Cannot be Calculated",Table24[Under 18],"No")</f>
        <v>0</v>
      </c>
    </row>
    <row r="11" spans="1:17" ht="16.5" x14ac:dyDescent="0.3">
      <c r="A11" s="34">
        <f>DATE(Instructions!B10,4,1)</f>
        <v>44652</v>
      </c>
      <c r="B11">
        <f>COUNTIFS(Table24[Client ID '#],"&lt;&gt;",Table24[Date of Call],"&lt;="&amp;EOMONTH('DCF Funded'!A14,0),Table24[Date of Call],"&gt;="&amp;'DCF Funded'!A14,Table24[Under 18],"Yes")</f>
        <v>0</v>
      </c>
      <c r="C11">
        <f>COUNTIFS(Table24[Client ID '#],"&lt;&gt;",Table24[Date of Call],"&lt;="&amp;EOMONTH(A11,0),Table24[Date of Call],"&gt;="&amp;A11,Table24[Client Age],"&gt;=18")</f>
        <v>0</v>
      </c>
      <c r="D11">
        <f>COUNTIFS(Table24[Client ID '#],"&lt;&gt;",Table24[Date of Call],"&lt;="&amp;EOMONTH(A11,0),Table24[Date of Call],"&gt;="&amp;A11,Table24[Client Age],"Cannot be Calculated",Table24[Under 18],"No")</f>
        <v>0</v>
      </c>
    </row>
    <row r="12" spans="1:17" ht="16.5" x14ac:dyDescent="0.3">
      <c r="A12" s="34">
        <f>DATE(Instructions!B10,5,1)</f>
        <v>44682</v>
      </c>
      <c r="B12">
        <f>COUNTIFS(Table24[Client ID '#],"&lt;&gt;",Table24[Date of Call],"&lt;="&amp;EOMONTH('DCF Funded'!A15,0),Table24[Date of Call],"&gt;="&amp;'DCF Funded'!A15,Table24[Under 18],"Yes")</f>
        <v>0</v>
      </c>
      <c r="C12">
        <f>COUNTIFS(Table24[Client ID '#],"&lt;&gt;",Table24[Date of Call],"&lt;="&amp;EOMONTH(A12,0),Table24[Date of Call],"&gt;="&amp;A12,Table24[Client Age],"&gt;=18")</f>
        <v>0</v>
      </c>
      <c r="D12">
        <f>COUNTIFS(Table24[Client ID '#],"&lt;&gt;",Table24[Date of Call],"&lt;="&amp;EOMONTH(A12,0),Table24[Date of Call],"&gt;="&amp;A12,Table24[Client Age],"Cannot be Calculated",Table24[Under 18],"No")</f>
        <v>0</v>
      </c>
    </row>
    <row r="13" spans="1:17" ht="16.5" x14ac:dyDescent="0.3">
      <c r="A13" s="34">
        <f>DATE(Instructions!B10,6,1)</f>
        <v>44713</v>
      </c>
      <c r="B13">
        <f>COUNTIFS(Table24[Client ID '#],"&lt;&gt;",Table24[Date of Call],"&lt;="&amp;EOMONTH('DCF Funded'!A16,0),Table24[Date of Call],"&gt;="&amp;'DCF Funded'!A16,Table24[Under 18],"Yes")</f>
        <v>0</v>
      </c>
      <c r="C13">
        <f>COUNTIFS(Table24[Client ID '#],"&lt;&gt;",Table24[Date of Call],"&lt;="&amp;EOMONTH(A13,0),Table24[Date of Call],"&gt;="&amp;A13,Table24[Client Age],"&gt;=18")</f>
        <v>0</v>
      </c>
      <c r="D13">
        <f>COUNTIFS(Table24[Client ID '#],"&lt;&gt;",Table24[Date of Call],"&lt;="&amp;EOMONTH(A13,0),Table24[Date of Call],"&gt;="&amp;A13,Table24[Client Age],"Cannot be Calculated",Table24[Under 18],"No")</f>
        <v>0</v>
      </c>
    </row>
  </sheetData>
  <hyperlinks>
    <hyperlink ref="Q1" location="'Field Definitions'!A1" display="Return to Field Definition tab." xr:uid="{C9BC37EB-AB58-4C86-A010-75D104D9E967}"/>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25</vt:i4>
      </vt:variant>
    </vt:vector>
  </HeadingPairs>
  <TitlesOfParts>
    <vt:vector size="25" baseType="lpstr">
      <vt:lpstr>Background</vt:lpstr>
      <vt:lpstr>Instructions</vt:lpstr>
      <vt:lpstr>Field Definitions</vt:lpstr>
      <vt:lpstr>Client Specific</vt:lpstr>
      <vt:lpstr>Outreach Activites</vt:lpstr>
      <vt:lpstr>Other Funding Sources</vt:lpstr>
      <vt:lpstr>DCF Funded</vt:lpstr>
      <vt:lpstr>G - Entry Validation</vt:lpstr>
      <vt:lpstr>G - # Calls by Month</vt:lpstr>
      <vt:lpstr>G - Outreach by Month</vt:lpstr>
      <vt:lpstr>G - % of Calls by Race</vt:lpstr>
      <vt:lpstr>G - % of Calls by Ethnicity</vt:lpstr>
      <vt:lpstr>G - Child Welfare Involvement</vt:lpstr>
      <vt:lpstr>G - Parental Consent</vt:lpstr>
      <vt:lpstr>G - % Referred to Treatment</vt:lpstr>
      <vt:lpstr>G - % Admitted to CSU</vt:lpstr>
      <vt:lpstr>G - ZIP Code</vt:lpstr>
      <vt:lpstr>G - Age and Sex</vt:lpstr>
      <vt:lpstr>G - Day of Week</vt:lpstr>
      <vt:lpstr>G - Time of Day</vt:lpstr>
      <vt:lpstr>G - Avg Response Time - All</vt:lpstr>
      <vt:lpstr>G - Avg Response Time - Travel</vt:lpstr>
      <vt:lpstr>G - Treatment Referred To</vt:lpstr>
      <vt:lpstr>G - Call Source</vt:lpstr>
      <vt:lpstr>G - Intervention Determined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Zachary Jimison</dc:creator>
  <cp:lastModifiedBy>Princess Bordeaux Bartolazo</cp:lastModifiedBy>
  <dcterms:created xsi:type="dcterms:W3CDTF">2021-07-29T19:32:15Z</dcterms:created>
  <dcterms:modified xsi:type="dcterms:W3CDTF">2021-09-20T14:53:17Z</dcterms:modified>
</cp:coreProperties>
</file>